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1013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/Users/ekaterinaseveleva/Documents/СПР/Протоколы/2020/Август/"/>
    </mc:Choice>
  </mc:AlternateContent>
  <xr:revisionPtr revIDLastSave="0" documentId="8_{96D95744-79AB-5442-8536-A58FDE75CC3F}" xr6:coauthVersionLast="45" xr6:coauthVersionMax="45" xr10:uidLastSave="{00000000-0000-0000-0000-000000000000}"/>
  <bookViews>
    <workbookView xWindow="0" yWindow="0" windowWidth="28800" windowHeight="18000"/>
  </bookViews>
  <sheets>
    <sheet name="WRPF ПЛ без экипировки" sheetId="5" r:id="rId1"/>
    <sheet name="WRPF Двоеборье без экип ДК" sheetId="16" r:id="rId2"/>
    <sheet name="WRPF Жим лежа без экип ДК" sheetId="9" r:id="rId3"/>
    <sheet name="WRPF Жим лежа без экип" sheetId="8" r:id="rId4"/>
    <sheet name="WEPF Жим однослой ДК" sheetId="11" r:id="rId5"/>
    <sheet name="WEPF Жим софт однопетельная ДК" sheetId="10" r:id="rId6"/>
    <sheet name="WEPF Жим софт однопетельная" sheetId="7" r:id="rId7"/>
    <sheet name="WEPF Жим софт многопетельнаяДК" sheetId="13" r:id="rId8"/>
    <sheet name="WEPF Жим софт многопетельная" sheetId="12" r:id="rId9"/>
    <sheet name="WRPF Народный 1 вес ДК" sheetId="24" r:id="rId10"/>
    <sheet name="WRPF Тяга без экипировки ДК" sheetId="15" r:id="rId11"/>
    <sheet name="WRPF Тяга без экипировки" sheetId="14" r:id="rId12"/>
    <sheet name="СПР Пауэрспорт ДК" sheetId="21" r:id="rId13"/>
    <sheet name="СПР Пауэрспорт" sheetId="20" r:id="rId14"/>
    <sheet name="СПР Подъем на бицепс ДК" sheetId="19" r:id="rId15"/>
    <sheet name="СПР Подъем на бицепс" sheetId="18" r:id="rId16"/>
    <sheet name="Командное первенство" sheetId="28" r:id="rId17"/>
    <sheet name="Судейская коллегия" sheetId="29" r:id="rId18"/>
  </sheets>
  <definedNames>
    <definedName name="_FilterDatabase" localSheetId="0" hidden="1">'WRPF ПЛ без экипировки'!$A$1:$T$3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6" i="24" l="1"/>
  <c r="J6" i="24"/>
  <c r="E6" i="24"/>
  <c r="Q15" i="21"/>
  <c r="P15" i="21"/>
  <c r="E15" i="21"/>
  <c r="Q12" i="21"/>
  <c r="P12" i="21"/>
  <c r="E12" i="21"/>
  <c r="Q9" i="21"/>
  <c r="P9" i="21"/>
  <c r="E9" i="21"/>
  <c r="Q6" i="21"/>
  <c r="P6" i="21"/>
  <c r="E6" i="21"/>
  <c r="Q6" i="20"/>
  <c r="P6" i="20"/>
  <c r="E6" i="20"/>
  <c r="M16" i="19"/>
  <c r="L16" i="19"/>
  <c r="E16" i="19"/>
  <c r="M13" i="19"/>
  <c r="L13" i="19"/>
  <c r="E13" i="19"/>
  <c r="M10" i="19"/>
  <c r="L10" i="19"/>
  <c r="E10" i="19"/>
  <c r="M7" i="19"/>
  <c r="L7" i="19"/>
  <c r="E7" i="19"/>
  <c r="M6" i="19"/>
  <c r="L6" i="19"/>
  <c r="E6" i="19"/>
  <c r="M10" i="18"/>
  <c r="L10" i="18"/>
  <c r="E10" i="18"/>
  <c r="M7" i="18"/>
  <c r="L7" i="18"/>
  <c r="E7" i="18"/>
  <c r="M6" i="18"/>
  <c r="L6" i="18"/>
  <c r="E6" i="18"/>
  <c r="Q6" i="16"/>
  <c r="P6" i="16"/>
  <c r="E6" i="16"/>
  <c r="M9" i="15"/>
  <c r="L9" i="15"/>
  <c r="E9" i="15"/>
  <c r="M6" i="15"/>
  <c r="L6" i="15"/>
  <c r="E6" i="15"/>
  <c r="M12" i="14"/>
  <c r="L12" i="14"/>
  <c r="E12" i="14"/>
  <c r="M9" i="14"/>
  <c r="L9" i="14"/>
  <c r="E9" i="14"/>
  <c r="M6" i="14"/>
  <c r="L6" i="14"/>
  <c r="E6" i="14"/>
  <c r="M6" i="13"/>
  <c r="L6" i="13"/>
  <c r="E6" i="13"/>
  <c r="M6" i="12"/>
  <c r="L6" i="12"/>
  <c r="E6" i="12"/>
  <c r="M9" i="11"/>
  <c r="L9" i="11"/>
  <c r="E9" i="11"/>
  <c r="M6" i="11"/>
  <c r="L6" i="11"/>
  <c r="E6" i="11"/>
  <c r="M12" i="10"/>
  <c r="L12" i="10"/>
  <c r="E12" i="10"/>
  <c r="M9" i="10"/>
  <c r="E9" i="10"/>
  <c r="M6" i="10"/>
  <c r="L6" i="10"/>
  <c r="E6" i="10"/>
  <c r="M37" i="9"/>
  <c r="L37" i="9"/>
  <c r="E37" i="9"/>
  <c r="M36" i="9"/>
  <c r="L36" i="9"/>
  <c r="E36" i="9"/>
  <c r="M33" i="9"/>
  <c r="L33" i="9"/>
  <c r="E33" i="9"/>
  <c r="M32" i="9"/>
  <c r="L32" i="9"/>
  <c r="E32" i="9"/>
  <c r="M29" i="9"/>
  <c r="L29" i="9"/>
  <c r="E29" i="9"/>
  <c r="M26" i="9"/>
  <c r="L26" i="9"/>
  <c r="E26" i="9"/>
  <c r="M25" i="9"/>
  <c r="L25" i="9"/>
  <c r="E25" i="9"/>
  <c r="M22" i="9"/>
  <c r="L22" i="9"/>
  <c r="E22" i="9"/>
  <c r="M21" i="9"/>
  <c r="L21" i="9"/>
  <c r="E21" i="9"/>
  <c r="M20" i="9"/>
  <c r="L20" i="9"/>
  <c r="E20" i="9"/>
  <c r="M19" i="9"/>
  <c r="L19" i="9"/>
  <c r="E19" i="9"/>
  <c r="M18" i="9"/>
  <c r="L18" i="9"/>
  <c r="E18" i="9"/>
  <c r="M15" i="9"/>
  <c r="L15" i="9"/>
  <c r="E15" i="9"/>
  <c r="M14" i="9"/>
  <c r="L14" i="9"/>
  <c r="E14" i="9"/>
  <c r="M13" i="9"/>
  <c r="L13" i="9"/>
  <c r="E13" i="9"/>
  <c r="M10" i="9"/>
  <c r="L10" i="9"/>
  <c r="E10" i="9"/>
  <c r="M7" i="9"/>
  <c r="L7" i="9"/>
  <c r="E7" i="9"/>
  <c r="M6" i="9"/>
  <c r="L6" i="9"/>
  <c r="E6" i="9"/>
  <c r="M18" i="8"/>
  <c r="L18" i="8"/>
  <c r="E18" i="8"/>
  <c r="M15" i="8"/>
  <c r="L15" i="8"/>
  <c r="E15" i="8"/>
  <c r="M12" i="8"/>
  <c r="L12" i="8"/>
  <c r="E12" i="8"/>
  <c r="M9" i="8"/>
  <c r="L9" i="8"/>
  <c r="E9" i="8"/>
  <c r="M6" i="8"/>
  <c r="L6" i="8"/>
  <c r="E6" i="8"/>
  <c r="M7" i="7"/>
  <c r="L7" i="7"/>
  <c r="E7" i="7"/>
  <c r="M6" i="7"/>
  <c r="L6" i="7"/>
  <c r="E6" i="7"/>
  <c r="U9" i="5"/>
  <c r="T9" i="5"/>
  <c r="E9" i="5"/>
  <c r="U6" i="5"/>
  <c r="T6" i="5"/>
  <c r="E6" i="5"/>
</calcChain>
</file>

<file path=xl/sharedStrings.xml><?xml version="1.0" encoding="utf-8"?>
<sst xmlns="http://schemas.openxmlformats.org/spreadsheetml/2006/main" count="934" uniqueCount="327">
  <si>
    <t>ФИО</t>
  </si>
  <si>
    <t>Сумма</t>
  </si>
  <si>
    <t>Тренер</t>
  </si>
  <si>
    <t>Очки</t>
  </si>
  <si>
    <t>Команда</t>
  </si>
  <si>
    <t>Рек</t>
  </si>
  <si>
    <t>Возрастная группа
Дата рождения/Возраст</t>
  </si>
  <si>
    <t>Город/Область</t>
  </si>
  <si>
    <t>Вес</t>
  </si>
  <si>
    <t>Повторы</t>
  </si>
  <si>
    <t>Собственный 
вес</t>
  </si>
  <si>
    <t>Wilks</t>
  </si>
  <si>
    <t>Приседание</t>
  </si>
  <si>
    <t>Жим лёжа</t>
  </si>
  <si>
    <t>Становая тяга</t>
  </si>
  <si>
    <t>ВЕСОВАЯ КАТЕГОРИЯ   56</t>
  </si>
  <si>
    <t>Горожанина Ольга</t>
  </si>
  <si>
    <t>Открытая (05.11.1983)/36</t>
  </si>
  <si>
    <t>55,40</t>
  </si>
  <si>
    <t xml:space="preserve">Ульяновск </t>
  </si>
  <si>
    <t xml:space="preserve">Ульяновск/Ульяновская область </t>
  </si>
  <si>
    <t>80,0</t>
  </si>
  <si>
    <t>90,0</t>
  </si>
  <si>
    <t>95,0</t>
  </si>
  <si>
    <t>55,0</t>
  </si>
  <si>
    <t>57,5</t>
  </si>
  <si>
    <t>60,0</t>
  </si>
  <si>
    <t>105,0</t>
  </si>
  <si>
    <t>115,0</t>
  </si>
  <si>
    <t>120,0</t>
  </si>
  <si>
    <t>ВЕСОВАЯ КАТЕГОРИЯ   90</t>
  </si>
  <si>
    <t>Дубов Алексей</t>
  </si>
  <si>
    <t>Мастера 50-59 (18.04.1963)/57</t>
  </si>
  <si>
    <t>87,70</t>
  </si>
  <si>
    <t>130,0</t>
  </si>
  <si>
    <t>135,0</t>
  </si>
  <si>
    <t>147,5</t>
  </si>
  <si>
    <t>87,5</t>
  </si>
  <si>
    <t>92,5</t>
  </si>
  <si>
    <t>160,0</t>
  </si>
  <si>
    <t>170,0</t>
  </si>
  <si>
    <t>180,0</t>
  </si>
  <si>
    <t xml:space="preserve">Абсолютный зачёт </t>
  </si>
  <si>
    <t xml:space="preserve">Открытая </t>
  </si>
  <si>
    <t xml:space="preserve">ФИО </t>
  </si>
  <si>
    <t xml:space="preserve">Возрастная группа </t>
  </si>
  <si>
    <t xml:space="preserve">Wilks </t>
  </si>
  <si>
    <t xml:space="preserve">Мужчины </t>
  </si>
  <si>
    <t>90</t>
  </si>
  <si>
    <t>1</t>
  </si>
  <si>
    <t/>
  </si>
  <si>
    <t>Место</t>
  </si>
  <si>
    <t>Gloss</t>
  </si>
  <si>
    <t>ВЕСОВАЯ КАТЕГОРИЯ   100</t>
  </si>
  <si>
    <t>Колыданов Михаил</t>
  </si>
  <si>
    <t>Открытая (30.04.1979)/41</t>
  </si>
  <si>
    <t>98,00</t>
  </si>
  <si>
    <t xml:space="preserve">Иваново/Ивановская область </t>
  </si>
  <si>
    <t>215,0</t>
  </si>
  <si>
    <t>225,0</t>
  </si>
  <si>
    <t>235,0</t>
  </si>
  <si>
    <t>Мастера 40-49 (30.04.1979)/41</t>
  </si>
  <si>
    <t>Результат</t>
  </si>
  <si>
    <t>ВЕСОВАЯ КАТЕГОРИЯ   60</t>
  </si>
  <si>
    <t>Сингильдина Анна</t>
  </si>
  <si>
    <t>Открытая (06.07.1985)/35</t>
  </si>
  <si>
    <t>59,10</t>
  </si>
  <si>
    <t>67,5</t>
  </si>
  <si>
    <t>77,5</t>
  </si>
  <si>
    <t xml:space="preserve">Чадаев А. </t>
  </si>
  <si>
    <t>Аксентьев Игорь</t>
  </si>
  <si>
    <t>Мастера 50-59 (08.05.1965)/55</t>
  </si>
  <si>
    <t>95,50</t>
  </si>
  <si>
    <t>140,0</t>
  </si>
  <si>
    <t>ВЕСОВАЯ КАТЕГОРИЯ   110</t>
  </si>
  <si>
    <t>Цыплов Сергей</t>
  </si>
  <si>
    <t>Открытая (15.09.1976)/43</t>
  </si>
  <si>
    <t>109,40</t>
  </si>
  <si>
    <t>200,0</t>
  </si>
  <si>
    <t>210,0</t>
  </si>
  <si>
    <t>110</t>
  </si>
  <si>
    <t>ВЕСОВАЯ КАТЕГОРИЯ   52</t>
  </si>
  <si>
    <t>Речная Екатерина</t>
  </si>
  <si>
    <t>Открытая (09.10.1982)/37</t>
  </si>
  <si>
    <t>49,70</t>
  </si>
  <si>
    <t xml:space="preserve">Тольятти/Самарская область </t>
  </si>
  <si>
    <t>47,5</t>
  </si>
  <si>
    <t>50,0</t>
  </si>
  <si>
    <t>52,5</t>
  </si>
  <si>
    <t xml:space="preserve">Конопацкий В. </t>
  </si>
  <si>
    <t>Ракова Ольга</t>
  </si>
  <si>
    <t>Мастера 40-49 (28.01.1977)/43</t>
  </si>
  <si>
    <t>51,40</t>
  </si>
  <si>
    <t xml:space="preserve">Колыданов М. </t>
  </si>
  <si>
    <t>ВЕСОВАЯ КАТЕГОРИЯ   82.5</t>
  </si>
  <si>
    <t>Чернева Марина</t>
  </si>
  <si>
    <t>Мастера 40-49 (27.09.1970)/49</t>
  </si>
  <si>
    <t>82,30</t>
  </si>
  <si>
    <t xml:space="preserve">Команда </t>
  </si>
  <si>
    <t>85,0</t>
  </si>
  <si>
    <t>ВЕСОВАЯ КАТЕГОРИЯ   75</t>
  </si>
  <si>
    <t>Зайнутдинов Ильдар</t>
  </si>
  <si>
    <t>Юноши 14-16 (23.09.2003)/16</t>
  </si>
  <si>
    <t>74,00</t>
  </si>
  <si>
    <t>100,0</t>
  </si>
  <si>
    <t>Гарифуллов Рафаэль</t>
  </si>
  <si>
    <t>Открытая (03.01.1995)/25</t>
  </si>
  <si>
    <t>72,50</t>
  </si>
  <si>
    <t>190,0</t>
  </si>
  <si>
    <t>207,5</t>
  </si>
  <si>
    <t>Сокольников Николай</t>
  </si>
  <si>
    <t>Мастера 40-49 (24.10.1970)/49</t>
  </si>
  <si>
    <t>127,5</t>
  </si>
  <si>
    <t>Ошков Александр</t>
  </si>
  <si>
    <t>Юноши 14-16 (26.11.2003)/16</t>
  </si>
  <si>
    <t>77,90</t>
  </si>
  <si>
    <t>112,5</t>
  </si>
  <si>
    <t xml:space="preserve">Ошков С. </t>
  </si>
  <si>
    <t>Гоглидзе Евгений</t>
  </si>
  <si>
    <t>Юниоры (08.08.1999)/20</t>
  </si>
  <si>
    <t>79,50</t>
  </si>
  <si>
    <t xml:space="preserve">Лично </t>
  </si>
  <si>
    <t>Алексеев Владимир</t>
  </si>
  <si>
    <t>Открытая (24.07.1987)/33</t>
  </si>
  <si>
    <t>80,80</t>
  </si>
  <si>
    <t xml:space="preserve">Лагутин Е. </t>
  </si>
  <si>
    <t>Леушкин Руслан</t>
  </si>
  <si>
    <t>Открытая (10.08.1989)/30</t>
  </si>
  <si>
    <t>79,30</t>
  </si>
  <si>
    <t>Чернов Артём</t>
  </si>
  <si>
    <t>Открытая (28.06.1984)/36</t>
  </si>
  <si>
    <t>81,90</t>
  </si>
  <si>
    <t>110,0</t>
  </si>
  <si>
    <t>Бондаренко Михаил</t>
  </si>
  <si>
    <t>Юноши 14-16 (03.01.2006)/14</t>
  </si>
  <si>
    <t>88,10</t>
  </si>
  <si>
    <t>107,5</t>
  </si>
  <si>
    <t>Кисин Антон</t>
  </si>
  <si>
    <t>Открытая (07.08.1993)/26</t>
  </si>
  <si>
    <t>84,10</t>
  </si>
  <si>
    <t xml:space="preserve">Lagutin team </t>
  </si>
  <si>
    <t>75,0</t>
  </si>
  <si>
    <t>Филатов Алексей</t>
  </si>
  <si>
    <t>Юноши 17-19 (07.05.2002)/18</t>
  </si>
  <si>
    <t>90,90</t>
  </si>
  <si>
    <t xml:space="preserve">Димитровград/Ульяновская область </t>
  </si>
  <si>
    <t>Шилов Юрий</t>
  </si>
  <si>
    <t>Открытая (21.08.1997)/22</t>
  </si>
  <si>
    <t>107,00</t>
  </si>
  <si>
    <t xml:space="preserve">Патриот </t>
  </si>
  <si>
    <t>185,0</t>
  </si>
  <si>
    <t>195,0</t>
  </si>
  <si>
    <t>Горшунов Сергей</t>
  </si>
  <si>
    <t>Мастера 40-49 (26.05.1976)/44</t>
  </si>
  <si>
    <t>109,20</t>
  </si>
  <si>
    <t xml:space="preserve">Димитровград </t>
  </si>
  <si>
    <t>150,0</t>
  </si>
  <si>
    <t>167,5</t>
  </si>
  <si>
    <t>ВЕСОВАЯ КАТЕГОРИЯ   125</t>
  </si>
  <si>
    <t>Александров Михаил</t>
  </si>
  <si>
    <t>Юноши 17-19 (13.12.2001)/18</t>
  </si>
  <si>
    <t>113,30</t>
  </si>
  <si>
    <t>Адамов Владимир</t>
  </si>
  <si>
    <t>Открытая (25.04.1986)/34</t>
  </si>
  <si>
    <t>116,30</t>
  </si>
  <si>
    <t xml:space="preserve">Сызрань/Самарская область </t>
  </si>
  <si>
    <t>175,0</t>
  </si>
  <si>
    <t>82.5</t>
  </si>
  <si>
    <t xml:space="preserve">Юноши </t>
  </si>
  <si>
    <t xml:space="preserve">Юноши 14-16 </t>
  </si>
  <si>
    <t>72,9225</t>
  </si>
  <si>
    <t>69,3913</t>
  </si>
  <si>
    <t>75</t>
  </si>
  <si>
    <t>68,3335</t>
  </si>
  <si>
    <t>115,7715</t>
  </si>
  <si>
    <t>125</t>
  </si>
  <si>
    <t>107,1705</t>
  </si>
  <si>
    <t>102,2000</t>
  </si>
  <si>
    <t>2</t>
  </si>
  <si>
    <t>3</t>
  </si>
  <si>
    <t>Самсонов Игорь</t>
  </si>
  <si>
    <t>Мастера 50-59 (23.03.1969)/51</t>
  </si>
  <si>
    <t>81,40</t>
  </si>
  <si>
    <t>202,5</t>
  </si>
  <si>
    <t>ВЕСОВАЯ КАТЕГОРИЯ   140+</t>
  </si>
  <si>
    <t>Демьянчук Юрий</t>
  </si>
  <si>
    <t>Мастера 40-49 (03.10.1978)/41</t>
  </si>
  <si>
    <t>145,30</t>
  </si>
  <si>
    <t>230,0</t>
  </si>
  <si>
    <t>260,0</t>
  </si>
  <si>
    <t>-</t>
  </si>
  <si>
    <t>Степанов Владимир</t>
  </si>
  <si>
    <t>Открытая (27.10.1994)/25</t>
  </si>
  <si>
    <t>59,50</t>
  </si>
  <si>
    <t>125,0</t>
  </si>
  <si>
    <t xml:space="preserve">Съёмщиков И. </t>
  </si>
  <si>
    <t>Логинов Александр</t>
  </si>
  <si>
    <t>85,10</t>
  </si>
  <si>
    <t>220,0</t>
  </si>
  <si>
    <t>Чадаев Александр</t>
  </si>
  <si>
    <t>Открытая (12.04.1973)/47</t>
  </si>
  <si>
    <t>125,00</t>
  </si>
  <si>
    <t>300,0</t>
  </si>
  <si>
    <t>325,0</t>
  </si>
  <si>
    <t>Открытая (18.11.1989)/30</t>
  </si>
  <si>
    <t>97,20</t>
  </si>
  <si>
    <t>250,0</t>
  </si>
  <si>
    <t>262,5</t>
  </si>
  <si>
    <t>ВЕСОВАЯ КАТЕГОРИЯ   90+</t>
  </si>
  <si>
    <t>Цыплова Ольга</t>
  </si>
  <si>
    <t>Открытая (19.11.1975)/44</t>
  </si>
  <si>
    <t>93,40</t>
  </si>
  <si>
    <t>145,0</t>
  </si>
  <si>
    <t>155,0</t>
  </si>
  <si>
    <t>165,0</t>
  </si>
  <si>
    <t xml:space="preserve">Цыплов С. </t>
  </si>
  <si>
    <t>Пономарев Иван</t>
  </si>
  <si>
    <t>Открытая (30.06.1988)/32</t>
  </si>
  <si>
    <t>240,0</t>
  </si>
  <si>
    <t>Ткачун Елена</t>
  </si>
  <si>
    <t>Мастера 50-59 (10.05.1961)/59</t>
  </si>
  <si>
    <t>87,50</t>
  </si>
  <si>
    <t xml:space="preserve">Съемщиков И. </t>
  </si>
  <si>
    <t>Конопацкий Владимир</t>
  </si>
  <si>
    <t>Мастера 40-49 (06.08.1973)/46</t>
  </si>
  <si>
    <t>111,00</t>
  </si>
  <si>
    <t>280,0</t>
  </si>
  <si>
    <t>295,0</t>
  </si>
  <si>
    <t xml:space="preserve">Самостоятельно </t>
  </si>
  <si>
    <t>Подъем на бицепс</t>
  </si>
  <si>
    <t>25,0</t>
  </si>
  <si>
    <t>30,0</t>
  </si>
  <si>
    <t>32,5</t>
  </si>
  <si>
    <t>37,5</t>
  </si>
  <si>
    <t>ВЕСОВАЯ КАТЕГОРИЯ   67.5</t>
  </si>
  <si>
    <t>Сармандеев Владимир</t>
  </si>
  <si>
    <t>Открытая (18.11.1987)/32</t>
  </si>
  <si>
    <t>66,00</t>
  </si>
  <si>
    <t>Дёмин Александр</t>
  </si>
  <si>
    <t>73,20</t>
  </si>
  <si>
    <t>Дедюев Артур</t>
  </si>
  <si>
    <t>Открытая (09.08.1998)/21</t>
  </si>
  <si>
    <t>72,40</t>
  </si>
  <si>
    <t>65,0</t>
  </si>
  <si>
    <t>70,0</t>
  </si>
  <si>
    <t>45,0</t>
  </si>
  <si>
    <t>Гришин Михаил</t>
  </si>
  <si>
    <t>88,90</t>
  </si>
  <si>
    <t>Грешков Владимир</t>
  </si>
  <si>
    <t>Открытая (29.07.1993)/27</t>
  </si>
  <si>
    <t>Жим стоя</t>
  </si>
  <si>
    <t>ВЕСОВАЯ КАТЕГОРИЯ   140</t>
  </si>
  <si>
    <t>Иванов Вячеслав</t>
  </si>
  <si>
    <t>126,00</t>
  </si>
  <si>
    <t>117,5</t>
  </si>
  <si>
    <t>122,5</t>
  </si>
  <si>
    <t>72,5</t>
  </si>
  <si>
    <t>Тростничкова Ольга</t>
  </si>
  <si>
    <t>Открытая (16.01.1989)/31</t>
  </si>
  <si>
    <t>48,00</t>
  </si>
  <si>
    <t>20,0</t>
  </si>
  <si>
    <t>22,5</t>
  </si>
  <si>
    <t xml:space="preserve">Гришин М. </t>
  </si>
  <si>
    <t>Юдакова Наталья</t>
  </si>
  <si>
    <t>72,90</t>
  </si>
  <si>
    <t xml:space="preserve">Отрадный/Самарская область </t>
  </si>
  <si>
    <t>35,0</t>
  </si>
  <si>
    <t>27,5</t>
  </si>
  <si>
    <t>Тресцов Виктор</t>
  </si>
  <si>
    <t>Открытая (03.12.1995)/24</t>
  </si>
  <si>
    <t>74,30</t>
  </si>
  <si>
    <t>62,5</t>
  </si>
  <si>
    <t>Народный жим</t>
  </si>
  <si>
    <t>Всероссийский мастерский турнир "Ironman"
WRPF Народный жим 1 вес ДК
Димитровград/Ульяновская область, 1 августа 2020 года</t>
  </si>
  <si>
    <t>Всероссийский мастерский турнир "Ironman"
СПР Пауэрспорт ДК
Димитровград/Ульяновская область, 1 августа 2020 года</t>
  </si>
  <si>
    <t>Всероссийский мастерский турнир "Ironman"
СПР Пауэрспорт
Димитровград/Ульяновская область, 1 августа 2020 года</t>
  </si>
  <si>
    <t>Всероссийский мастерский турнир "Ironman"
СПР Строгий подъем штанги на бицепс ДК
Димитровград/Ульяновская область, 1 августа 2020 года</t>
  </si>
  <si>
    <t>Всероссийский мастерский турнир "Ironman"
СПР Строгий подъем штанги на бицепс
Димитровград/Ульяновская область, 1 августа 2020 года</t>
  </si>
  <si>
    <t>Всероссийский мастерский турнир "Ironman"
WRPF любители Силовое двоеборье без экипировки ДК
Димитровград/Ульяновская область, 1 августа 2020 года</t>
  </si>
  <si>
    <t>Всероссийский мастерский турнир "Ironman"
WRPF любители Становая тяга без экипировки ДК
Димитровград/Ульяновская область, 1 августа 2020 года</t>
  </si>
  <si>
    <t>Всероссийский мастерский турнир "Ironman"
WRPF любители Становая тяга без экипировки
Димитровград/Ульяновская область, 1 августа 2020 года</t>
  </si>
  <si>
    <t>Всероссийский мастерский турнир "Ironman"
WEPF Жим лежа в многопетельной софт экипировке ДК
Димитровград/Ульяновская область, 1 августа 2020 года</t>
  </si>
  <si>
    <t>Всероссийский мастерский турнир "Ironman"
WEPF Жим лежа в многопетельной софт экипировке
Димитровград/Ульяновская область, 1 августа 2020 года</t>
  </si>
  <si>
    <t>Всероссийский мастерский турнир "Ironman"
WEPF любители Жим лежа в однослойной экипировке ДК
Димитровград/Ульяновская область, 1 августа 2020 года</t>
  </si>
  <si>
    <t>Всероссийский мастерский турнир "Ironman"
WEPF Жим лежа в однопетельной софт экипировке ДК
Димитровград/Ульяновская область, 1 августа 2020 года</t>
  </si>
  <si>
    <t>Всероссийский мастерский турнир "Ironman"
WRPF любители Жим лежа без экипировки ДК
Димитровград/Ульяновская область, 1 августа 2020 года</t>
  </si>
  <si>
    <t>Всероссийский мастерский турнир "Ironman"
WRPF любители Жим лежа без экипировки
Димитровград/Ульяновская область, 1 августа 2020 года</t>
  </si>
  <si>
    <t>Всероссийский мастерский турнир "Ironman"
WEPF Жим лежа в однопетельной софт экипировке
Димитровград/Ульяновская область, 1 августа 2020 года</t>
  </si>
  <si>
    <t>Всероссийский мастерский турнир "Ironman"
WRPF любители Пауэрлифтинг без экипировки
Димитровград/Ульяновская область, 1 августа 2020 года</t>
  </si>
  <si>
    <t>Мастера 40-49 (09.12.1978)/41</t>
  </si>
  <si>
    <t>Мастера 50-59 (05.02.1969)/51</t>
  </si>
  <si>
    <t>Мастера 40-49 (18.07.1978)/42</t>
  </si>
  <si>
    <t>Юноши 13-19 (05.01.2001)/19</t>
  </si>
  <si>
    <t>Юноши 13-19 (26.11.2003)/16</t>
  </si>
  <si>
    <t>Димитровград/Ульяновская область</t>
  </si>
  <si>
    <t>Кинель-Черкассы/Самарская область</t>
  </si>
  <si>
    <t xml:space="preserve">Волжск/Республика Марий Эл </t>
  </si>
  <si>
    <t>Кротовка/Самарская область</t>
  </si>
  <si>
    <t xml:space="preserve">Чебоксары/Республика Чувашия </t>
  </si>
  <si>
    <t>Гладиаторы</t>
  </si>
  <si>
    <t>Челно-Вершины/Самарская область</t>
  </si>
  <si>
    <t>Чебоксары/Республика Чувашия</t>
  </si>
  <si>
    <t>Юниоры 20-23 (03.03.1997)/23</t>
  </si>
  <si>
    <t xml:space="preserve">Тетюши/Республика Татарстан </t>
  </si>
  <si>
    <t>Лагутин тим</t>
  </si>
  <si>
    <t xml:space="preserve">Сарапул/Республика Удмуртия </t>
  </si>
  <si>
    <t>Весовая категория</t>
  </si>
  <si>
    <t>Сургут/ХМАО</t>
  </si>
  <si>
    <t xml:space="preserve">Гладиаторы </t>
  </si>
  <si>
    <t>Командное первенство Всероссийского мастерского турнира "Ironman"</t>
  </si>
  <si>
    <t>1 место</t>
  </si>
  <si>
    <t>2 место</t>
  </si>
  <si>
    <t>3 место</t>
  </si>
  <si>
    <t>Lagutin team (176 очков)</t>
  </si>
  <si>
    <t>Гладиаторы (168 очков)</t>
  </si>
  <si>
    <t>Патриоты (155 очков)</t>
  </si>
  <si>
    <t>Судейская коллегия Всероссийского мастерского турнира "Ironman"</t>
  </si>
  <si>
    <t>Главный судья соревнований:</t>
  </si>
  <si>
    <t>Шевелева Екатерина/ НК, Воронеж</t>
  </si>
  <si>
    <t>Главный секретарь соревнований:</t>
  </si>
  <si>
    <t>Толпегин Иван/ Тольятти</t>
  </si>
  <si>
    <t>Секретари:</t>
  </si>
  <si>
    <t>Судьи:</t>
  </si>
  <si>
    <t>Лагутин Евгений/ РК, Димитровград</t>
  </si>
  <si>
    <t>Чадаев Александр/ РК, Ульяновск</t>
  </si>
  <si>
    <t>Гареев Эрик/ РК, Тольятти</t>
  </si>
  <si>
    <t>Мастюков Алексей/ Тольятти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</si>
</sst>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2" formatCode="0.0"/>
  </numFmts>
  <fonts count="10">
    <font>
      <sz val="10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b/>
      <sz val="24"/>
      <name val="Arial Cyr"/>
      <charset val="204"/>
    </font>
    <font>
      <sz val="12"/>
      <name val="Arial Cyr"/>
      <charset val="204"/>
    </font>
    <font>
      <i/>
      <sz val="12"/>
      <name val="Arial Cyr"/>
      <charset val="204"/>
    </font>
    <font>
      <sz val="14"/>
      <name val="Arial Cyr"/>
      <charset val="204"/>
    </font>
    <font>
      <i/>
      <sz val="11"/>
      <name val="Arial Cyr"/>
      <charset val="204"/>
    </font>
    <font>
      <b/>
      <strike/>
      <sz val="10"/>
      <color theme="5"/>
      <name val="Arial Cyr"/>
      <charset val="204"/>
    </font>
    <font>
      <sz val="18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D7E4BE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49" fontId="2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center"/>
    </xf>
    <xf numFmtId="49" fontId="2" fillId="0" borderId="2" xfId="0" applyNumberFormat="1" applyFont="1" applyFill="1" applyBorder="1" applyAlignment="1">
      <alignment horizontal="center" vertical="center"/>
    </xf>
    <xf numFmtId="49" fontId="0" fillId="0" borderId="7" xfId="0" applyNumberFormat="1" applyFont="1" applyFill="1" applyBorder="1" applyAlignment="1">
      <alignment horizontal="center"/>
    </xf>
    <xf numFmtId="49" fontId="5" fillId="0" borderId="0" xfId="0" applyNumberFormat="1" applyFont="1" applyFill="1" applyBorder="1" applyAlignment="1">
      <alignment horizontal="center"/>
    </xf>
    <xf numFmtId="49" fontId="2" fillId="0" borderId="7" xfId="0" applyNumberFormat="1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1" fillId="2" borderId="7" xfId="0" applyNumberFormat="1" applyFont="1" applyFill="1" applyBorder="1" applyAlignment="1">
      <alignment horizontal="center"/>
    </xf>
    <xf numFmtId="49" fontId="1" fillId="0" borderId="7" xfId="0" applyNumberFormat="1" applyFont="1" applyFill="1" applyBorder="1" applyAlignment="1">
      <alignment horizontal="center"/>
    </xf>
    <xf numFmtId="49" fontId="8" fillId="0" borderId="7" xfId="0" applyNumberFormat="1" applyFont="1" applyFill="1" applyBorder="1" applyAlignment="1">
      <alignment horizontal="center"/>
    </xf>
    <xf numFmtId="49" fontId="0" fillId="0" borderId="7" xfId="0" applyNumberFormat="1" applyFont="1" applyFill="1" applyBorder="1" applyAlignment="1">
      <alignment horizontal="center" vertical="center"/>
    </xf>
    <xf numFmtId="49" fontId="0" fillId="0" borderId="8" xfId="0" applyNumberFormat="1" applyFont="1" applyFill="1" applyBorder="1" applyAlignment="1">
      <alignment horizontal="center"/>
    </xf>
    <xf numFmtId="49" fontId="0" fillId="0" borderId="9" xfId="0" applyNumberFormat="1" applyFont="1" applyFill="1" applyBorder="1" applyAlignment="1">
      <alignment horizontal="center"/>
    </xf>
    <xf numFmtId="49" fontId="1" fillId="0" borderId="8" xfId="0" applyNumberFormat="1" applyFont="1" applyFill="1" applyBorder="1" applyAlignment="1">
      <alignment horizontal="center"/>
    </xf>
    <xf numFmtId="49" fontId="1" fillId="2" borderId="8" xfId="0" applyNumberFormat="1" applyFont="1" applyFill="1" applyBorder="1" applyAlignment="1">
      <alignment horizontal="center"/>
    </xf>
    <xf numFmtId="49" fontId="1" fillId="0" borderId="9" xfId="0" applyNumberFormat="1" applyFont="1" applyFill="1" applyBorder="1" applyAlignment="1">
      <alignment horizontal="center"/>
    </xf>
    <xf numFmtId="49" fontId="1" fillId="2" borderId="9" xfId="0" applyNumberFormat="1" applyFont="1" applyFill="1" applyBorder="1" applyAlignment="1">
      <alignment horizontal="center"/>
    </xf>
    <xf numFmtId="49" fontId="0" fillId="0" borderId="8" xfId="0" applyNumberFormat="1" applyFont="1" applyFill="1" applyBorder="1" applyAlignment="1">
      <alignment horizontal="center" vertical="center"/>
    </xf>
    <xf numFmtId="49" fontId="0" fillId="0" borderId="9" xfId="0" applyNumberFormat="1" applyFont="1" applyFill="1" applyBorder="1" applyAlignment="1">
      <alignment horizontal="center" vertical="center"/>
    </xf>
    <xf numFmtId="49" fontId="0" fillId="0" borderId="10" xfId="0" applyNumberFormat="1" applyFont="1" applyFill="1" applyBorder="1" applyAlignment="1">
      <alignment horizontal="center"/>
    </xf>
    <xf numFmtId="49" fontId="8" fillId="0" borderId="8" xfId="0" applyNumberFormat="1" applyFont="1" applyFill="1" applyBorder="1" applyAlignment="1">
      <alignment horizontal="center"/>
    </xf>
    <xf numFmtId="49" fontId="8" fillId="0" borderId="9" xfId="0" applyNumberFormat="1" applyFont="1" applyFill="1" applyBorder="1" applyAlignment="1">
      <alignment horizontal="center"/>
    </xf>
    <xf numFmtId="49" fontId="1" fillId="0" borderId="10" xfId="0" applyNumberFormat="1" applyFont="1" applyFill="1" applyBorder="1" applyAlignment="1">
      <alignment horizontal="center"/>
    </xf>
    <xf numFmtId="49" fontId="1" fillId="2" borderId="10" xfId="0" applyNumberFormat="1" applyFont="1" applyFill="1" applyBorder="1" applyAlignment="1">
      <alignment horizontal="center"/>
    </xf>
    <xf numFmtId="49" fontId="8" fillId="0" borderId="10" xfId="0" applyNumberFormat="1" applyFont="1" applyFill="1" applyBorder="1" applyAlignment="1">
      <alignment horizontal="center"/>
    </xf>
    <xf numFmtId="49" fontId="0" fillId="0" borderId="10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/>
    </xf>
    <xf numFmtId="49" fontId="1" fillId="0" borderId="7" xfId="0" applyNumberFormat="1" applyFont="1" applyFill="1" applyBorder="1" applyAlignment="1">
      <alignment horizontal="center" vertical="center"/>
    </xf>
    <xf numFmtId="49" fontId="5" fillId="0" borderId="0" xfId="0" applyNumberFormat="1" applyFont="1" applyBorder="1" applyAlignment="1">
      <alignment horizontal="center"/>
    </xf>
    <xf numFmtId="49" fontId="3" fillId="0" borderId="7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 wrapText="1"/>
    </xf>
    <xf numFmtId="49" fontId="3" fillId="0" borderId="5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49" fontId="3" fillId="0" borderId="11" xfId="0" applyNumberFormat="1" applyFont="1" applyFill="1" applyBorder="1" applyAlignment="1">
      <alignment horizontal="center" vertical="center"/>
    </xf>
    <xf numFmtId="49" fontId="3" fillId="0" borderId="12" xfId="0" applyNumberFormat="1" applyFont="1" applyFill="1" applyBorder="1" applyAlignment="1">
      <alignment horizontal="center" vertical="center"/>
    </xf>
    <xf numFmtId="49" fontId="2" fillId="0" borderId="11" xfId="0" applyNumberFormat="1" applyFont="1" applyFill="1" applyBorder="1" applyAlignment="1">
      <alignment horizontal="center" vertical="center"/>
    </xf>
    <xf numFmtId="49" fontId="2" fillId="0" borderId="12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2" fillId="0" borderId="13" xfId="0" applyNumberFormat="1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 wrapText="1"/>
    </xf>
    <xf numFmtId="49" fontId="2" fillId="0" borderId="14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172" fontId="1" fillId="0" borderId="7" xfId="0" applyNumberFormat="1" applyFont="1" applyFill="1" applyBorder="1" applyAlignment="1">
      <alignment horizontal="center"/>
    </xf>
    <xf numFmtId="172" fontId="1" fillId="0" borderId="0" xfId="0" applyNumberFormat="1" applyFont="1" applyFill="1" applyBorder="1" applyAlignment="1">
      <alignment horizontal="center"/>
    </xf>
    <xf numFmtId="1" fontId="2" fillId="0" borderId="2" xfId="0" applyNumberFormat="1" applyFont="1" applyFill="1" applyBorder="1" applyAlignment="1">
      <alignment horizontal="center" vertical="center"/>
    </xf>
    <xf numFmtId="1" fontId="1" fillId="0" borderId="7" xfId="0" applyNumberFormat="1" applyFont="1" applyFill="1" applyBorder="1" applyAlignment="1">
      <alignment horizontal="center"/>
    </xf>
    <xf numFmtId="1" fontId="1" fillId="0" borderId="0" xfId="0" applyNumberFormat="1" applyFont="1" applyFill="1" applyBorder="1" applyAlignment="1">
      <alignment horizontal="center"/>
    </xf>
    <xf numFmtId="49" fontId="1" fillId="0" borderId="8" xfId="0" applyNumberFormat="1" applyFont="1" applyFill="1" applyBorder="1" applyAlignment="1">
      <alignment horizontal="center" vertical="center"/>
    </xf>
    <xf numFmtId="49" fontId="1" fillId="0" borderId="9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/>
    </xf>
    <xf numFmtId="49" fontId="6" fillId="0" borderId="0" xfId="0" applyNumberFormat="1" applyFont="1" applyFill="1" applyBorder="1" applyAlignment="1">
      <alignment horizontal="center"/>
    </xf>
    <xf numFmtId="49" fontId="7" fillId="0" borderId="0" xfId="0" applyNumberFormat="1" applyFont="1" applyFill="1" applyBorder="1" applyAlignment="1">
      <alignment horizontal="center"/>
    </xf>
    <xf numFmtId="172" fontId="2" fillId="0" borderId="9" xfId="0" applyNumberFormat="1" applyFont="1" applyFill="1" applyBorder="1" applyAlignment="1">
      <alignment horizontal="center" vertical="center"/>
    </xf>
    <xf numFmtId="172" fontId="2" fillId="0" borderId="2" xfId="0" applyNumberFormat="1" applyFont="1" applyFill="1" applyBorder="1" applyAlignment="1">
      <alignment horizontal="center" vertical="center"/>
    </xf>
    <xf numFmtId="49" fontId="1" fillId="0" borderId="10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9" fillId="0" borderId="0" xfId="0" applyFont="1" applyAlignment="1">
      <alignment horizontal="center" vertical="center" wrapText="1"/>
    </xf>
    <xf numFmtId="0" fontId="0" fillId="0" borderId="0" xfId="0" applyAlignment="1">
      <alignment horizontal="left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V10"/>
  <sheetViews>
    <sheetView tabSelected="1" workbookViewId="0">
      <selection sqref="A1:V2"/>
    </sheetView>
  </sheetViews>
  <sheetFormatPr baseColWidth="10" defaultColWidth="9.1640625" defaultRowHeight="13"/>
  <cols>
    <col min="1" max="1" width="7.5" style="9" bestFit="1" customWidth="1"/>
    <col min="2" max="2" width="17.33203125" style="8" bestFit="1" customWidth="1"/>
    <col min="3" max="3" width="27.5" style="3" bestFit="1" customWidth="1"/>
    <col min="4" max="4" width="21.5" style="3" bestFit="1" customWidth="1"/>
    <col min="5" max="5" width="10.5" style="3" bestFit="1" customWidth="1"/>
    <col min="6" max="6" width="22.6640625" style="3" bestFit="1" customWidth="1"/>
    <col min="7" max="7" width="30.1640625" style="3" bestFit="1" customWidth="1"/>
    <col min="8" max="10" width="5.5" style="2" customWidth="1"/>
    <col min="11" max="11" width="4.83203125" style="2" customWidth="1"/>
    <col min="12" max="14" width="4.5" style="2" customWidth="1"/>
    <col min="15" max="15" width="4.83203125" style="2" customWidth="1"/>
    <col min="16" max="18" width="5.5" style="2" customWidth="1"/>
    <col min="19" max="19" width="4.83203125" style="2" customWidth="1"/>
    <col min="20" max="20" width="7.83203125" style="2" bestFit="1" customWidth="1"/>
    <col min="21" max="21" width="8.5" style="2" bestFit="1" customWidth="1"/>
    <col min="22" max="22" width="15.5" style="3" bestFit="1" customWidth="1"/>
    <col min="23" max="16384" width="9.1640625" style="3"/>
  </cols>
  <sheetData>
    <row r="1" spans="1:22" s="2" customFormat="1" ht="29" customHeight="1">
      <c r="A1" s="38" t="s">
        <v>288</v>
      </c>
      <c r="B1" s="39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1"/>
    </row>
    <row r="2" spans="1:22" s="2" customFormat="1" ht="62" customHeight="1" thickBot="1">
      <c r="A2" s="51"/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3"/>
    </row>
    <row r="3" spans="1:22" s="1" customFormat="1" ht="12.75" customHeight="1">
      <c r="A3" s="47" t="s">
        <v>51</v>
      </c>
      <c r="B3" s="48" t="s">
        <v>0</v>
      </c>
      <c r="C3" s="49" t="s">
        <v>6</v>
      </c>
      <c r="D3" s="49" t="s">
        <v>10</v>
      </c>
      <c r="E3" s="48" t="s">
        <v>11</v>
      </c>
      <c r="F3" s="48" t="s">
        <v>4</v>
      </c>
      <c r="G3" s="48" t="s">
        <v>7</v>
      </c>
      <c r="H3" s="48" t="s">
        <v>12</v>
      </c>
      <c r="I3" s="48"/>
      <c r="J3" s="48"/>
      <c r="K3" s="48"/>
      <c r="L3" s="48" t="s">
        <v>13</v>
      </c>
      <c r="M3" s="48"/>
      <c r="N3" s="48"/>
      <c r="O3" s="48"/>
      <c r="P3" s="48" t="s">
        <v>14</v>
      </c>
      <c r="Q3" s="48"/>
      <c r="R3" s="48"/>
      <c r="S3" s="48"/>
      <c r="T3" s="48" t="s">
        <v>1</v>
      </c>
      <c r="U3" s="48" t="s">
        <v>3</v>
      </c>
      <c r="V3" s="50" t="s">
        <v>2</v>
      </c>
    </row>
    <row r="4" spans="1:22" s="1" customFormat="1" ht="21" customHeight="1" thickBot="1">
      <c r="A4" s="30"/>
      <c r="B4" s="46"/>
      <c r="C4" s="31"/>
      <c r="D4" s="31"/>
      <c r="E4" s="31"/>
      <c r="F4" s="31"/>
      <c r="G4" s="31"/>
      <c r="H4" s="4">
        <v>1</v>
      </c>
      <c r="I4" s="4">
        <v>2</v>
      </c>
      <c r="J4" s="4">
        <v>3</v>
      </c>
      <c r="K4" s="4" t="s">
        <v>5</v>
      </c>
      <c r="L4" s="4">
        <v>1</v>
      </c>
      <c r="M4" s="4">
        <v>2</v>
      </c>
      <c r="N4" s="4">
        <v>3</v>
      </c>
      <c r="O4" s="4" t="s">
        <v>5</v>
      </c>
      <c r="P4" s="4">
        <v>1</v>
      </c>
      <c r="Q4" s="4">
        <v>2</v>
      </c>
      <c r="R4" s="4">
        <v>3</v>
      </c>
      <c r="S4" s="4" t="s">
        <v>5</v>
      </c>
      <c r="T4" s="31"/>
      <c r="U4" s="31"/>
      <c r="V4" s="29"/>
    </row>
    <row r="5" spans="1:22" ht="16">
      <c r="A5" s="32" t="s">
        <v>15</v>
      </c>
      <c r="B5" s="32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</row>
    <row r="6" spans="1:22">
      <c r="A6" s="33" t="s">
        <v>49</v>
      </c>
      <c r="B6" s="13" t="s">
        <v>16</v>
      </c>
      <c r="C6" s="5" t="s">
        <v>17</v>
      </c>
      <c r="D6" s="5" t="s">
        <v>18</v>
      </c>
      <c r="E6" s="5" t="str">
        <f>"1,1866"</f>
        <v>1,1866</v>
      </c>
      <c r="F6" s="5" t="s">
        <v>19</v>
      </c>
      <c r="G6" s="5" t="s">
        <v>20</v>
      </c>
      <c r="H6" s="10" t="s">
        <v>21</v>
      </c>
      <c r="I6" s="10" t="s">
        <v>22</v>
      </c>
      <c r="J6" s="10" t="s">
        <v>23</v>
      </c>
      <c r="K6" s="11"/>
      <c r="L6" s="10" t="s">
        <v>24</v>
      </c>
      <c r="M6" s="10" t="s">
        <v>25</v>
      </c>
      <c r="N6" s="10" t="s">
        <v>26</v>
      </c>
      <c r="O6" s="11"/>
      <c r="P6" s="10" t="s">
        <v>27</v>
      </c>
      <c r="Q6" s="10" t="s">
        <v>28</v>
      </c>
      <c r="R6" s="10" t="s">
        <v>29</v>
      </c>
      <c r="S6" s="11"/>
      <c r="T6" s="11" t="str">
        <f>"275,0"</f>
        <v>275,0</v>
      </c>
      <c r="U6" s="11" t="str">
        <f>"326,3150"</f>
        <v>326,3150</v>
      </c>
      <c r="V6" s="5" t="s">
        <v>228</v>
      </c>
    </row>
    <row r="7" spans="1:22">
      <c r="B7" s="8" t="s">
        <v>50</v>
      </c>
    </row>
    <row r="8" spans="1:22" ht="16">
      <c r="A8" s="32" t="s">
        <v>30</v>
      </c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</row>
    <row r="9" spans="1:22">
      <c r="A9" s="33" t="s">
        <v>49</v>
      </c>
      <c r="B9" s="13" t="s">
        <v>31</v>
      </c>
      <c r="C9" s="5" t="s">
        <v>32</v>
      </c>
      <c r="D9" s="5" t="s">
        <v>33</v>
      </c>
      <c r="E9" s="5" t="str">
        <f>"0,6471"</f>
        <v>0,6471</v>
      </c>
      <c r="F9" s="5" t="s">
        <v>121</v>
      </c>
      <c r="G9" s="5" t="s">
        <v>300</v>
      </c>
      <c r="H9" s="12" t="s">
        <v>34</v>
      </c>
      <c r="I9" s="10" t="s">
        <v>35</v>
      </c>
      <c r="J9" s="10" t="s">
        <v>36</v>
      </c>
      <c r="K9" s="11"/>
      <c r="L9" s="10" t="s">
        <v>21</v>
      </c>
      <c r="M9" s="10" t="s">
        <v>37</v>
      </c>
      <c r="N9" s="10" t="s">
        <v>38</v>
      </c>
      <c r="O9" s="11"/>
      <c r="P9" s="10" t="s">
        <v>39</v>
      </c>
      <c r="Q9" s="10" t="s">
        <v>40</v>
      </c>
      <c r="R9" s="10" t="s">
        <v>41</v>
      </c>
      <c r="S9" s="11"/>
      <c r="T9" s="11" t="str">
        <f>"420,0"</f>
        <v>420,0</v>
      </c>
      <c r="U9" s="11" t="str">
        <f>"352,5012"</f>
        <v>352,5012</v>
      </c>
      <c r="V9" s="5" t="s">
        <v>228</v>
      </c>
    </row>
    <row r="10" spans="1:22">
      <c r="B10" s="8" t="s">
        <v>50</v>
      </c>
    </row>
  </sheetData>
  <mergeCells count="16">
    <mergeCell ref="A1:V2"/>
    <mergeCell ref="H3:K3"/>
    <mergeCell ref="L3:O3"/>
    <mergeCell ref="P3:S3"/>
    <mergeCell ref="A3:A4"/>
    <mergeCell ref="C3:C4"/>
    <mergeCell ref="D3:D4"/>
    <mergeCell ref="V3:V4"/>
    <mergeCell ref="G3:G4"/>
    <mergeCell ref="F3:F4"/>
    <mergeCell ref="A5:S5"/>
    <mergeCell ref="A8:S8"/>
    <mergeCell ref="B3:B4"/>
    <mergeCell ref="E3:E4"/>
    <mergeCell ref="T3:T4"/>
    <mergeCell ref="U3:U4"/>
  </mergeCells>
  <phoneticPr fontId="0" type="noConversion"/>
  <pageMargins left="0.19685039370078741" right="0.47244094488188981" top="0.43307086614173229" bottom="0.47244094488188981" header="0.51181102362204722" footer="0.51181102362204722"/>
  <pageSetup scale="58" fitToHeight="100" orientation="landscape" horizontalDpi="300" verticalDpi="300"/>
  <headerFooter alignWithMargins="0">
    <oddFooter>&amp;L&amp;G&amp;R&amp;D&amp;T&amp;P</oddFooter>
  </headerFooter>
  <legacyDrawingHF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"/>
  <sheetViews>
    <sheetView workbookViewId="0">
      <selection sqref="A1:L2"/>
    </sheetView>
  </sheetViews>
  <sheetFormatPr baseColWidth="10" defaultColWidth="9.1640625" defaultRowHeight="13"/>
  <cols>
    <col min="1" max="1" width="7.5" style="9" bestFit="1" customWidth="1"/>
    <col min="2" max="2" width="16.33203125" style="8" bestFit="1" customWidth="1"/>
    <col min="3" max="3" width="28.5" style="3" bestFit="1" customWidth="1"/>
    <col min="4" max="4" width="21.5" style="3" bestFit="1" customWidth="1"/>
    <col min="5" max="5" width="10.5" style="3" bestFit="1" customWidth="1"/>
    <col min="6" max="6" width="22.6640625" style="3" bestFit="1" customWidth="1"/>
    <col min="7" max="7" width="31.5" style="3" bestFit="1" customWidth="1"/>
    <col min="8" max="8" width="8.6640625" style="2" customWidth="1"/>
    <col min="9" max="9" width="10.5" style="58" customWidth="1"/>
    <col min="10" max="10" width="10.5" style="2" bestFit="1" customWidth="1"/>
    <col min="11" max="11" width="9.5" style="2" bestFit="1" customWidth="1"/>
    <col min="12" max="12" width="15.5" style="3" bestFit="1" customWidth="1"/>
    <col min="13" max="16384" width="9.1640625" style="3"/>
  </cols>
  <sheetData>
    <row r="1" spans="1:12" s="2" customFormat="1" ht="29" customHeight="1">
      <c r="A1" s="38" t="s">
        <v>273</v>
      </c>
      <c r="B1" s="39"/>
      <c r="C1" s="40"/>
      <c r="D1" s="40"/>
      <c r="E1" s="40"/>
      <c r="F1" s="40"/>
      <c r="G1" s="40"/>
      <c r="H1" s="40"/>
      <c r="I1" s="40"/>
      <c r="J1" s="40"/>
      <c r="K1" s="40"/>
      <c r="L1" s="41"/>
    </row>
    <row r="2" spans="1:12" s="2" customFormat="1" ht="62" customHeight="1" thickBot="1">
      <c r="A2" s="51"/>
      <c r="B2" s="52"/>
      <c r="C2" s="52"/>
      <c r="D2" s="52"/>
      <c r="E2" s="52"/>
      <c r="F2" s="52"/>
      <c r="G2" s="52"/>
      <c r="H2" s="52"/>
      <c r="I2" s="52"/>
      <c r="J2" s="52"/>
      <c r="K2" s="52"/>
      <c r="L2" s="53"/>
    </row>
    <row r="3" spans="1:12" s="1" customFormat="1" ht="12.75" customHeight="1">
      <c r="A3" s="47" t="s">
        <v>51</v>
      </c>
      <c r="B3" s="48" t="s">
        <v>0</v>
      </c>
      <c r="C3" s="49" t="s">
        <v>6</v>
      </c>
      <c r="D3" s="49" t="s">
        <v>10</v>
      </c>
      <c r="E3" s="48" t="s">
        <v>52</v>
      </c>
      <c r="F3" s="48" t="s">
        <v>4</v>
      </c>
      <c r="G3" s="48" t="s">
        <v>7</v>
      </c>
      <c r="H3" s="48" t="s">
        <v>272</v>
      </c>
      <c r="I3" s="48"/>
      <c r="J3" s="48" t="s">
        <v>62</v>
      </c>
      <c r="K3" s="48" t="s">
        <v>3</v>
      </c>
      <c r="L3" s="50" t="s">
        <v>2</v>
      </c>
    </row>
    <row r="4" spans="1:12" s="1" customFormat="1" ht="21" customHeight="1" thickBot="1">
      <c r="A4" s="30"/>
      <c r="B4" s="46"/>
      <c r="C4" s="31"/>
      <c r="D4" s="31"/>
      <c r="E4" s="31"/>
      <c r="F4" s="31"/>
      <c r="G4" s="31"/>
      <c r="H4" s="4" t="s">
        <v>8</v>
      </c>
      <c r="I4" s="56" t="s">
        <v>9</v>
      </c>
      <c r="J4" s="31"/>
      <c r="K4" s="31"/>
      <c r="L4" s="29"/>
    </row>
    <row r="5" spans="1:12" ht="16">
      <c r="A5" s="32" t="s">
        <v>74</v>
      </c>
      <c r="B5" s="32"/>
      <c r="C5" s="34"/>
      <c r="D5" s="34"/>
      <c r="E5" s="34"/>
      <c r="F5" s="34"/>
      <c r="G5" s="34"/>
      <c r="H5" s="34"/>
      <c r="I5" s="34"/>
    </row>
    <row r="6" spans="1:12">
      <c r="A6" s="33" t="s">
        <v>49</v>
      </c>
      <c r="B6" s="13" t="s">
        <v>152</v>
      </c>
      <c r="C6" s="5" t="s">
        <v>153</v>
      </c>
      <c r="D6" s="5" t="s">
        <v>154</v>
      </c>
      <c r="E6" s="5" t="str">
        <f>"0,5637"</f>
        <v>0,5637</v>
      </c>
      <c r="F6" s="5" t="s">
        <v>155</v>
      </c>
      <c r="G6" s="5" t="s">
        <v>294</v>
      </c>
      <c r="H6" s="11" t="s">
        <v>132</v>
      </c>
      <c r="I6" s="57">
        <v>20</v>
      </c>
      <c r="J6" s="11" t="str">
        <f>"2200,0"</f>
        <v>2200,0</v>
      </c>
      <c r="K6" s="11" t="str">
        <f>"1293,3513"</f>
        <v>1293,3513</v>
      </c>
      <c r="L6" s="5" t="s">
        <v>228</v>
      </c>
    </row>
    <row r="7" spans="1:12">
      <c r="B7" s="8" t="s">
        <v>50</v>
      </c>
    </row>
  </sheetData>
  <mergeCells count="13">
    <mergeCell ref="A1:L2"/>
    <mergeCell ref="A3:A4"/>
    <mergeCell ref="C3:C4"/>
    <mergeCell ref="D3:D4"/>
    <mergeCell ref="E3:E4"/>
    <mergeCell ref="F3:F4"/>
    <mergeCell ref="G3:G4"/>
    <mergeCell ref="H3:I3"/>
    <mergeCell ref="J3:J4"/>
    <mergeCell ref="K3:K4"/>
    <mergeCell ref="L3:L4"/>
    <mergeCell ref="A5:I5"/>
    <mergeCell ref="B3:B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"/>
  <sheetViews>
    <sheetView workbookViewId="0">
      <selection sqref="A1:N2"/>
    </sheetView>
  </sheetViews>
  <sheetFormatPr baseColWidth="10" defaultColWidth="9.1640625" defaultRowHeight="13"/>
  <cols>
    <col min="1" max="1" width="7.5" style="9" bestFit="1" customWidth="1"/>
    <col min="2" max="2" width="20.5" style="8" bestFit="1" customWidth="1"/>
    <col min="3" max="3" width="27.5" style="3" bestFit="1" customWidth="1"/>
    <col min="4" max="4" width="21.5" style="3" bestFit="1" customWidth="1"/>
    <col min="5" max="5" width="10.5" style="3" bestFit="1" customWidth="1"/>
    <col min="6" max="6" width="22.6640625" style="3" bestFit="1" customWidth="1"/>
    <col min="7" max="7" width="30.1640625" style="3" bestFit="1" customWidth="1"/>
    <col min="8" max="10" width="5.5" style="2" customWidth="1"/>
    <col min="11" max="11" width="4.83203125" style="2" customWidth="1"/>
    <col min="12" max="12" width="10.5" style="2" bestFit="1" customWidth="1"/>
    <col min="13" max="13" width="8.5" style="2" bestFit="1" customWidth="1"/>
    <col min="14" max="14" width="15.6640625" style="3" bestFit="1" customWidth="1"/>
    <col min="15" max="16384" width="9.1640625" style="3"/>
  </cols>
  <sheetData>
    <row r="1" spans="1:14" s="2" customFormat="1" ht="29" customHeight="1">
      <c r="A1" s="38" t="s">
        <v>279</v>
      </c>
      <c r="B1" s="39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1"/>
    </row>
    <row r="2" spans="1:14" s="2" customFormat="1" ht="62" customHeight="1" thickBot="1">
      <c r="A2" s="51"/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3"/>
    </row>
    <row r="3" spans="1:14" s="1" customFormat="1" ht="12.75" customHeight="1">
      <c r="A3" s="47" t="s">
        <v>51</v>
      </c>
      <c r="B3" s="48" t="s">
        <v>0</v>
      </c>
      <c r="C3" s="49" t="s">
        <v>6</v>
      </c>
      <c r="D3" s="49" t="s">
        <v>10</v>
      </c>
      <c r="E3" s="48" t="s">
        <v>11</v>
      </c>
      <c r="F3" s="48" t="s">
        <v>4</v>
      </c>
      <c r="G3" s="48" t="s">
        <v>7</v>
      </c>
      <c r="H3" s="48" t="s">
        <v>14</v>
      </c>
      <c r="I3" s="48"/>
      <c r="J3" s="48"/>
      <c r="K3" s="48"/>
      <c r="L3" s="48" t="s">
        <v>62</v>
      </c>
      <c r="M3" s="48" t="s">
        <v>3</v>
      </c>
      <c r="N3" s="50" t="s">
        <v>2</v>
      </c>
    </row>
    <row r="4" spans="1:14" s="1" customFormat="1" ht="21" customHeight="1" thickBot="1">
      <c r="A4" s="30"/>
      <c r="B4" s="46"/>
      <c r="C4" s="31"/>
      <c r="D4" s="31"/>
      <c r="E4" s="31"/>
      <c r="F4" s="31"/>
      <c r="G4" s="31"/>
      <c r="H4" s="4">
        <v>1</v>
      </c>
      <c r="I4" s="4">
        <v>2</v>
      </c>
      <c r="J4" s="4">
        <v>3</v>
      </c>
      <c r="K4" s="4" t="s">
        <v>5</v>
      </c>
      <c r="L4" s="31"/>
      <c r="M4" s="31"/>
      <c r="N4" s="29"/>
    </row>
    <row r="5" spans="1:14" ht="16">
      <c r="A5" s="32" t="s">
        <v>30</v>
      </c>
      <c r="B5" s="32"/>
      <c r="C5" s="34"/>
      <c r="D5" s="34"/>
      <c r="E5" s="34"/>
      <c r="F5" s="34"/>
      <c r="G5" s="34"/>
      <c r="H5" s="34"/>
      <c r="I5" s="34"/>
      <c r="J5" s="34"/>
      <c r="K5" s="34"/>
    </row>
    <row r="6" spans="1:14">
      <c r="A6" s="33" t="s">
        <v>49</v>
      </c>
      <c r="B6" s="13" t="s">
        <v>219</v>
      </c>
      <c r="C6" s="5" t="s">
        <v>220</v>
      </c>
      <c r="D6" s="5" t="s">
        <v>221</v>
      </c>
      <c r="E6" s="5" t="str">
        <f>"0,8746"</f>
        <v>0,8746</v>
      </c>
      <c r="F6" s="5" t="s">
        <v>121</v>
      </c>
      <c r="G6" s="5" t="s">
        <v>20</v>
      </c>
      <c r="H6" s="10" t="s">
        <v>104</v>
      </c>
      <c r="I6" s="10" t="s">
        <v>132</v>
      </c>
      <c r="J6" s="10" t="s">
        <v>28</v>
      </c>
      <c r="K6" s="11"/>
      <c r="L6" s="11" t="str">
        <f>"115,0"</f>
        <v>115,0</v>
      </c>
      <c r="M6" s="11" t="str">
        <f>"135,7816"</f>
        <v>135,7816</v>
      </c>
      <c r="N6" s="5" t="s">
        <v>222</v>
      </c>
    </row>
    <row r="7" spans="1:14">
      <c r="B7" s="8" t="s">
        <v>50</v>
      </c>
    </row>
    <row r="8" spans="1:14" ht="16">
      <c r="A8" s="32" t="s">
        <v>158</v>
      </c>
      <c r="B8" s="32"/>
      <c r="C8" s="32"/>
      <c r="D8" s="32"/>
      <c r="E8" s="32"/>
      <c r="F8" s="32"/>
      <c r="G8" s="32"/>
      <c r="H8" s="32"/>
      <c r="I8" s="32"/>
      <c r="J8" s="32"/>
      <c r="K8" s="32"/>
    </row>
    <row r="9" spans="1:14">
      <c r="A9" s="33" t="s">
        <v>49</v>
      </c>
      <c r="B9" s="13" t="s">
        <v>223</v>
      </c>
      <c r="C9" s="5" t="s">
        <v>224</v>
      </c>
      <c r="D9" s="5" t="s">
        <v>225</v>
      </c>
      <c r="E9" s="5" t="str">
        <f>"0,5869"</f>
        <v>0,5869</v>
      </c>
      <c r="F9" s="5" t="s">
        <v>121</v>
      </c>
      <c r="G9" s="5" t="s">
        <v>85</v>
      </c>
      <c r="H9" s="10" t="s">
        <v>189</v>
      </c>
      <c r="I9" s="10" t="s">
        <v>226</v>
      </c>
      <c r="J9" s="12" t="s">
        <v>227</v>
      </c>
      <c r="K9" s="11"/>
      <c r="L9" s="11" t="str">
        <f>"280,0"</f>
        <v>280,0</v>
      </c>
      <c r="M9" s="11" t="str">
        <f>"177,1499"</f>
        <v>177,1499</v>
      </c>
      <c r="N9" s="5" t="s">
        <v>228</v>
      </c>
    </row>
    <row r="10" spans="1:14">
      <c r="B10" s="8" t="s">
        <v>50</v>
      </c>
    </row>
  </sheetData>
  <mergeCells count="14">
    <mergeCell ref="A1:N2"/>
    <mergeCell ref="A3:A4"/>
    <mergeCell ref="C3:C4"/>
    <mergeCell ref="D3:D4"/>
    <mergeCell ref="E3:E4"/>
    <mergeCell ref="F3:F4"/>
    <mergeCell ref="G3:G4"/>
    <mergeCell ref="H3:K3"/>
    <mergeCell ref="A8:K8"/>
    <mergeCell ref="B3:B4"/>
    <mergeCell ref="L3:L4"/>
    <mergeCell ref="M3:M4"/>
    <mergeCell ref="N3:N4"/>
    <mergeCell ref="A5:K5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workbookViewId="0">
      <selection sqref="A1:N2"/>
    </sheetView>
  </sheetViews>
  <sheetFormatPr baseColWidth="10" defaultColWidth="9.1640625" defaultRowHeight="13"/>
  <cols>
    <col min="1" max="1" width="7.5" style="9" bestFit="1" customWidth="1"/>
    <col min="2" max="2" width="15.5" style="8" bestFit="1" customWidth="1"/>
    <col min="3" max="3" width="27.5" style="3" bestFit="1" customWidth="1"/>
    <col min="4" max="4" width="21.5" style="3" bestFit="1" customWidth="1"/>
    <col min="5" max="5" width="10.5" style="3" bestFit="1" customWidth="1"/>
    <col min="6" max="6" width="22.6640625" style="3" bestFit="1" customWidth="1"/>
    <col min="7" max="7" width="30.1640625" style="3" bestFit="1" customWidth="1"/>
    <col min="8" max="10" width="5.5" style="2" customWidth="1"/>
    <col min="11" max="11" width="4.83203125" style="2" customWidth="1"/>
    <col min="12" max="12" width="10.5" style="2" bestFit="1" customWidth="1"/>
    <col min="13" max="13" width="8.5" style="2" bestFit="1" customWidth="1"/>
    <col min="14" max="14" width="15.5" style="3" bestFit="1" customWidth="1"/>
    <col min="15" max="16384" width="9.1640625" style="3"/>
  </cols>
  <sheetData>
    <row r="1" spans="1:14" s="2" customFormat="1" ht="29" customHeight="1">
      <c r="A1" s="38" t="s">
        <v>280</v>
      </c>
      <c r="B1" s="39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1"/>
    </row>
    <row r="2" spans="1:14" s="2" customFormat="1" ht="62" customHeight="1" thickBot="1">
      <c r="A2" s="51"/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3"/>
    </row>
    <row r="3" spans="1:14" s="1" customFormat="1" ht="12.75" customHeight="1">
      <c r="A3" s="47" t="s">
        <v>51</v>
      </c>
      <c r="B3" s="48" t="s">
        <v>0</v>
      </c>
      <c r="C3" s="49" t="s">
        <v>6</v>
      </c>
      <c r="D3" s="49" t="s">
        <v>10</v>
      </c>
      <c r="E3" s="48" t="s">
        <v>11</v>
      </c>
      <c r="F3" s="48" t="s">
        <v>4</v>
      </c>
      <c r="G3" s="48" t="s">
        <v>7</v>
      </c>
      <c r="H3" s="48" t="s">
        <v>14</v>
      </c>
      <c r="I3" s="48"/>
      <c r="J3" s="48"/>
      <c r="K3" s="48"/>
      <c r="L3" s="48" t="s">
        <v>62</v>
      </c>
      <c r="M3" s="48" t="s">
        <v>3</v>
      </c>
      <c r="N3" s="50" t="s">
        <v>2</v>
      </c>
    </row>
    <row r="4" spans="1:14" s="1" customFormat="1" ht="21" customHeight="1" thickBot="1">
      <c r="A4" s="30"/>
      <c r="B4" s="46"/>
      <c r="C4" s="31"/>
      <c r="D4" s="31"/>
      <c r="E4" s="31"/>
      <c r="F4" s="31"/>
      <c r="G4" s="31"/>
      <c r="H4" s="4">
        <v>1</v>
      </c>
      <c r="I4" s="4">
        <v>2</v>
      </c>
      <c r="J4" s="4">
        <v>3</v>
      </c>
      <c r="K4" s="4" t="s">
        <v>5</v>
      </c>
      <c r="L4" s="31"/>
      <c r="M4" s="31"/>
      <c r="N4" s="29"/>
    </row>
    <row r="5" spans="1:14" ht="16">
      <c r="A5" s="32" t="s">
        <v>208</v>
      </c>
      <c r="B5" s="32"/>
      <c r="C5" s="34"/>
      <c r="D5" s="34"/>
      <c r="E5" s="34"/>
      <c r="F5" s="34"/>
      <c r="G5" s="34"/>
      <c r="H5" s="34"/>
      <c r="I5" s="34"/>
      <c r="J5" s="34"/>
      <c r="K5" s="34"/>
    </row>
    <row r="6" spans="1:14">
      <c r="A6" s="33" t="s">
        <v>49</v>
      </c>
      <c r="B6" s="13" t="s">
        <v>209</v>
      </c>
      <c r="C6" s="5" t="s">
        <v>210</v>
      </c>
      <c r="D6" s="5" t="s">
        <v>211</v>
      </c>
      <c r="E6" s="5" t="str">
        <f>"0,8516"</f>
        <v>0,8516</v>
      </c>
      <c r="F6" s="5" t="s">
        <v>299</v>
      </c>
      <c r="G6" s="5" t="s">
        <v>20</v>
      </c>
      <c r="H6" s="12" t="s">
        <v>212</v>
      </c>
      <c r="I6" s="10" t="s">
        <v>213</v>
      </c>
      <c r="J6" s="10" t="s">
        <v>214</v>
      </c>
      <c r="K6" s="11"/>
      <c r="L6" s="11" t="str">
        <f>"165,0"</f>
        <v>165,0</v>
      </c>
      <c r="M6" s="11" t="str">
        <f>"140,5140"</f>
        <v>140,5140</v>
      </c>
      <c r="N6" s="5" t="s">
        <v>215</v>
      </c>
    </row>
    <row r="7" spans="1:14">
      <c r="B7" s="8" t="s">
        <v>50</v>
      </c>
    </row>
    <row r="8" spans="1:14" ht="16">
      <c r="A8" s="32" t="s">
        <v>100</v>
      </c>
      <c r="B8" s="32"/>
      <c r="C8" s="32"/>
      <c r="D8" s="32"/>
      <c r="E8" s="32"/>
      <c r="F8" s="32"/>
      <c r="G8" s="32"/>
      <c r="H8" s="32"/>
      <c r="I8" s="32"/>
      <c r="J8" s="32"/>
      <c r="K8" s="32"/>
    </row>
    <row r="9" spans="1:14">
      <c r="A9" s="33" t="s">
        <v>49</v>
      </c>
      <c r="B9" s="13" t="s">
        <v>216</v>
      </c>
      <c r="C9" s="5" t="s">
        <v>217</v>
      </c>
      <c r="D9" s="5" t="s">
        <v>107</v>
      </c>
      <c r="E9" s="5" t="str">
        <f>"0,7300"</f>
        <v>0,7300</v>
      </c>
      <c r="F9" s="5" t="s">
        <v>299</v>
      </c>
      <c r="G9" s="5" t="s">
        <v>20</v>
      </c>
      <c r="H9" s="10" t="s">
        <v>218</v>
      </c>
      <c r="I9" s="10" t="s">
        <v>206</v>
      </c>
      <c r="J9" s="10" t="s">
        <v>189</v>
      </c>
      <c r="K9" s="11"/>
      <c r="L9" s="11" t="str">
        <f>"260,0"</f>
        <v>260,0</v>
      </c>
      <c r="M9" s="11" t="str">
        <f>"189,8000"</f>
        <v>189,8000</v>
      </c>
      <c r="N9" s="5" t="s">
        <v>228</v>
      </c>
    </row>
    <row r="10" spans="1:14">
      <c r="B10" s="8" t="s">
        <v>50</v>
      </c>
    </row>
    <row r="11" spans="1:14" ht="16">
      <c r="A11" s="32" t="s">
        <v>30</v>
      </c>
      <c r="B11" s="32"/>
      <c r="C11" s="32"/>
      <c r="D11" s="32"/>
      <c r="E11" s="32"/>
      <c r="F11" s="32"/>
      <c r="G11" s="32"/>
      <c r="H11" s="32"/>
      <c r="I11" s="32"/>
      <c r="J11" s="32"/>
      <c r="K11" s="32"/>
    </row>
    <row r="12" spans="1:14">
      <c r="A12" s="33" t="s">
        <v>49</v>
      </c>
      <c r="B12" s="13" t="s">
        <v>31</v>
      </c>
      <c r="C12" s="5" t="s">
        <v>32</v>
      </c>
      <c r="D12" s="5" t="s">
        <v>33</v>
      </c>
      <c r="E12" s="5" t="str">
        <f>"0,6471"</f>
        <v>0,6471</v>
      </c>
      <c r="F12" s="5" t="s">
        <v>121</v>
      </c>
      <c r="G12" s="5" t="s">
        <v>300</v>
      </c>
      <c r="H12" s="10" t="s">
        <v>39</v>
      </c>
      <c r="I12" s="10" t="s">
        <v>40</v>
      </c>
      <c r="J12" s="10" t="s">
        <v>41</v>
      </c>
      <c r="K12" s="11"/>
      <c r="L12" s="11" t="str">
        <f>"180,0"</f>
        <v>180,0</v>
      </c>
      <c r="M12" s="11" t="str">
        <f>"151,0720"</f>
        <v>151,0720</v>
      </c>
      <c r="N12" s="5" t="s">
        <v>228</v>
      </c>
    </row>
    <row r="13" spans="1:14">
      <c r="B13" s="8" t="s">
        <v>50</v>
      </c>
    </row>
  </sheetData>
  <mergeCells count="15">
    <mergeCell ref="A1:N2"/>
    <mergeCell ref="A3:A4"/>
    <mergeCell ref="C3:C4"/>
    <mergeCell ref="D3:D4"/>
    <mergeCell ref="E3:E4"/>
    <mergeCell ref="F3:F4"/>
    <mergeCell ref="G3:G4"/>
    <mergeCell ref="H3:K3"/>
    <mergeCell ref="A8:K8"/>
    <mergeCell ref="A11:K11"/>
    <mergeCell ref="B3:B4"/>
    <mergeCell ref="L3:L4"/>
    <mergeCell ref="M3:M4"/>
    <mergeCell ref="N3:N4"/>
    <mergeCell ref="A5:K5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6"/>
  <sheetViews>
    <sheetView workbookViewId="0">
      <selection sqref="A1:R2"/>
    </sheetView>
  </sheetViews>
  <sheetFormatPr baseColWidth="10" defaultColWidth="9.1640625" defaultRowHeight="13"/>
  <cols>
    <col min="1" max="1" width="7.5" style="9" bestFit="1" customWidth="1"/>
    <col min="2" max="2" width="18.5" style="8" bestFit="1" customWidth="1"/>
    <col min="3" max="3" width="28.5" style="3" bestFit="1" customWidth="1"/>
    <col min="4" max="4" width="21.5" style="3" bestFit="1" customWidth="1"/>
    <col min="5" max="5" width="10.5" style="3" bestFit="1" customWidth="1"/>
    <col min="6" max="6" width="22.6640625" style="3" bestFit="1" customWidth="1"/>
    <col min="7" max="7" width="32" style="3" bestFit="1" customWidth="1"/>
    <col min="8" max="10" width="4.5" style="2" customWidth="1"/>
    <col min="11" max="11" width="4.83203125" style="2" customWidth="1"/>
    <col min="12" max="14" width="4.5" style="2" customWidth="1"/>
    <col min="15" max="15" width="4.83203125" style="2" customWidth="1"/>
    <col min="16" max="16" width="7.83203125" style="2" bestFit="1" customWidth="1"/>
    <col min="17" max="17" width="8.5" style="2" bestFit="1" customWidth="1"/>
    <col min="18" max="18" width="15.5" style="3" bestFit="1" customWidth="1"/>
    <col min="19" max="16384" width="9.1640625" style="3"/>
  </cols>
  <sheetData>
    <row r="1" spans="1:18" s="2" customFormat="1" ht="29" customHeight="1">
      <c r="A1" s="38" t="s">
        <v>274</v>
      </c>
      <c r="B1" s="39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1"/>
    </row>
    <row r="2" spans="1:18" s="2" customFormat="1" ht="62" customHeight="1" thickBot="1">
      <c r="A2" s="51"/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3"/>
    </row>
    <row r="3" spans="1:18" s="1" customFormat="1" ht="12.75" customHeight="1">
      <c r="A3" s="47" t="s">
        <v>51</v>
      </c>
      <c r="B3" s="48" t="s">
        <v>0</v>
      </c>
      <c r="C3" s="49" t="s">
        <v>6</v>
      </c>
      <c r="D3" s="49" t="s">
        <v>10</v>
      </c>
      <c r="E3" s="48" t="s">
        <v>52</v>
      </c>
      <c r="F3" s="48" t="s">
        <v>4</v>
      </c>
      <c r="G3" s="48" t="s">
        <v>7</v>
      </c>
      <c r="H3" s="48" t="s">
        <v>250</v>
      </c>
      <c r="I3" s="48"/>
      <c r="J3" s="48"/>
      <c r="K3" s="48"/>
      <c r="L3" s="48" t="s">
        <v>229</v>
      </c>
      <c r="M3" s="48"/>
      <c r="N3" s="48"/>
      <c r="O3" s="48"/>
      <c r="P3" s="48" t="s">
        <v>1</v>
      </c>
      <c r="Q3" s="48" t="s">
        <v>3</v>
      </c>
      <c r="R3" s="50" t="s">
        <v>2</v>
      </c>
    </row>
    <row r="4" spans="1:18" s="1" customFormat="1" ht="21" customHeight="1" thickBot="1">
      <c r="A4" s="30"/>
      <c r="B4" s="46"/>
      <c r="C4" s="31"/>
      <c r="D4" s="31"/>
      <c r="E4" s="31"/>
      <c r="F4" s="31"/>
      <c r="G4" s="31"/>
      <c r="H4" s="4">
        <v>1</v>
      </c>
      <c r="I4" s="4">
        <v>2</v>
      </c>
      <c r="J4" s="4">
        <v>3</v>
      </c>
      <c r="K4" s="4" t="s">
        <v>5</v>
      </c>
      <c r="L4" s="4">
        <v>1</v>
      </c>
      <c r="M4" s="4">
        <v>2</v>
      </c>
      <c r="N4" s="4">
        <v>3</v>
      </c>
      <c r="O4" s="4" t="s">
        <v>5</v>
      </c>
      <c r="P4" s="31"/>
      <c r="Q4" s="31"/>
      <c r="R4" s="29"/>
    </row>
    <row r="5" spans="1:18" ht="16">
      <c r="A5" s="32" t="s">
        <v>81</v>
      </c>
      <c r="B5" s="32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</row>
    <row r="6" spans="1:18">
      <c r="A6" s="33" t="s">
        <v>49</v>
      </c>
      <c r="B6" s="13" t="s">
        <v>257</v>
      </c>
      <c r="C6" s="5" t="s">
        <v>258</v>
      </c>
      <c r="D6" s="5" t="s">
        <v>259</v>
      </c>
      <c r="E6" s="5" t="str">
        <f>"1,1790"</f>
        <v>1,1790</v>
      </c>
      <c r="F6" s="5" t="s">
        <v>149</v>
      </c>
      <c r="G6" s="5" t="s">
        <v>295</v>
      </c>
      <c r="H6" s="10" t="s">
        <v>260</v>
      </c>
      <c r="I6" s="10" t="s">
        <v>261</v>
      </c>
      <c r="J6" s="12" t="s">
        <v>230</v>
      </c>
      <c r="K6" s="11"/>
      <c r="L6" s="10" t="s">
        <v>260</v>
      </c>
      <c r="M6" s="10" t="s">
        <v>261</v>
      </c>
      <c r="N6" s="10" t="s">
        <v>230</v>
      </c>
      <c r="O6" s="11"/>
      <c r="P6" s="11" t="str">
        <f>"47,5"</f>
        <v>47,5</v>
      </c>
      <c r="Q6" s="11" t="str">
        <f>"56,0025"</f>
        <v>56,0025</v>
      </c>
      <c r="R6" s="5" t="s">
        <v>262</v>
      </c>
    </row>
    <row r="7" spans="1:18">
      <c r="B7" s="8" t="s">
        <v>50</v>
      </c>
    </row>
    <row r="8" spans="1:18" ht="16">
      <c r="A8" s="32" t="s">
        <v>100</v>
      </c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</row>
    <row r="9" spans="1:18">
      <c r="A9" s="33" t="s">
        <v>49</v>
      </c>
      <c r="B9" s="13" t="s">
        <v>263</v>
      </c>
      <c r="C9" s="5" t="s">
        <v>289</v>
      </c>
      <c r="D9" s="5" t="s">
        <v>264</v>
      </c>
      <c r="E9" s="5" t="str">
        <f>"0,8523"</f>
        <v>0,8523</v>
      </c>
      <c r="F9" s="5" t="s">
        <v>149</v>
      </c>
      <c r="G9" s="5" t="s">
        <v>265</v>
      </c>
      <c r="H9" s="10" t="s">
        <v>266</v>
      </c>
      <c r="I9" s="12" t="s">
        <v>233</v>
      </c>
      <c r="J9" s="10" t="s">
        <v>233</v>
      </c>
      <c r="K9" s="11"/>
      <c r="L9" s="10" t="s">
        <v>230</v>
      </c>
      <c r="M9" s="10" t="s">
        <v>267</v>
      </c>
      <c r="N9" s="10" t="s">
        <v>231</v>
      </c>
      <c r="O9" s="11"/>
      <c r="P9" s="11" t="str">
        <f>"67,5"</f>
        <v>67,5</v>
      </c>
      <c r="Q9" s="11" t="str">
        <f>"58,1058"</f>
        <v>58,1058</v>
      </c>
      <c r="R9" s="5" t="s">
        <v>228</v>
      </c>
    </row>
    <row r="10" spans="1:18">
      <c r="B10" s="8" t="s">
        <v>50</v>
      </c>
    </row>
    <row r="11" spans="1:18" ht="16">
      <c r="A11" s="32" t="s">
        <v>100</v>
      </c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</row>
    <row r="12" spans="1:18">
      <c r="A12" s="33" t="s">
        <v>49</v>
      </c>
      <c r="B12" s="13" t="s">
        <v>268</v>
      </c>
      <c r="C12" s="5" t="s">
        <v>269</v>
      </c>
      <c r="D12" s="5" t="s">
        <v>270</v>
      </c>
      <c r="E12" s="5" t="str">
        <f>"0,6934"</f>
        <v>0,6934</v>
      </c>
      <c r="F12" s="5" t="s">
        <v>149</v>
      </c>
      <c r="G12" s="5" t="s">
        <v>265</v>
      </c>
      <c r="H12" s="10" t="s">
        <v>21</v>
      </c>
      <c r="I12" s="10" t="s">
        <v>99</v>
      </c>
      <c r="J12" s="10" t="s">
        <v>22</v>
      </c>
      <c r="K12" s="11"/>
      <c r="L12" s="10" t="s">
        <v>87</v>
      </c>
      <c r="M12" s="10" t="s">
        <v>24</v>
      </c>
      <c r="N12" s="12" t="s">
        <v>271</v>
      </c>
      <c r="O12" s="11"/>
      <c r="P12" s="11" t="str">
        <f>"145,0"</f>
        <v>145,0</v>
      </c>
      <c r="Q12" s="11" t="str">
        <f>"100,5358"</f>
        <v>100,5358</v>
      </c>
      <c r="R12" s="5" t="s">
        <v>228</v>
      </c>
    </row>
    <row r="13" spans="1:18">
      <c r="B13" s="8" t="s">
        <v>50</v>
      </c>
    </row>
    <row r="14" spans="1:18" ht="16">
      <c r="A14" s="32" t="s">
        <v>30</v>
      </c>
      <c r="B14" s="32"/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</row>
    <row r="15" spans="1:18">
      <c r="A15" s="33" t="s">
        <v>49</v>
      </c>
      <c r="B15" s="13" t="s">
        <v>246</v>
      </c>
      <c r="C15" s="5" t="s">
        <v>290</v>
      </c>
      <c r="D15" s="5" t="s">
        <v>247</v>
      </c>
      <c r="E15" s="5" t="str">
        <f>"0,6161"</f>
        <v>0,6161</v>
      </c>
      <c r="F15" s="5" t="s">
        <v>149</v>
      </c>
      <c r="G15" s="5" t="s">
        <v>295</v>
      </c>
      <c r="H15" s="10" t="s">
        <v>21</v>
      </c>
      <c r="I15" s="10" t="s">
        <v>99</v>
      </c>
      <c r="J15" s="10" t="s">
        <v>22</v>
      </c>
      <c r="K15" s="11"/>
      <c r="L15" s="10" t="s">
        <v>24</v>
      </c>
      <c r="M15" s="10" t="s">
        <v>26</v>
      </c>
      <c r="N15" s="10" t="s">
        <v>243</v>
      </c>
      <c r="O15" s="11"/>
      <c r="P15" s="11" t="str">
        <f>"155,0"</f>
        <v>155,0</v>
      </c>
      <c r="Q15" s="11" t="str">
        <f>"109,5245"</f>
        <v>109,5245</v>
      </c>
      <c r="R15" s="5" t="s">
        <v>228</v>
      </c>
    </row>
    <row r="16" spans="1:18">
      <c r="B16" s="8" t="s">
        <v>50</v>
      </c>
    </row>
  </sheetData>
  <mergeCells count="17">
    <mergeCell ref="R3:R4"/>
    <mergeCell ref="A5:O5"/>
    <mergeCell ref="A1:R2"/>
    <mergeCell ref="A3:A4"/>
    <mergeCell ref="C3:C4"/>
    <mergeCell ref="D3:D4"/>
    <mergeCell ref="E3:E4"/>
    <mergeCell ref="F3:F4"/>
    <mergeCell ref="G3:G4"/>
    <mergeCell ref="H3:K3"/>
    <mergeCell ref="A8:O8"/>
    <mergeCell ref="A11:O11"/>
    <mergeCell ref="A14:O14"/>
    <mergeCell ref="B3:B4"/>
    <mergeCell ref="P3:P4"/>
    <mergeCell ref="Q3:Q4"/>
    <mergeCell ref="L3:O3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"/>
  <sheetViews>
    <sheetView workbookViewId="0">
      <selection sqref="A1:R2"/>
    </sheetView>
  </sheetViews>
  <sheetFormatPr baseColWidth="10" defaultColWidth="9.1640625" defaultRowHeight="13"/>
  <cols>
    <col min="1" max="1" width="7.5" style="9" bestFit="1" customWidth="1"/>
    <col min="2" max="2" width="16.33203125" style="8" bestFit="1" customWidth="1"/>
    <col min="3" max="3" width="28.5" style="3" bestFit="1" customWidth="1"/>
    <col min="4" max="4" width="21.5" style="3" bestFit="1" customWidth="1"/>
    <col min="5" max="5" width="10.5" style="3" bestFit="1" customWidth="1"/>
    <col min="6" max="6" width="22.6640625" style="3" bestFit="1" customWidth="1"/>
    <col min="7" max="7" width="30.1640625" style="3" bestFit="1" customWidth="1"/>
    <col min="8" max="10" width="5.5" style="2" customWidth="1"/>
    <col min="11" max="11" width="4.83203125" style="2" customWidth="1"/>
    <col min="12" max="14" width="4.5" style="2" customWidth="1"/>
    <col min="15" max="15" width="4.83203125" style="2" customWidth="1"/>
    <col min="16" max="16" width="7.83203125" style="2" bestFit="1" customWidth="1"/>
    <col min="17" max="17" width="8.5" style="2" bestFit="1" customWidth="1"/>
    <col min="18" max="18" width="15.5" style="3" bestFit="1" customWidth="1"/>
    <col min="19" max="16384" width="9.1640625" style="3"/>
  </cols>
  <sheetData>
    <row r="1" spans="1:18" s="2" customFormat="1" ht="29" customHeight="1">
      <c r="A1" s="38" t="s">
        <v>275</v>
      </c>
      <c r="B1" s="39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1"/>
    </row>
    <row r="2" spans="1:18" s="2" customFormat="1" ht="62" customHeight="1" thickBot="1">
      <c r="A2" s="51"/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3"/>
    </row>
    <row r="3" spans="1:18" s="1" customFormat="1" ht="12.75" customHeight="1">
      <c r="A3" s="47" t="s">
        <v>51</v>
      </c>
      <c r="B3" s="48" t="s">
        <v>0</v>
      </c>
      <c r="C3" s="49" t="s">
        <v>6</v>
      </c>
      <c r="D3" s="49" t="s">
        <v>10</v>
      </c>
      <c r="E3" s="48" t="s">
        <v>52</v>
      </c>
      <c r="F3" s="48" t="s">
        <v>4</v>
      </c>
      <c r="G3" s="48" t="s">
        <v>7</v>
      </c>
      <c r="H3" s="48" t="s">
        <v>250</v>
      </c>
      <c r="I3" s="48"/>
      <c r="J3" s="48"/>
      <c r="K3" s="48"/>
      <c r="L3" s="48" t="s">
        <v>229</v>
      </c>
      <c r="M3" s="48"/>
      <c r="N3" s="48"/>
      <c r="O3" s="48"/>
      <c r="P3" s="48" t="s">
        <v>1</v>
      </c>
      <c r="Q3" s="48" t="s">
        <v>3</v>
      </c>
      <c r="R3" s="50" t="s">
        <v>2</v>
      </c>
    </row>
    <row r="4" spans="1:18" s="1" customFormat="1" ht="21" customHeight="1" thickBot="1">
      <c r="A4" s="30"/>
      <c r="B4" s="46"/>
      <c r="C4" s="31"/>
      <c r="D4" s="31"/>
      <c r="E4" s="31"/>
      <c r="F4" s="31"/>
      <c r="G4" s="31"/>
      <c r="H4" s="4">
        <v>1</v>
      </c>
      <c r="I4" s="4">
        <v>2</v>
      </c>
      <c r="J4" s="4">
        <v>3</v>
      </c>
      <c r="K4" s="4" t="s">
        <v>5</v>
      </c>
      <c r="L4" s="4">
        <v>1</v>
      </c>
      <c r="M4" s="4">
        <v>2</v>
      </c>
      <c r="N4" s="4">
        <v>3</v>
      </c>
      <c r="O4" s="4" t="s">
        <v>5</v>
      </c>
      <c r="P4" s="31"/>
      <c r="Q4" s="31"/>
      <c r="R4" s="29"/>
    </row>
    <row r="5" spans="1:18" ht="16">
      <c r="A5" s="32" t="s">
        <v>251</v>
      </c>
      <c r="B5" s="32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</row>
    <row r="6" spans="1:18">
      <c r="A6" s="33" t="s">
        <v>49</v>
      </c>
      <c r="B6" s="13" t="s">
        <v>252</v>
      </c>
      <c r="C6" s="5" t="s">
        <v>291</v>
      </c>
      <c r="D6" s="5" t="s">
        <v>253</v>
      </c>
      <c r="E6" s="5" t="str">
        <f>"0,5444"</f>
        <v>0,5444</v>
      </c>
      <c r="F6" s="5" t="s">
        <v>121</v>
      </c>
      <c r="G6" s="5" t="s">
        <v>20</v>
      </c>
      <c r="H6" s="10" t="s">
        <v>132</v>
      </c>
      <c r="I6" s="10" t="s">
        <v>254</v>
      </c>
      <c r="J6" s="10" t="s">
        <v>255</v>
      </c>
      <c r="K6" s="11"/>
      <c r="L6" s="10" t="s">
        <v>243</v>
      </c>
      <c r="M6" s="12" t="s">
        <v>256</v>
      </c>
      <c r="N6" s="10" t="s">
        <v>256</v>
      </c>
      <c r="O6" s="11"/>
      <c r="P6" s="11" t="str">
        <f>"195,0"</f>
        <v>195,0</v>
      </c>
      <c r="Q6" s="11" t="str">
        <f>"108,2752"</f>
        <v>108,2752</v>
      </c>
      <c r="R6" s="5" t="s">
        <v>228</v>
      </c>
    </row>
    <row r="7" spans="1:18">
      <c r="B7" s="8" t="s">
        <v>50</v>
      </c>
    </row>
  </sheetData>
  <mergeCells count="14">
    <mergeCell ref="F3:F4"/>
    <mergeCell ref="G3:G4"/>
    <mergeCell ref="H3:K3"/>
    <mergeCell ref="L3:O3"/>
    <mergeCell ref="P3:P4"/>
    <mergeCell ref="Q3:Q4"/>
    <mergeCell ref="R3:R4"/>
    <mergeCell ref="A5:O5"/>
    <mergeCell ref="B3:B4"/>
    <mergeCell ref="A1:R2"/>
    <mergeCell ref="A3:A4"/>
    <mergeCell ref="C3:C4"/>
    <mergeCell ref="D3:D4"/>
    <mergeCell ref="E3:E4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"/>
  <sheetViews>
    <sheetView workbookViewId="0">
      <selection sqref="A1:N2"/>
    </sheetView>
  </sheetViews>
  <sheetFormatPr baseColWidth="10" defaultColWidth="9.1640625" defaultRowHeight="13"/>
  <cols>
    <col min="1" max="1" width="7.5" style="9" bestFit="1" customWidth="1"/>
    <col min="2" max="2" width="18" style="8" bestFit="1" customWidth="1"/>
    <col min="3" max="3" width="28.5" style="3" bestFit="1" customWidth="1"/>
    <col min="4" max="4" width="21.5" style="3" bestFit="1" customWidth="1"/>
    <col min="5" max="5" width="10.5" style="3" bestFit="1" customWidth="1"/>
    <col min="6" max="6" width="22.6640625" style="3" bestFit="1" customWidth="1"/>
    <col min="7" max="7" width="32" style="3" bestFit="1" customWidth="1"/>
    <col min="8" max="10" width="4.5" style="2" customWidth="1"/>
    <col min="11" max="11" width="4.83203125" style="2" customWidth="1"/>
    <col min="12" max="12" width="10.5" style="2" bestFit="1" customWidth="1"/>
    <col min="13" max="13" width="7.5" style="2" bestFit="1" customWidth="1"/>
    <col min="14" max="14" width="15.5" style="3" bestFit="1" customWidth="1"/>
    <col min="15" max="16384" width="9.1640625" style="3"/>
  </cols>
  <sheetData>
    <row r="1" spans="1:14" s="2" customFormat="1" ht="29" customHeight="1">
      <c r="A1" s="38" t="s">
        <v>276</v>
      </c>
      <c r="B1" s="39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1"/>
    </row>
    <row r="2" spans="1:14" s="2" customFormat="1" ht="62" customHeight="1" thickBot="1">
      <c r="A2" s="51"/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3"/>
    </row>
    <row r="3" spans="1:14" s="1" customFormat="1" ht="12.75" customHeight="1">
      <c r="A3" s="47" t="s">
        <v>51</v>
      </c>
      <c r="B3" s="48" t="s">
        <v>0</v>
      </c>
      <c r="C3" s="49" t="s">
        <v>6</v>
      </c>
      <c r="D3" s="49" t="s">
        <v>10</v>
      </c>
      <c r="E3" s="48" t="s">
        <v>52</v>
      </c>
      <c r="F3" s="48" t="s">
        <v>4</v>
      </c>
      <c r="G3" s="48" t="s">
        <v>7</v>
      </c>
      <c r="H3" s="48" t="s">
        <v>229</v>
      </c>
      <c r="I3" s="48"/>
      <c r="J3" s="48"/>
      <c r="K3" s="48"/>
      <c r="L3" s="48" t="s">
        <v>62</v>
      </c>
      <c r="M3" s="48" t="s">
        <v>3</v>
      </c>
      <c r="N3" s="50" t="s">
        <v>2</v>
      </c>
    </row>
    <row r="4" spans="1:14" s="1" customFormat="1" ht="21" customHeight="1" thickBot="1">
      <c r="A4" s="30"/>
      <c r="B4" s="46"/>
      <c r="C4" s="31"/>
      <c r="D4" s="31"/>
      <c r="E4" s="31"/>
      <c r="F4" s="31"/>
      <c r="G4" s="31"/>
      <c r="H4" s="4">
        <v>1</v>
      </c>
      <c r="I4" s="4">
        <v>2</v>
      </c>
      <c r="J4" s="4">
        <v>3</v>
      </c>
      <c r="K4" s="4" t="s">
        <v>5</v>
      </c>
      <c r="L4" s="31"/>
      <c r="M4" s="31"/>
      <c r="N4" s="29"/>
    </row>
    <row r="5" spans="1:14" ht="16">
      <c r="A5" s="32" t="s">
        <v>100</v>
      </c>
      <c r="B5" s="32"/>
      <c r="C5" s="34"/>
      <c r="D5" s="34"/>
      <c r="E5" s="34"/>
      <c r="F5" s="34"/>
      <c r="G5" s="34"/>
      <c r="H5" s="34"/>
      <c r="I5" s="34"/>
      <c r="J5" s="34"/>
      <c r="K5" s="34"/>
    </row>
    <row r="6" spans="1:14">
      <c r="A6" s="59" t="s">
        <v>49</v>
      </c>
      <c r="B6" s="20" t="s">
        <v>238</v>
      </c>
      <c r="C6" s="14" t="s">
        <v>292</v>
      </c>
      <c r="D6" s="14" t="s">
        <v>239</v>
      </c>
      <c r="E6" s="14" t="str">
        <f>"0,7012"</f>
        <v>0,7012</v>
      </c>
      <c r="F6" s="14" t="s">
        <v>121</v>
      </c>
      <c r="G6" s="14" t="s">
        <v>20</v>
      </c>
      <c r="H6" s="17" t="s">
        <v>87</v>
      </c>
      <c r="I6" s="17" t="s">
        <v>24</v>
      </c>
      <c r="J6" s="17" t="s">
        <v>26</v>
      </c>
      <c r="K6" s="16"/>
      <c r="L6" s="16" t="str">
        <f>"60,0"</f>
        <v>60,0</v>
      </c>
      <c r="M6" s="16" t="str">
        <f>"42,0690"</f>
        <v>42,0690</v>
      </c>
      <c r="N6" s="14" t="s">
        <v>228</v>
      </c>
    </row>
    <row r="7" spans="1:14">
      <c r="A7" s="60" t="s">
        <v>49</v>
      </c>
      <c r="B7" s="21" t="s">
        <v>240</v>
      </c>
      <c r="C7" s="15" t="s">
        <v>241</v>
      </c>
      <c r="D7" s="15" t="s">
        <v>242</v>
      </c>
      <c r="E7" s="15" t="str">
        <f>"0,7071"</f>
        <v>0,7071</v>
      </c>
      <c r="F7" s="15" t="s">
        <v>121</v>
      </c>
      <c r="G7" s="15" t="s">
        <v>294</v>
      </c>
      <c r="H7" s="19" t="s">
        <v>26</v>
      </c>
      <c r="I7" s="19" t="s">
        <v>243</v>
      </c>
      <c r="J7" s="24" t="s">
        <v>244</v>
      </c>
      <c r="K7" s="18"/>
      <c r="L7" s="18" t="str">
        <f>"65,0"</f>
        <v>65,0</v>
      </c>
      <c r="M7" s="18" t="str">
        <f>"45,9615"</f>
        <v>45,9615</v>
      </c>
      <c r="N7" s="15" t="s">
        <v>228</v>
      </c>
    </row>
    <row r="8" spans="1:14">
      <c r="B8" s="8" t="s">
        <v>50</v>
      </c>
    </row>
    <row r="9" spans="1:14" ht="16">
      <c r="A9" s="32" t="s">
        <v>94</v>
      </c>
      <c r="B9" s="32"/>
      <c r="C9" s="32"/>
      <c r="D9" s="32"/>
      <c r="E9" s="32"/>
      <c r="F9" s="32"/>
      <c r="G9" s="32"/>
      <c r="H9" s="32"/>
      <c r="I9" s="32"/>
      <c r="J9" s="32"/>
      <c r="K9" s="32"/>
    </row>
    <row r="10" spans="1:14">
      <c r="A10" s="33" t="s">
        <v>49</v>
      </c>
      <c r="B10" s="13" t="s">
        <v>113</v>
      </c>
      <c r="C10" s="5" t="s">
        <v>293</v>
      </c>
      <c r="D10" s="5" t="s">
        <v>115</v>
      </c>
      <c r="E10" s="5" t="str">
        <f>"0,6700"</f>
        <v>0,6700</v>
      </c>
      <c r="F10" s="5" t="s">
        <v>121</v>
      </c>
      <c r="G10" s="5" t="s">
        <v>296</v>
      </c>
      <c r="H10" s="10" t="s">
        <v>245</v>
      </c>
      <c r="I10" s="10" t="s">
        <v>87</v>
      </c>
      <c r="J10" s="12" t="s">
        <v>88</v>
      </c>
      <c r="K10" s="11"/>
      <c r="L10" s="11" t="str">
        <f>"50,0"</f>
        <v>50,0</v>
      </c>
      <c r="M10" s="11" t="str">
        <f>"33,4975"</f>
        <v>33,4975</v>
      </c>
      <c r="N10" s="5" t="s">
        <v>117</v>
      </c>
    </row>
    <row r="11" spans="1:14">
      <c r="B11" s="8" t="s">
        <v>50</v>
      </c>
    </row>
    <row r="12" spans="1:14" ht="16">
      <c r="A12" s="32" t="s">
        <v>30</v>
      </c>
      <c r="B12" s="32"/>
      <c r="C12" s="32"/>
      <c r="D12" s="32"/>
      <c r="E12" s="32"/>
      <c r="F12" s="32"/>
      <c r="G12" s="32"/>
      <c r="H12" s="32"/>
      <c r="I12" s="32"/>
      <c r="J12" s="32"/>
      <c r="K12" s="32"/>
    </row>
    <row r="13" spans="1:14">
      <c r="A13" s="33" t="s">
        <v>49</v>
      </c>
      <c r="B13" s="13" t="s">
        <v>246</v>
      </c>
      <c r="C13" s="5" t="s">
        <v>290</v>
      </c>
      <c r="D13" s="5" t="s">
        <v>247</v>
      </c>
      <c r="E13" s="5" t="str">
        <f>"0,6161"</f>
        <v>0,6161</v>
      </c>
      <c r="F13" s="5" t="s">
        <v>149</v>
      </c>
      <c r="G13" s="5" t="s">
        <v>295</v>
      </c>
      <c r="H13" s="10" t="s">
        <v>24</v>
      </c>
      <c r="I13" s="10" t="s">
        <v>26</v>
      </c>
      <c r="J13" s="10" t="s">
        <v>243</v>
      </c>
      <c r="K13" s="11"/>
      <c r="L13" s="11" t="str">
        <f>"65,0"</f>
        <v>65,0</v>
      </c>
      <c r="M13" s="11" t="str">
        <f>"45,9296"</f>
        <v>45,9296</v>
      </c>
      <c r="N13" s="5" t="s">
        <v>228</v>
      </c>
    </row>
    <row r="14" spans="1:14">
      <c r="B14" s="8" t="s">
        <v>50</v>
      </c>
    </row>
    <row r="15" spans="1:14" ht="16">
      <c r="A15" s="32" t="s">
        <v>53</v>
      </c>
      <c r="B15" s="32"/>
      <c r="C15" s="32"/>
      <c r="D15" s="32"/>
      <c r="E15" s="32"/>
      <c r="F15" s="32"/>
      <c r="G15" s="32"/>
      <c r="H15" s="32"/>
      <c r="I15" s="32"/>
      <c r="J15" s="32"/>
      <c r="K15" s="32"/>
    </row>
    <row r="16" spans="1:14">
      <c r="A16" s="33" t="s">
        <v>49</v>
      </c>
      <c r="B16" s="13" t="s">
        <v>248</v>
      </c>
      <c r="C16" s="5" t="s">
        <v>249</v>
      </c>
      <c r="D16" s="5" t="s">
        <v>205</v>
      </c>
      <c r="E16" s="5" t="str">
        <f>"0,5885"</f>
        <v>0,5885</v>
      </c>
      <c r="F16" s="5" t="s">
        <v>149</v>
      </c>
      <c r="G16" s="5" t="s">
        <v>297</v>
      </c>
      <c r="H16" s="10" t="s">
        <v>243</v>
      </c>
      <c r="I16" s="10" t="s">
        <v>244</v>
      </c>
      <c r="J16" s="12" t="s">
        <v>68</v>
      </c>
      <c r="K16" s="11"/>
      <c r="L16" s="11" t="str">
        <f>"70,0"</f>
        <v>70,0</v>
      </c>
      <c r="M16" s="11" t="str">
        <f>"41,1985"</f>
        <v>41,1985</v>
      </c>
      <c r="N16" s="5" t="s">
        <v>228</v>
      </c>
    </row>
    <row r="17" spans="2:2">
      <c r="B17" s="8" t="s">
        <v>50</v>
      </c>
    </row>
  </sheetData>
  <mergeCells count="16">
    <mergeCell ref="N3:N4"/>
    <mergeCell ref="A5:K5"/>
    <mergeCell ref="A1:N2"/>
    <mergeCell ref="A3:A4"/>
    <mergeCell ref="C3:C4"/>
    <mergeCell ref="D3:D4"/>
    <mergeCell ref="E3:E4"/>
    <mergeCell ref="F3:F4"/>
    <mergeCell ref="G3:G4"/>
    <mergeCell ref="H3:K3"/>
    <mergeCell ref="A9:K9"/>
    <mergeCell ref="A12:K12"/>
    <mergeCell ref="A15:K15"/>
    <mergeCell ref="B3:B4"/>
    <mergeCell ref="L3:L4"/>
    <mergeCell ref="M3:M4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workbookViewId="0">
      <selection sqref="A1:N2"/>
    </sheetView>
  </sheetViews>
  <sheetFormatPr baseColWidth="10" defaultColWidth="9.1640625" defaultRowHeight="13"/>
  <cols>
    <col min="1" max="1" width="7.5" style="9" bestFit="1" customWidth="1"/>
    <col min="2" max="2" width="21.5" style="8" bestFit="1" customWidth="1"/>
    <col min="3" max="3" width="26.33203125" style="3" bestFit="1" customWidth="1"/>
    <col min="4" max="4" width="21.5" style="3" bestFit="1" customWidth="1"/>
    <col min="5" max="5" width="10.5" style="3" bestFit="1" customWidth="1"/>
    <col min="6" max="6" width="22.6640625" style="3" bestFit="1" customWidth="1"/>
    <col min="7" max="7" width="30.1640625" style="3" bestFit="1" customWidth="1"/>
    <col min="8" max="10" width="4.5" style="2" customWidth="1"/>
    <col min="11" max="11" width="4.83203125" style="2" customWidth="1"/>
    <col min="12" max="12" width="10.5" style="2" bestFit="1" customWidth="1"/>
    <col min="13" max="13" width="7.5" style="2" bestFit="1" customWidth="1"/>
    <col min="14" max="14" width="15.5" style="3" bestFit="1" customWidth="1"/>
    <col min="15" max="16384" width="9.1640625" style="3"/>
  </cols>
  <sheetData>
    <row r="1" spans="1:14" s="2" customFormat="1" ht="29" customHeight="1">
      <c r="A1" s="38" t="s">
        <v>277</v>
      </c>
      <c r="B1" s="39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1"/>
    </row>
    <row r="2" spans="1:14" s="2" customFormat="1" ht="62" customHeight="1" thickBot="1">
      <c r="A2" s="51"/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3"/>
    </row>
    <row r="3" spans="1:14" s="1" customFormat="1" ht="12.75" customHeight="1">
      <c r="A3" s="47" t="s">
        <v>51</v>
      </c>
      <c r="B3" s="48" t="s">
        <v>0</v>
      </c>
      <c r="C3" s="49" t="s">
        <v>6</v>
      </c>
      <c r="D3" s="49" t="s">
        <v>10</v>
      </c>
      <c r="E3" s="48" t="s">
        <v>52</v>
      </c>
      <c r="F3" s="48" t="s">
        <v>4</v>
      </c>
      <c r="G3" s="48" t="s">
        <v>7</v>
      </c>
      <c r="H3" s="48" t="s">
        <v>229</v>
      </c>
      <c r="I3" s="48"/>
      <c r="J3" s="48"/>
      <c r="K3" s="48"/>
      <c r="L3" s="48" t="s">
        <v>62</v>
      </c>
      <c r="M3" s="48" t="s">
        <v>3</v>
      </c>
      <c r="N3" s="50" t="s">
        <v>2</v>
      </c>
    </row>
    <row r="4" spans="1:14" s="1" customFormat="1" ht="21" customHeight="1" thickBot="1">
      <c r="A4" s="30"/>
      <c r="B4" s="46"/>
      <c r="C4" s="31"/>
      <c r="D4" s="31"/>
      <c r="E4" s="31"/>
      <c r="F4" s="31"/>
      <c r="G4" s="31"/>
      <c r="H4" s="4">
        <v>1</v>
      </c>
      <c r="I4" s="4">
        <v>2</v>
      </c>
      <c r="J4" s="4">
        <v>3</v>
      </c>
      <c r="K4" s="4" t="s">
        <v>5</v>
      </c>
      <c r="L4" s="31"/>
      <c r="M4" s="31"/>
      <c r="N4" s="29"/>
    </row>
    <row r="5" spans="1:14" ht="16">
      <c r="A5" s="32" t="s">
        <v>63</v>
      </c>
      <c r="B5" s="32"/>
      <c r="C5" s="34"/>
      <c r="D5" s="34"/>
      <c r="E5" s="34"/>
      <c r="F5" s="34"/>
      <c r="G5" s="34"/>
      <c r="H5" s="34"/>
      <c r="I5" s="34"/>
      <c r="J5" s="34"/>
      <c r="K5" s="34"/>
    </row>
    <row r="6" spans="1:14">
      <c r="A6" s="59" t="s">
        <v>49</v>
      </c>
      <c r="B6" s="20" t="s">
        <v>16</v>
      </c>
      <c r="C6" s="14" t="s">
        <v>17</v>
      </c>
      <c r="D6" s="14" t="s">
        <v>18</v>
      </c>
      <c r="E6" s="14" t="str">
        <f>"1,0530"</f>
        <v>1,0530</v>
      </c>
      <c r="F6" s="14" t="s">
        <v>299</v>
      </c>
      <c r="G6" s="14" t="s">
        <v>20</v>
      </c>
      <c r="H6" s="17" t="s">
        <v>230</v>
      </c>
      <c r="I6" s="17" t="s">
        <v>231</v>
      </c>
      <c r="J6" s="17" t="s">
        <v>232</v>
      </c>
      <c r="K6" s="16"/>
      <c r="L6" s="16" t="str">
        <f>"32,5"</f>
        <v>32,5</v>
      </c>
      <c r="M6" s="16" t="str">
        <f>"34,2225"</f>
        <v>34,2225</v>
      </c>
      <c r="N6" s="14" t="s">
        <v>228</v>
      </c>
    </row>
    <row r="7" spans="1:14">
      <c r="A7" s="60" t="s">
        <v>178</v>
      </c>
      <c r="B7" s="21" t="s">
        <v>64</v>
      </c>
      <c r="C7" s="15" t="s">
        <v>65</v>
      </c>
      <c r="D7" s="15" t="s">
        <v>66</v>
      </c>
      <c r="E7" s="15" t="str">
        <f>"0,9997"</f>
        <v>0,9997</v>
      </c>
      <c r="F7" s="15" t="s">
        <v>121</v>
      </c>
      <c r="G7" s="15" t="s">
        <v>298</v>
      </c>
      <c r="H7" s="19" t="s">
        <v>230</v>
      </c>
      <c r="I7" s="19" t="s">
        <v>232</v>
      </c>
      <c r="J7" s="24" t="s">
        <v>233</v>
      </c>
      <c r="K7" s="18"/>
      <c r="L7" s="18" t="str">
        <f>"32,5"</f>
        <v>32,5</v>
      </c>
      <c r="M7" s="18" t="str">
        <f>"32,4903"</f>
        <v>32,4903</v>
      </c>
      <c r="N7" s="15" t="s">
        <v>69</v>
      </c>
    </row>
    <row r="8" spans="1:14">
      <c r="B8" s="8" t="s">
        <v>50</v>
      </c>
    </row>
    <row r="9" spans="1:14" ht="16">
      <c r="A9" s="32" t="s">
        <v>234</v>
      </c>
      <c r="B9" s="32"/>
      <c r="C9" s="32"/>
      <c r="D9" s="32"/>
      <c r="E9" s="32"/>
      <c r="F9" s="32"/>
      <c r="G9" s="32"/>
      <c r="H9" s="32"/>
      <c r="I9" s="32"/>
      <c r="J9" s="32"/>
      <c r="K9" s="32"/>
    </row>
    <row r="10" spans="1:14">
      <c r="A10" s="33" t="s">
        <v>49</v>
      </c>
      <c r="B10" s="13" t="s">
        <v>235</v>
      </c>
      <c r="C10" s="5" t="s">
        <v>236</v>
      </c>
      <c r="D10" s="5" t="s">
        <v>237</v>
      </c>
      <c r="E10" s="5" t="str">
        <f>"0,7630"</f>
        <v>0,7630</v>
      </c>
      <c r="F10" s="5" t="s">
        <v>121</v>
      </c>
      <c r="G10" s="5" t="s">
        <v>20</v>
      </c>
      <c r="H10" s="10" t="s">
        <v>24</v>
      </c>
      <c r="I10" s="12" t="s">
        <v>26</v>
      </c>
      <c r="J10" s="12" t="s">
        <v>26</v>
      </c>
      <c r="K10" s="11"/>
      <c r="L10" s="11" t="str">
        <f>"55,0"</f>
        <v>55,0</v>
      </c>
      <c r="M10" s="11" t="str">
        <f>"41,9650"</f>
        <v>41,9650</v>
      </c>
      <c r="N10" s="5" t="s">
        <v>228</v>
      </c>
    </row>
    <row r="11" spans="1:14">
      <c r="B11" s="8" t="s">
        <v>50</v>
      </c>
    </row>
  </sheetData>
  <mergeCells count="14">
    <mergeCell ref="A1:N2"/>
    <mergeCell ref="A3:A4"/>
    <mergeCell ref="C3:C4"/>
    <mergeCell ref="D3:D4"/>
    <mergeCell ref="E3:E4"/>
    <mergeCell ref="F3:F4"/>
    <mergeCell ref="G3:G4"/>
    <mergeCell ref="H3:K3"/>
    <mergeCell ref="A9:K9"/>
    <mergeCell ref="B3:B4"/>
    <mergeCell ref="L3:L4"/>
    <mergeCell ref="M3:M4"/>
    <mergeCell ref="N3:N4"/>
    <mergeCell ref="A5:K5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sqref="A1:B2"/>
    </sheetView>
  </sheetViews>
  <sheetFormatPr baseColWidth="10" defaultRowHeight="13"/>
  <cols>
    <col min="1" max="1" width="29.1640625" customWidth="1"/>
    <col min="2" max="2" width="39" customWidth="1"/>
  </cols>
  <sheetData>
    <row r="1" spans="1:2" ht="26" customHeight="1">
      <c r="A1" s="68" t="s">
        <v>309</v>
      </c>
      <c r="B1" s="68"/>
    </row>
    <row r="2" spans="1:2" ht="32" customHeight="1">
      <c r="A2" s="68"/>
      <c r="B2" s="68"/>
    </row>
    <row r="4" spans="1:2">
      <c r="A4" s="67" t="s">
        <v>310</v>
      </c>
      <c r="B4" s="67" t="s">
        <v>313</v>
      </c>
    </row>
    <row r="5" spans="1:2">
      <c r="A5" s="67" t="s">
        <v>311</v>
      </c>
      <c r="B5" s="67" t="s">
        <v>314</v>
      </c>
    </row>
    <row r="6" spans="1:2">
      <c r="A6" s="67" t="s">
        <v>312</v>
      </c>
      <c r="B6" s="67" t="s">
        <v>315</v>
      </c>
    </row>
  </sheetData>
  <mergeCells count="1">
    <mergeCell ref="A1:B2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"/>
  <sheetViews>
    <sheetView workbookViewId="0">
      <selection sqref="A1:B2"/>
    </sheetView>
  </sheetViews>
  <sheetFormatPr baseColWidth="10" defaultRowHeight="13"/>
  <cols>
    <col min="1" max="1" width="29.1640625" customWidth="1"/>
    <col min="2" max="2" width="39" customWidth="1"/>
  </cols>
  <sheetData>
    <row r="1" spans="1:2" ht="26" customHeight="1">
      <c r="A1" s="70" t="s">
        <v>316</v>
      </c>
      <c r="B1" s="71"/>
    </row>
    <row r="2" spans="1:2" ht="32" customHeight="1">
      <c r="A2" s="72"/>
      <c r="B2" s="73"/>
    </row>
    <row r="4" spans="1:2">
      <c r="A4" s="69" t="s">
        <v>317</v>
      </c>
      <c r="B4" s="69" t="s">
        <v>318</v>
      </c>
    </row>
    <row r="5" spans="1:2">
      <c r="A5" s="69" t="s">
        <v>319</v>
      </c>
      <c r="B5" s="69" t="s">
        <v>320</v>
      </c>
    </row>
    <row r="6" spans="1:2">
      <c r="A6" s="69" t="s">
        <v>321</v>
      </c>
      <c r="B6" s="69" t="s">
        <v>320</v>
      </c>
    </row>
    <row r="7" spans="1:2">
      <c r="A7" s="69"/>
      <c r="B7" s="69" t="s">
        <v>318</v>
      </c>
    </row>
    <row r="8" spans="1:2">
      <c r="A8" s="69" t="s">
        <v>322</v>
      </c>
      <c r="B8" s="69" t="s">
        <v>323</v>
      </c>
    </row>
    <row r="9" spans="1:2">
      <c r="A9" s="69"/>
      <c r="B9" s="69" t="s">
        <v>324</v>
      </c>
    </row>
    <row r="10" spans="1:2">
      <c r="A10" s="69"/>
      <c r="B10" s="69" t="s">
        <v>325</v>
      </c>
    </row>
    <row r="11" spans="1:2">
      <c r="A11" s="69"/>
      <c r="B11" s="69" t="s">
        <v>326</v>
      </c>
    </row>
    <row r="12" spans="1:2">
      <c r="A12" s="69"/>
      <c r="B12" s="69"/>
    </row>
    <row r="13" spans="1:2">
      <c r="A13" s="69"/>
      <c r="B13" s="69"/>
    </row>
    <row r="14" spans="1:2">
      <c r="A14" s="69"/>
      <c r="B14" s="69"/>
    </row>
    <row r="15" spans="1:2">
      <c r="A15" s="69"/>
      <c r="B15" s="69"/>
    </row>
    <row r="16" spans="1:2">
      <c r="A16" s="69"/>
      <c r="B16" s="69"/>
    </row>
    <row r="17" spans="1:2">
      <c r="A17" s="69"/>
      <c r="B17" s="69"/>
    </row>
    <row r="18" spans="1:2">
      <c r="A18" s="69"/>
      <c r="B18" s="69"/>
    </row>
    <row r="19" spans="1:2">
      <c r="A19" s="69"/>
      <c r="B19" s="69"/>
    </row>
    <row r="20" spans="1:2">
      <c r="A20" s="69"/>
      <c r="B20" s="69"/>
    </row>
  </sheetData>
  <mergeCells count="1">
    <mergeCell ref="A1:B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"/>
  <sheetViews>
    <sheetView workbookViewId="0">
      <selection activeCell="L41" sqref="L41"/>
    </sheetView>
  </sheetViews>
  <sheetFormatPr baseColWidth="10" defaultColWidth="9.1640625" defaultRowHeight="13"/>
  <cols>
    <col min="1" max="1" width="7.5" style="9" bestFit="1" customWidth="1"/>
    <col min="2" max="2" width="19.6640625" style="8" bestFit="1" customWidth="1"/>
    <col min="3" max="3" width="26.33203125" style="3" bestFit="1" customWidth="1"/>
    <col min="4" max="4" width="21.5" style="3" bestFit="1" customWidth="1"/>
    <col min="5" max="5" width="10.5" style="3" bestFit="1" customWidth="1"/>
    <col min="6" max="6" width="22.6640625" style="3" bestFit="1" customWidth="1"/>
    <col min="7" max="7" width="31.5" style="3" bestFit="1" customWidth="1"/>
    <col min="8" max="10" width="5.5" style="2" customWidth="1"/>
    <col min="11" max="11" width="4.83203125" style="2" customWidth="1"/>
    <col min="12" max="14" width="5.5" style="2" customWidth="1"/>
    <col min="15" max="15" width="4.83203125" style="2" customWidth="1"/>
    <col min="16" max="16" width="7.83203125" style="2" bestFit="1" customWidth="1"/>
    <col min="17" max="17" width="8.5" style="2" bestFit="1" customWidth="1"/>
    <col min="18" max="18" width="15.5" style="3" bestFit="1" customWidth="1"/>
    <col min="19" max="16384" width="9.1640625" style="3"/>
  </cols>
  <sheetData>
    <row r="1" spans="1:18" s="2" customFormat="1" ht="29" customHeight="1">
      <c r="A1" s="38" t="s">
        <v>278</v>
      </c>
      <c r="B1" s="39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1"/>
    </row>
    <row r="2" spans="1:18" s="2" customFormat="1" ht="62" customHeight="1" thickBot="1">
      <c r="A2" s="51"/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3"/>
    </row>
    <row r="3" spans="1:18" s="1" customFormat="1" ht="12.75" customHeight="1">
      <c r="A3" s="47" t="s">
        <v>51</v>
      </c>
      <c r="B3" s="48" t="s">
        <v>0</v>
      </c>
      <c r="C3" s="49" t="s">
        <v>6</v>
      </c>
      <c r="D3" s="49" t="s">
        <v>10</v>
      </c>
      <c r="E3" s="48" t="s">
        <v>11</v>
      </c>
      <c r="F3" s="48" t="s">
        <v>4</v>
      </c>
      <c r="G3" s="48" t="s">
        <v>7</v>
      </c>
      <c r="H3" s="48" t="s">
        <v>13</v>
      </c>
      <c r="I3" s="48"/>
      <c r="J3" s="48"/>
      <c r="K3" s="48"/>
      <c r="L3" s="48" t="s">
        <v>14</v>
      </c>
      <c r="M3" s="48"/>
      <c r="N3" s="48"/>
      <c r="O3" s="48"/>
      <c r="P3" s="48" t="s">
        <v>1</v>
      </c>
      <c r="Q3" s="48" t="s">
        <v>3</v>
      </c>
      <c r="R3" s="50" t="s">
        <v>2</v>
      </c>
    </row>
    <row r="4" spans="1:18" s="1" customFormat="1" ht="21" customHeight="1" thickBot="1">
      <c r="A4" s="30"/>
      <c r="B4" s="46"/>
      <c r="C4" s="31"/>
      <c r="D4" s="31"/>
      <c r="E4" s="31"/>
      <c r="F4" s="31"/>
      <c r="G4" s="31"/>
      <c r="H4" s="4">
        <v>1</v>
      </c>
      <c r="I4" s="4">
        <v>2</v>
      </c>
      <c r="J4" s="4">
        <v>3</v>
      </c>
      <c r="K4" s="4" t="s">
        <v>5</v>
      </c>
      <c r="L4" s="4">
        <v>1</v>
      </c>
      <c r="M4" s="4">
        <v>2</v>
      </c>
      <c r="N4" s="4">
        <v>3</v>
      </c>
      <c r="O4" s="4" t="s">
        <v>5</v>
      </c>
      <c r="P4" s="31"/>
      <c r="Q4" s="31"/>
      <c r="R4" s="29"/>
    </row>
    <row r="5" spans="1:18" ht="16">
      <c r="A5" s="32" t="s">
        <v>100</v>
      </c>
      <c r="B5" s="32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</row>
    <row r="6" spans="1:18">
      <c r="A6" s="33" t="s">
        <v>49</v>
      </c>
      <c r="B6" s="13" t="s">
        <v>105</v>
      </c>
      <c r="C6" s="5" t="s">
        <v>106</v>
      </c>
      <c r="D6" s="5" t="s">
        <v>107</v>
      </c>
      <c r="E6" s="5" t="str">
        <f>"0,7300"</f>
        <v>0,7300</v>
      </c>
      <c r="F6" s="5" t="s">
        <v>140</v>
      </c>
      <c r="G6" s="5" t="s">
        <v>294</v>
      </c>
      <c r="H6" s="10" t="s">
        <v>35</v>
      </c>
      <c r="I6" s="12" t="s">
        <v>73</v>
      </c>
      <c r="J6" s="10" t="s">
        <v>73</v>
      </c>
      <c r="K6" s="11"/>
      <c r="L6" s="10" t="s">
        <v>108</v>
      </c>
      <c r="M6" s="12" t="s">
        <v>78</v>
      </c>
      <c r="N6" s="10" t="s">
        <v>109</v>
      </c>
      <c r="O6" s="11"/>
      <c r="P6" s="11" t="str">
        <f>"347,5"</f>
        <v>347,5</v>
      </c>
      <c r="Q6" s="11" t="str">
        <f>"253,6750"</f>
        <v>253,6750</v>
      </c>
      <c r="R6" s="5" t="s">
        <v>228</v>
      </c>
    </row>
    <row r="7" spans="1:18">
      <c r="B7" s="8" t="s">
        <v>50</v>
      </c>
    </row>
  </sheetData>
  <mergeCells count="14">
    <mergeCell ref="F3:F4"/>
    <mergeCell ref="G3:G4"/>
    <mergeCell ref="H3:K3"/>
    <mergeCell ref="L3:O3"/>
    <mergeCell ref="P3:P4"/>
    <mergeCell ref="Q3:Q4"/>
    <mergeCell ref="R3:R4"/>
    <mergeCell ref="A5:O5"/>
    <mergeCell ref="B3:B4"/>
    <mergeCell ref="A1:R2"/>
    <mergeCell ref="A3:A4"/>
    <mergeCell ref="C3:C4"/>
    <mergeCell ref="D3:D4"/>
    <mergeCell ref="E3:E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3"/>
  <sheetViews>
    <sheetView workbookViewId="0">
      <selection sqref="A1:V2"/>
    </sheetView>
  </sheetViews>
  <sheetFormatPr baseColWidth="10" defaultColWidth="9.1640625" defaultRowHeight="13"/>
  <cols>
    <col min="1" max="1" width="7.5" style="9" bestFit="1" customWidth="1"/>
    <col min="2" max="2" width="20" style="8" bestFit="1" customWidth="1"/>
    <col min="3" max="3" width="27.5" style="3" bestFit="1" customWidth="1"/>
    <col min="4" max="4" width="21.5" style="3" bestFit="1" customWidth="1"/>
    <col min="5" max="5" width="10.5" style="3" bestFit="1" customWidth="1"/>
    <col min="6" max="6" width="22.6640625" style="3" bestFit="1" customWidth="1"/>
    <col min="7" max="7" width="33.33203125" style="3" bestFit="1" customWidth="1"/>
    <col min="8" max="10" width="5.5" style="2" customWidth="1"/>
    <col min="11" max="11" width="4.83203125" style="2" customWidth="1"/>
    <col min="12" max="12" width="10.5" style="2" bestFit="1" customWidth="1"/>
    <col min="13" max="13" width="8.5" style="2" bestFit="1" customWidth="1"/>
    <col min="14" max="14" width="15.5" style="3" bestFit="1" customWidth="1"/>
    <col min="15" max="16384" width="9.1640625" style="3"/>
  </cols>
  <sheetData>
    <row r="1" spans="1:14" s="2" customFormat="1" ht="29" customHeight="1">
      <c r="A1" s="38" t="s">
        <v>285</v>
      </c>
      <c r="B1" s="39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1"/>
    </row>
    <row r="2" spans="1:14" s="2" customFormat="1" ht="62" customHeight="1" thickBot="1">
      <c r="A2" s="51"/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3"/>
    </row>
    <row r="3" spans="1:14" s="1" customFormat="1" ht="12.75" customHeight="1">
      <c r="A3" s="47" t="s">
        <v>51</v>
      </c>
      <c r="B3" s="48" t="s">
        <v>0</v>
      </c>
      <c r="C3" s="49" t="s">
        <v>6</v>
      </c>
      <c r="D3" s="49" t="s">
        <v>10</v>
      </c>
      <c r="E3" s="48" t="s">
        <v>11</v>
      </c>
      <c r="F3" s="48" t="s">
        <v>4</v>
      </c>
      <c r="G3" s="48" t="s">
        <v>7</v>
      </c>
      <c r="H3" s="48" t="s">
        <v>13</v>
      </c>
      <c r="I3" s="48"/>
      <c r="J3" s="48"/>
      <c r="K3" s="48"/>
      <c r="L3" s="48" t="s">
        <v>62</v>
      </c>
      <c r="M3" s="48" t="s">
        <v>3</v>
      </c>
      <c r="N3" s="50" t="s">
        <v>2</v>
      </c>
    </row>
    <row r="4" spans="1:14" s="1" customFormat="1" ht="21" customHeight="1" thickBot="1">
      <c r="A4" s="30"/>
      <c r="B4" s="46"/>
      <c r="C4" s="31"/>
      <c r="D4" s="31"/>
      <c r="E4" s="31"/>
      <c r="F4" s="31"/>
      <c r="G4" s="31"/>
      <c r="H4" s="4">
        <v>1</v>
      </c>
      <c r="I4" s="4">
        <v>2</v>
      </c>
      <c r="J4" s="4">
        <v>3</v>
      </c>
      <c r="K4" s="4" t="s">
        <v>5</v>
      </c>
      <c r="L4" s="31"/>
      <c r="M4" s="31"/>
      <c r="N4" s="29"/>
    </row>
    <row r="5" spans="1:14" ht="16">
      <c r="A5" s="32" t="s">
        <v>81</v>
      </c>
      <c r="B5" s="32"/>
      <c r="C5" s="34"/>
      <c r="D5" s="34"/>
      <c r="E5" s="34"/>
      <c r="F5" s="34"/>
      <c r="G5" s="34"/>
      <c r="H5" s="34"/>
      <c r="I5" s="34"/>
      <c r="J5" s="34"/>
      <c r="K5" s="34"/>
    </row>
    <row r="6" spans="1:14">
      <c r="A6" s="59" t="s">
        <v>49</v>
      </c>
      <c r="B6" s="20" t="s">
        <v>82</v>
      </c>
      <c r="C6" s="14" t="s">
        <v>83</v>
      </c>
      <c r="D6" s="14" t="s">
        <v>84</v>
      </c>
      <c r="E6" s="14" t="str">
        <f>"1,2905"</f>
        <v>1,2905</v>
      </c>
      <c r="F6" s="14" t="s">
        <v>121</v>
      </c>
      <c r="G6" s="14" t="s">
        <v>85</v>
      </c>
      <c r="H6" s="17" t="s">
        <v>86</v>
      </c>
      <c r="I6" s="17" t="s">
        <v>87</v>
      </c>
      <c r="J6" s="23" t="s">
        <v>88</v>
      </c>
      <c r="K6" s="16"/>
      <c r="L6" s="16" t="str">
        <f>"50,0"</f>
        <v>50,0</v>
      </c>
      <c r="M6" s="16" t="str">
        <f>"64,5250"</f>
        <v>64,5250</v>
      </c>
      <c r="N6" s="14" t="s">
        <v>89</v>
      </c>
    </row>
    <row r="7" spans="1:14">
      <c r="A7" s="60" t="s">
        <v>49</v>
      </c>
      <c r="B7" s="21" t="s">
        <v>90</v>
      </c>
      <c r="C7" s="15" t="s">
        <v>91</v>
      </c>
      <c r="D7" s="15" t="s">
        <v>92</v>
      </c>
      <c r="E7" s="15" t="str">
        <f>"1,2578"</f>
        <v>1,2578</v>
      </c>
      <c r="F7" s="15" t="s">
        <v>121</v>
      </c>
      <c r="G7" s="15" t="s">
        <v>57</v>
      </c>
      <c r="H7" s="19" t="s">
        <v>25</v>
      </c>
      <c r="I7" s="24" t="s">
        <v>26</v>
      </c>
      <c r="J7" s="24" t="s">
        <v>26</v>
      </c>
      <c r="K7" s="18"/>
      <c r="L7" s="18" t="str">
        <f>"57,5"</f>
        <v>57,5</v>
      </c>
      <c r="M7" s="18" t="str">
        <f>"74,3486"</f>
        <v>74,3486</v>
      </c>
      <c r="N7" s="15" t="s">
        <v>93</v>
      </c>
    </row>
    <row r="8" spans="1:14">
      <c r="B8" s="8" t="s">
        <v>50</v>
      </c>
    </row>
    <row r="9" spans="1:14" ht="16">
      <c r="A9" s="32" t="s">
        <v>94</v>
      </c>
      <c r="B9" s="32"/>
      <c r="C9" s="32"/>
      <c r="D9" s="32"/>
      <c r="E9" s="32"/>
      <c r="F9" s="32"/>
      <c r="G9" s="32"/>
      <c r="H9" s="32"/>
      <c r="I9" s="32"/>
      <c r="J9" s="32"/>
      <c r="K9" s="32"/>
    </row>
    <row r="10" spans="1:14">
      <c r="A10" s="33" t="s">
        <v>49</v>
      </c>
      <c r="B10" s="13" t="s">
        <v>95</v>
      </c>
      <c r="C10" s="5" t="s">
        <v>96</v>
      </c>
      <c r="D10" s="5" t="s">
        <v>97</v>
      </c>
      <c r="E10" s="5" t="str">
        <f>"0,9011"</f>
        <v>0,9011</v>
      </c>
      <c r="F10" s="5" t="s">
        <v>98</v>
      </c>
      <c r="G10" s="5" t="s">
        <v>294</v>
      </c>
      <c r="H10" s="10" t="s">
        <v>21</v>
      </c>
      <c r="I10" s="10" t="s">
        <v>99</v>
      </c>
      <c r="J10" s="10" t="s">
        <v>22</v>
      </c>
      <c r="K10" s="11"/>
      <c r="L10" s="11" t="str">
        <f>"90,0"</f>
        <v>90,0</v>
      </c>
      <c r="M10" s="11" t="str">
        <f>"91,8041"</f>
        <v>91,8041</v>
      </c>
      <c r="N10" s="5" t="s">
        <v>228</v>
      </c>
    </row>
    <row r="11" spans="1:14">
      <c r="B11" s="8" t="s">
        <v>50</v>
      </c>
    </row>
    <row r="12" spans="1:14" ht="16">
      <c r="A12" s="32" t="s">
        <v>100</v>
      </c>
      <c r="B12" s="32"/>
      <c r="C12" s="32"/>
      <c r="D12" s="32"/>
      <c r="E12" s="32"/>
      <c r="F12" s="32"/>
      <c r="G12" s="32"/>
      <c r="H12" s="32"/>
      <c r="I12" s="32"/>
      <c r="J12" s="32"/>
      <c r="K12" s="32"/>
    </row>
    <row r="13" spans="1:14">
      <c r="A13" s="59" t="s">
        <v>49</v>
      </c>
      <c r="B13" s="20" t="s">
        <v>101</v>
      </c>
      <c r="C13" s="14" t="s">
        <v>102</v>
      </c>
      <c r="D13" s="14" t="s">
        <v>103</v>
      </c>
      <c r="E13" s="14" t="str">
        <f>"0,7193"</f>
        <v>0,7193</v>
      </c>
      <c r="F13" s="14" t="s">
        <v>140</v>
      </c>
      <c r="G13" s="14" t="s">
        <v>20</v>
      </c>
      <c r="H13" s="17" t="s">
        <v>23</v>
      </c>
      <c r="I13" s="23" t="s">
        <v>104</v>
      </c>
      <c r="J13" s="23" t="s">
        <v>104</v>
      </c>
      <c r="K13" s="16"/>
      <c r="L13" s="16" t="str">
        <f>"95,0"</f>
        <v>95,0</v>
      </c>
      <c r="M13" s="16" t="str">
        <f>"68,3335"</f>
        <v>68,3335</v>
      </c>
      <c r="N13" s="14" t="s">
        <v>228</v>
      </c>
    </row>
    <row r="14" spans="1:14">
      <c r="A14" s="66" t="s">
        <v>49</v>
      </c>
      <c r="B14" s="28" t="s">
        <v>105</v>
      </c>
      <c r="C14" s="22" t="s">
        <v>106</v>
      </c>
      <c r="D14" s="22" t="s">
        <v>107</v>
      </c>
      <c r="E14" s="22" t="str">
        <f>"0,7300"</f>
        <v>0,7300</v>
      </c>
      <c r="F14" s="22" t="s">
        <v>140</v>
      </c>
      <c r="G14" s="22" t="s">
        <v>294</v>
      </c>
      <c r="H14" s="26" t="s">
        <v>35</v>
      </c>
      <c r="I14" s="27" t="s">
        <v>73</v>
      </c>
      <c r="J14" s="26" t="s">
        <v>73</v>
      </c>
      <c r="K14" s="25"/>
      <c r="L14" s="25" t="str">
        <f>"140,0"</f>
        <v>140,0</v>
      </c>
      <c r="M14" s="25" t="str">
        <f>"102,2000"</f>
        <v>102,2000</v>
      </c>
      <c r="N14" s="22" t="s">
        <v>228</v>
      </c>
    </row>
    <row r="15" spans="1:14">
      <c r="A15" s="60" t="s">
        <v>49</v>
      </c>
      <c r="B15" s="21" t="s">
        <v>110</v>
      </c>
      <c r="C15" s="15" t="s">
        <v>111</v>
      </c>
      <c r="D15" s="15" t="s">
        <v>103</v>
      </c>
      <c r="E15" s="15" t="str">
        <f>"0,7193"</f>
        <v>0,7193</v>
      </c>
      <c r="F15" s="15" t="s">
        <v>121</v>
      </c>
      <c r="G15" s="15" t="s">
        <v>305</v>
      </c>
      <c r="H15" s="19" t="s">
        <v>112</v>
      </c>
      <c r="I15" s="24" t="s">
        <v>35</v>
      </c>
      <c r="J15" s="19" t="s">
        <v>35</v>
      </c>
      <c r="K15" s="18"/>
      <c r="L15" s="18" t="str">
        <f>"135,0"</f>
        <v>135,0</v>
      </c>
      <c r="M15" s="18" t="str">
        <f>"109,9234"</f>
        <v>109,9234</v>
      </c>
      <c r="N15" s="15" t="s">
        <v>228</v>
      </c>
    </row>
    <row r="16" spans="1:14">
      <c r="B16" s="8" t="s">
        <v>50</v>
      </c>
    </row>
    <row r="17" spans="1:14" ht="16">
      <c r="A17" s="32" t="s">
        <v>94</v>
      </c>
      <c r="B17" s="32"/>
      <c r="C17" s="32"/>
      <c r="D17" s="32"/>
      <c r="E17" s="32"/>
      <c r="F17" s="32"/>
      <c r="G17" s="32"/>
      <c r="H17" s="32"/>
      <c r="I17" s="32"/>
      <c r="J17" s="32"/>
      <c r="K17" s="32"/>
    </row>
    <row r="18" spans="1:14">
      <c r="A18" s="59" t="s">
        <v>49</v>
      </c>
      <c r="B18" s="20" t="s">
        <v>113</v>
      </c>
      <c r="C18" s="14" t="s">
        <v>114</v>
      </c>
      <c r="D18" s="14" t="s">
        <v>115</v>
      </c>
      <c r="E18" s="14" t="str">
        <f>"0,6945"</f>
        <v>0,6945</v>
      </c>
      <c r="F18" s="14" t="s">
        <v>121</v>
      </c>
      <c r="G18" s="14" t="s">
        <v>296</v>
      </c>
      <c r="H18" s="17" t="s">
        <v>27</v>
      </c>
      <c r="I18" s="23" t="s">
        <v>116</v>
      </c>
      <c r="J18" s="23" t="s">
        <v>116</v>
      </c>
      <c r="K18" s="16"/>
      <c r="L18" s="16" t="str">
        <f>"105,0"</f>
        <v>105,0</v>
      </c>
      <c r="M18" s="16" t="str">
        <f>"72,9225"</f>
        <v>72,9225</v>
      </c>
      <c r="N18" s="14" t="s">
        <v>117</v>
      </c>
    </row>
    <row r="19" spans="1:14">
      <c r="A19" s="66" t="s">
        <v>49</v>
      </c>
      <c r="B19" s="28" t="s">
        <v>118</v>
      </c>
      <c r="C19" s="22" t="s">
        <v>119</v>
      </c>
      <c r="D19" s="22" t="s">
        <v>120</v>
      </c>
      <c r="E19" s="22" t="str">
        <f>"0,6854"</f>
        <v>0,6854</v>
      </c>
      <c r="F19" s="22" t="s">
        <v>140</v>
      </c>
      <c r="G19" s="22" t="s">
        <v>294</v>
      </c>
      <c r="H19" s="26" t="s">
        <v>28</v>
      </c>
      <c r="I19" s="26" t="s">
        <v>29</v>
      </c>
      <c r="J19" s="26" t="s">
        <v>112</v>
      </c>
      <c r="K19" s="25"/>
      <c r="L19" s="25" t="str">
        <f>"127,5"</f>
        <v>127,5</v>
      </c>
      <c r="M19" s="25" t="str">
        <f>"87,3885"</f>
        <v>87,3885</v>
      </c>
      <c r="N19" s="22" t="s">
        <v>228</v>
      </c>
    </row>
    <row r="20" spans="1:14">
      <c r="A20" s="66" t="s">
        <v>49</v>
      </c>
      <c r="B20" s="28" t="s">
        <v>122</v>
      </c>
      <c r="C20" s="22" t="s">
        <v>123</v>
      </c>
      <c r="D20" s="22" t="s">
        <v>124</v>
      </c>
      <c r="E20" s="22" t="str">
        <f>"0,6785"</f>
        <v>0,6785</v>
      </c>
      <c r="F20" s="22" t="s">
        <v>121</v>
      </c>
      <c r="G20" s="22" t="s">
        <v>294</v>
      </c>
      <c r="H20" s="26" t="s">
        <v>29</v>
      </c>
      <c r="I20" s="26" t="s">
        <v>112</v>
      </c>
      <c r="J20" s="26" t="s">
        <v>35</v>
      </c>
      <c r="K20" s="25"/>
      <c r="L20" s="25" t="str">
        <f>"135,0"</f>
        <v>135,0</v>
      </c>
      <c r="M20" s="25" t="str">
        <f>"91,5975"</f>
        <v>91,5975</v>
      </c>
      <c r="N20" s="22" t="s">
        <v>125</v>
      </c>
    </row>
    <row r="21" spans="1:14">
      <c r="A21" s="66" t="s">
        <v>178</v>
      </c>
      <c r="B21" s="28" t="s">
        <v>126</v>
      </c>
      <c r="C21" s="22" t="s">
        <v>127</v>
      </c>
      <c r="D21" s="22" t="s">
        <v>128</v>
      </c>
      <c r="E21" s="22" t="str">
        <f>"0,6865"</f>
        <v>0,6865</v>
      </c>
      <c r="F21" s="22" t="s">
        <v>121</v>
      </c>
      <c r="G21" s="22" t="s">
        <v>20</v>
      </c>
      <c r="H21" s="26" t="s">
        <v>29</v>
      </c>
      <c r="I21" s="27" t="s">
        <v>112</v>
      </c>
      <c r="J21" s="27" t="s">
        <v>112</v>
      </c>
      <c r="K21" s="25"/>
      <c r="L21" s="25" t="str">
        <f>"120,0"</f>
        <v>120,0</v>
      </c>
      <c r="M21" s="25" t="str">
        <f>"82,3800"</f>
        <v>82,3800</v>
      </c>
      <c r="N21" s="22" t="s">
        <v>228</v>
      </c>
    </row>
    <row r="22" spans="1:14">
      <c r="A22" s="60" t="s">
        <v>179</v>
      </c>
      <c r="B22" s="21" t="s">
        <v>129</v>
      </c>
      <c r="C22" s="15" t="s">
        <v>130</v>
      </c>
      <c r="D22" s="15" t="s">
        <v>131</v>
      </c>
      <c r="E22" s="15" t="str">
        <f>"0,6729"</f>
        <v>0,6729</v>
      </c>
      <c r="F22" s="15" t="s">
        <v>140</v>
      </c>
      <c r="G22" s="15" t="s">
        <v>294</v>
      </c>
      <c r="H22" s="24" t="s">
        <v>22</v>
      </c>
      <c r="I22" s="19" t="s">
        <v>132</v>
      </c>
      <c r="J22" s="24" t="s">
        <v>112</v>
      </c>
      <c r="K22" s="18"/>
      <c r="L22" s="18" t="str">
        <f>"110,0"</f>
        <v>110,0</v>
      </c>
      <c r="M22" s="18" t="str">
        <f>"74,0190"</f>
        <v>74,0190</v>
      </c>
      <c r="N22" s="15" t="s">
        <v>228</v>
      </c>
    </row>
    <row r="23" spans="1:14">
      <c r="B23" s="8" t="s">
        <v>50</v>
      </c>
    </row>
    <row r="24" spans="1:14" ht="16">
      <c r="A24" s="32" t="s">
        <v>30</v>
      </c>
      <c r="B24" s="32"/>
      <c r="C24" s="32"/>
      <c r="D24" s="32"/>
      <c r="E24" s="32"/>
      <c r="F24" s="32"/>
      <c r="G24" s="32"/>
      <c r="H24" s="32"/>
      <c r="I24" s="32"/>
      <c r="J24" s="32"/>
      <c r="K24" s="32"/>
    </row>
    <row r="25" spans="1:14">
      <c r="A25" s="59" t="s">
        <v>49</v>
      </c>
      <c r="B25" s="20" t="s">
        <v>133</v>
      </c>
      <c r="C25" s="14" t="s">
        <v>134</v>
      </c>
      <c r="D25" s="14" t="s">
        <v>135</v>
      </c>
      <c r="E25" s="14" t="str">
        <f>"0,6455"</f>
        <v>0,6455</v>
      </c>
      <c r="F25" s="14" t="s">
        <v>121</v>
      </c>
      <c r="G25" s="14" t="s">
        <v>294</v>
      </c>
      <c r="H25" s="17" t="s">
        <v>22</v>
      </c>
      <c r="I25" s="17" t="s">
        <v>104</v>
      </c>
      <c r="J25" s="17" t="s">
        <v>136</v>
      </c>
      <c r="K25" s="16"/>
      <c r="L25" s="16" t="str">
        <f>"107,5"</f>
        <v>107,5</v>
      </c>
      <c r="M25" s="16" t="str">
        <f>"69,3913"</f>
        <v>69,3913</v>
      </c>
      <c r="N25" s="14" t="s">
        <v>228</v>
      </c>
    </row>
    <row r="26" spans="1:14">
      <c r="A26" s="60" t="s">
        <v>49</v>
      </c>
      <c r="B26" s="21" t="s">
        <v>137</v>
      </c>
      <c r="C26" s="15" t="s">
        <v>138</v>
      </c>
      <c r="D26" s="15" t="s">
        <v>139</v>
      </c>
      <c r="E26" s="15" t="str">
        <f>"0,6624"</f>
        <v>0,6624</v>
      </c>
      <c r="F26" s="15" t="s">
        <v>140</v>
      </c>
      <c r="G26" s="15" t="s">
        <v>294</v>
      </c>
      <c r="H26" s="19" t="s">
        <v>141</v>
      </c>
      <c r="I26" s="19" t="s">
        <v>21</v>
      </c>
      <c r="J26" s="19" t="s">
        <v>99</v>
      </c>
      <c r="K26" s="18"/>
      <c r="L26" s="18" t="str">
        <f>"85,0"</f>
        <v>85,0</v>
      </c>
      <c r="M26" s="18" t="str">
        <f>"56,3040"</f>
        <v>56,3040</v>
      </c>
      <c r="N26" s="15" t="s">
        <v>125</v>
      </c>
    </row>
    <row r="27" spans="1:14">
      <c r="B27" s="8" t="s">
        <v>50</v>
      </c>
    </row>
    <row r="28" spans="1:14" ht="16">
      <c r="A28" s="32" t="s">
        <v>53</v>
      </c>
      <c r="B28" s="32"/>
      <c r="C28" s="32"/>
      <c r="D28" s="32"/>
      <c r="E28" s="32"/>
      <c r="F28" s="32"/>
      <c r="G28" s="32"/>
      <c r="H28" s="32"/>
      <c r="I28" s="32"/>
      <c r="J28" s="32"/>
      <c r="K28" s="32"/>
    </row>
    <row r="29" spans="1:14">
      <c r="A29" s="33" t="s">
        <v>49</v>
      </c>
      <c r="B29" s="13" t="s">
        <v>142</v>
      </c>
      <c r="C29" s="5" t="s">
        <v>143</v>
      </c>
      <c r="D29" s="5" t="s">
        <v>144</v>
      </c>
      <c r="E29" s="5" t="str">
        <f>"0,6352"</f>
        <v>0,6352</v>
      </c>
      <c r="F29" s="5" t="s">
        <v>121</v>
      </c>
      <c r="G29" s="5" t="s">
        <v>145</v>
      </c>
      <c r="H29" s="10" t="s">
        <v>21</v>
      </c>
      <c r="I29" s="12" t="s">
        <v>22</v>
      </c>
      <c r="J29" s="12" t="s">
        <v>22</v>
      </c>
      <c r="K29" s="11"/>
      <c r="L29" s="11" t="str">
        <f>"80,0"</f>
        <v>80,0</v>
      </c>
      <c r="M29" s="11" t="str">
        <f>"50,8160"</f>
        <v>50,8160</v>
      </c>
      <c r="N29" s="5" t="s">
        <v>125</v>
      </c>
    </row>
    <row r="30" spans="1:14">
      <c r="B30" s="8" t="s">
        <v>50</v>
      </c>
    </row>
    <row r="31" spans="1:14" ht="16">
      <c r="A31" s="32" t="s">
        <v>74</v>
      </c>
      <c r="B31" s="32"/>
      <c r="C31" s="32"/>
      <c r="D31" s="32"/>
      <c r="E31" s="32"/>
      <c r="F31" s="32"/>
      <c r="G31" s="32"/>
      <c r="H31" s="32"/>
      <c r="I31" s="32"/>
      <c r="J31" s="32"/>
      <c r="K31" s="32"/>
    </row>
    <row r="32" spans="1:14">
      <c r="A32" s="59" t="s">
        <v>49</v>
      </c>
      <c r="B32" s="20" t="s">
        <v>146</v>
      </c>
      <c r="C32" s="14" t="s">
        <v>147</v>
      </c>
      <c r="D32" s="14" t="s">
        <v>148</v>
      </c>
      <c r="E32" s="14" t="str">
        <f>"0,5937"</f>
        <v>0,5937</v>
      </c>
      <c r="F32" s="14" t="s">
        <v>149</v>
      </c>
      <c r="G32" s="14" t="s">
        <v>297</v>
      </c>
      <c r="H32" s="17" t="s">
        <v>150</v>
      </c>
      <c r="I32" s="17" t="s">
        <v>108</v>
      </c>
      <c r="J32" s="17" t="s">
        <v>151</v>
      </c>
      <c r="K32" s="16"/>
      <c r="L32" s="16" t="str">
        <f>"195,0"</f>
        <v>195,0</v>
      </c>
      <c r="M32" s="16" t="str">
        <f>"115,7715"</f>
        <v>115,7715</v>
      </c>
      <c r="N32" s="14" t="s">
        <v>228</v>
      </c>
    </row>
    <row r="33" spans="1:14">
      <c r="A33" s="60" t="s">
        <v>49</v>
      </c>
      <c r="B33" s="21" t="s">
        <v>152</v>
      </c>
      <c r="C33" s="15" t="s">
        <v>153</v>
      </c>
      <c r="D33" s="15" t="s">
        <v>154</v>
      </c>
      <c r="E33" s="15" t="str">
        <f>"0,5898"</f>
        <v>0,5898</v>
      </c>
      <c r="F33" s="15" t="s">
        <v>140</v>
      </c>
      <c r="G33" s="15" t="s">
        <v>294</v>
      </c>
      <c r="H33" s="19" t="s">
        <v>156</v>
      </c>
      <c r="I33" s="19" t="s">
        <v>39</v>
      </c>
      <c r="J33" s="24" t="s">
        <v>157</v>
      </c>
      <c r="K33" s="18"/>
      <c r="L33" s="18" t="str">
        <f>"160,0"</f>
        <v>160,0</v>
      </c>
      <c r="M33" s="18" t="str">
        <f>"98,5202"</f>
        <v>98,5202</v>
      </c>
      <c r="N33" s="15" t="s">
        <v>228</v>
      </c>
    </row>
    <row r="34" spans="1:14">
      <c r="B34" s="8" t="s">
        <v>50</v>
      </c>
    </row>
    <row r="35" spans="1:14" ht="16">
      <c r="A35" s="32" t="s">
        <v>158</v>
      </c>
      <c r="B35" s="32"/>
      <c r="C35" s="32"/>
      <c r="D35" s="32"/>
      <c r="E35" s="32"/>
      <c r="F35" s="32"/>
      <c r="G35" s="32"/>
      <c r="H35" s="32"/>
      <c r="I35" s="32"/>
      <c r="J35" s="32"/>
      <c r="K35" s="32"/>
    </row>
    <row r="36" spans="1:14">
      <c r="A36" s="59" t="s">
        <v>49</v>
      </c>
      <c r="B36" s="20" t="s">
        <v>159</v>
      </c>
      <c r="C36" s="14" t="s">
        <v>160</v>
      </c>
      <c r="D36" s="14" t="s">
        <v>161</v>
      </c>
      <c r="E36" s="14" t="str">
        <f>"0,5834"</f>
        <v>0,5834</v>
      </c>
      <c r="F36" s="14" t="s">
        <v>140</v>
      </c>
      <c r="G36" s="14" t="s">
        <v>145</v>
      </c>
      <c r="H36" s="17" t="s">
        <v>104</v>
      </c>
      <c r="I36" s="23" t="s">
        <v>132</v>
      </c>
      <c r="J36" s="23" t="s">
        <v>132</v>
      </c>
      <c r="K36" s="16"/>
      <c r="L36" s="16" t="str">
        <f>"100,0"</f>
        <v>100,0</v>
      </c>
      <c r="M36" s="16" t="str">
        <f>"58,3400"</f>
        <v>58,3400</v>
      </c>
      <c r="N36" s="14" t="s">
        <v>125</v>
      </c>
    </row>
    <row r="37" spans="1:14">
      <c r="A37" s="60" t="s">
        <v>49</v>
      </c>
      <c r="B37" s="21" t="s">
        <v>162</v>
      </c>
      <c r="C37" s="15" t="s">
        <v>163</v>
      </c>
      <c r="D37" s="15" t="s">
        <v>164</v>
      </c>
      <c r="E37" s="15" t="str">
        <f>"0,5793"</f>
        <v>0,5793</v>
      </c>
      <c r="F37" s="15" t="s">
        <v>121</v>
      </c>
      <c r="G37" s="15" t="s">
        <v>165</v>
      </c>
      <c r="H37" s="19" t="s">
        <v>166</v>
      </c>
      <c r="I37" s="19" t="s">
        <v>41</v>
      </c>
      <c r="J37" s="19" t="s">
        <v>150</v>
      </c>
      <c r="K37" s="18"/>
      <c r="L37" s="18" t="str">
        <f>"185,0"</f>
        <v>185,0</v>
      </c>
      <c r="M37" s="18" t="str">
        <f>"107,1705"</f>
        <v>107,1705</v>
      </c>
      <c r="N37" s="15" t="s">
        <v>228</v>
      </c>
    </row>
    <row r="38" spans="1:14">
      <c r="B38" s="8" t="s">
        <v>50</v>
      </c>
    </row>
    <row r="39" spans="1:14" ht="16">
      <c r="B39" s="8" t="s">
        <v>50</v>
      </c>
      <c r="F39" s="61"/>
    </row>
    <row r="40" spans="1:14">
      <c r="B40" s="8" t="s">
        <v>50</v>
      </c>
    </row>
    <row r="41" spans="1:14" ht="18">
      <c r="B41" s="62" t="s">
        <v>42</v>
      </c>
      <c r="C41" s="62"/>
    </row>
    <row r="42" spans="1:14" ht="16">
      <c r="B42" s="6" t="s">
        <v>47</v>
      </c>
      <c r="C42" s="6"/>
    </row>
    <row r="43" spans="1:14" ht="14">
      <c r="B43" s="63"/>
      <c r="C43" s="63" t="s">
        <v>168</v>
      </c>
    </row>
    <row r="44" spans="1:14" ht="14">
      <c r="B44" s="7" t="s">
        <v>44</v>
      </c>
      <c r="C44" s="7" t="s">
        <v>45</v>
      </c>
      <c r="D44" s="7" t="s">
        <v>306</v>
      </c>
      <c r="E44" s="7" t="s">
        <v>62</v>
      </c>
      <c r="F44" s="7" t="s">
        <v>46</v>
      </c>
    </row>
    <row r="45" spans="1:14">
      <c r="B45" s="3" t="s">
        <v>113</v>
      </c>
      <c r="C45" s="8" t="s">
        <v>169</v>
      </c>
      <c r="D45" s="9" t="s">
        <v>167</v>
      </c>
      <c r="E45" s="9" t="s">
        <v>27</v>
      </c>
      <c r="F45" s="9" t="s">
        <v>170</v>
      </c>
    </row>
    <row r="46" spans="1:14">
      <c r="B46" s="3" t="s">
        <v>133</v>
      </c>
      <c r="C46" s="8" t="s">
        <v>169</v>
      </c>
      <c r="D46" s="9" t="s">
        <v>48</v>
      </c>
      <c r="E46" s="9" t="s">
        <v>136</v>
      </c>
      <c r="F46" s="9" t="s">
        <v>171</v>
      </c>
    </row>
    <row r="47" spans="1:14">
      <c r="B47" s="3" t="s">
        <v>101</v>
      </c>
      <c r="C47" s="8" t="s">
        <v>169</v>
      </c>
      <c r="D47" s="9" t="s">
        <v>172</v>
      </c>
      <c r="E47" s="9" t="s">
        <v>23</v>
      </c>
      <c r="F47" s="9" t="s">
        <v>173</v>
      </c>
    </row>
    <row r="48" spans="1:14">
      <c r="B48" s="3"/>
    </row>
    <row r="49" spans="2:6" ht="14">
      <c r="B49" s="63"/>
      <c r="C49" s="63" t="s">
        <v>43</v>
      </c>
    </row>
    <row r="50" spans="2:6" ht="14">
      <c r="B50" s="7" t="s">
        <v>44</v>
      </c>
      <c r="C50" s="7" t="s">
        <v>45</v>
      </c>
      <c r="D50" s="7" t="s">
        <v>306</v>
      </c>
      <c r="E50" s="7" t="s">
        <v>62</v>
      </c>
      <c r="F50" s="7" t="s">
        <v>46</v>
      </c>
    </row>
    <row r="51" spans="2:6">
      <c r="B51" s="3" t="s">
        <v>146</v>
      </c>
      <c r="C51" s="8" t="s">
        <v>43</v>
      </c>
      <c r="D51" s="9" t="s">
        <v>80</v>
      </c>
      <c r="E51" s="9" t="s">
        <v>151</v>
      </c>
      <c r="F51" s="9" t="s">
        <v>174</v>
      </c>
    </row>
    <row r="52" spans="2:6">
      <c r="B52" s="3" t="s">
        <v>162</v>
      </c>
      <c r="C52" s="8" t="s">
        <v>43</v>
      </c>
      <c r="D52" s="9" t="s">
        <v>175</v>
      </c>
      <c r="E52" s="9" t="s">
        <v>150</v>
      </c>
      <c r="F52" s="9" t="s">
        <v>176</v>
      </c>
    </row>
    <row r="53" spans="2:6">
      <c r="B53" s="3" t="s">
        <v>105</v>
      </c>
      <c r="C53" s="8" t="s">
        <v>43</v>
      </c>
      <c r="D53" s="9" t="s">
        <v>172</v>
      </c>
      <c r="E53" s="9" t="s">
        <v>73</v>
      </c>
      <c r="F53" s="9" t="s">
        <v>177</v>
      </c>
    </row>
  </sheetData>
  <mergeCells count="20">
    <mergeCell ref="L3:L4"/>
    <mergeCell ref="M3:M4"/>
    <mergeCell ref="N3:N4"/>
    <mergeCell ref="A5:K5"/>
    <mergeCell ref="A1:N2"/>
    <mergeCell ref="A3:A4"/>
    <mergeCell ref="C3:C4"/>
    <mergeCell ref="D3:D4"/>
    <mergeCell ref="E3:E4"/>
    <mergeCell ref="F3:F4"/>
    <mergeCell ref="A35:K35"/>
    <mergeCell ref="B3:B4"/>
    <mergeCell ref="A9:K9"/>
    <mergeCell ref="A12:K12"/>
    <mergeCell ref="A17:K17"/>
    <mergeCell ref="A24:K24"/>
    <mergeCell ref="A28:K28"/>
    <mergeCell ref="A31:K31"/>
    <mergeCell ref="G3:G4"/>
    <mergeCell ref="H3:K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workbookViewId="0">
      <selection sqref="A1:V2"/>
    </sheetView>
  </sheetViews>
  <sheetFormatPr baseColWidth="10" defaultColWidth="9.1640625" defaultRowHeight="13"/>
  <cols>
    <col min="1" max="1" width="7.5" style="9" bestFit="1" customWidth="1"/>
    <col min="2" max="2" width="17.33203125" style="8" bestFit="1" customWidth="1"/>
    <col min="3" max="3" width="27.5" style="3" bestFit="1" customWidth="1"/>
    <col min="4" max="4" width="21.5" style="3" bestFit="1" customWidth="1"/>
    <col min="5" max="5" width="10.5" style="3" bestFit="1" customWidth="1"/>
    <col min="6" max="6" width="22.6640625" style="3" bestFit="1" customWidth="1"/>
    <col min="7" max="7" width="30.1640625" style="3" bestFit="1" customWidth="1"/>
    <col min="8" max="10" width="5.5" style="2" customWidth="1"/>
    <col min="11" max="11" width="4.83203125" style="2" customWidth="1"/>
    <col min="12" max="12" width="10.5" style="2" bestFit="1" customWidth="1"/>
    <col min="13" max="13" width="8.5" style="2" bestFit="1" customWidth="1"/>
    <col min="14" max="14" width="15.5" style="3" bestFit="1" customWidth="1"/>
    <col min="15" max="16384" width="9.1640625" style="3"/>
  </cols>
  <sheetData>
    <row r="1" spans="1:14" s="2" customFormat="1" ht="29" customHeight="1">
      <c r="A1" s="38" t="s">
        <v>286</v>
      </c>
      <c r="B1" s="39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1"/>
    </row>
    <row r="2" spans="1:14" s="2" customFormat="1" ht="62" customHeight="1" thickBot="1">
      <c r="A2" s="51"/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3"/>
    </row>
    <row r="3" spans="1:14" s="1" customFormat="1" ht="12.75" customHeight="1">
      <c r="A3" s="47" t="s">
        <v>51</v>
      </c>
      <c r="B3" s="48" t="s">
        <v>0</v>
      </c>
      <c r="C3" s="49" t="s">
        <v>6</v>
      </c>
      <c r="D3" s="49" t="s">
        <v>10</v>
      </c>
      <c r="E3" s="48" t="s">
        <v>11</v>
      </c>
      <c r="F3" s="48" t="s">
        <v>4</v>
      </c>
      <c r="G3" s="48" t="s">
        <v>7</v>
      </c>
      <c r="H3" s="48" t="s">
        <v>13</v>
      </c>
      <c r="I3" s="48"/>
      <c r="J3" s="48"/>
      <c r="K3" s="48"/>
      <c r="L3" s="48" t="s">
        <v>62</v>
      </c>
      <c r="M3" s="48" t="s">
        <v>3</v>
      </c>
      <c r="N3" s="50" t="s">
        <v>2</v>
      </c>
    </row>
    <row r="4" spans="1:14" s="1" customFormat="1" ht="21" customHeight="1" thickBot="1">
      <c r="A4" s="30"/>
      <c r="B4" s="46"/>
      <c r="C4" s="31"/>
      <c r="D4" s="31"/>
      <c r="E4" s="31"/>
      <c r="F4" s="31"/>
      <c r="G4" s="31"/>
      <c r="H4" s="4">
        <v>1</v>
      </c>
      <c r="I4" s="4">
        <v>2</v>
      </c>
      <c r="J4" s="4">
        <v>3</v>
      </c>
      <c r="K4" s="4" t="s">
        <v>5</v>
      </c>
      <c r="L4" s="31"/>
      <c r="M4" s="31"/>
      <c r="N4" s="29"/>
    </row>
    <row r="5" spans="1:14" ht="16">
      <c r="A5" s="32" t="s">
        <v>15</v>
      </c>
      <c r="B5" s="32"/>
      <c r="C5" s="34"/>
      <c r="D5" s="34"/>
      <c r="E5" s="34"/>
      <c r="F5" s="34"/>
      <c r="G5" s="34"/>
      <c r="H5" s="34"/>
      <c r="I5" s="34"/>
      <c r="J5" s="34"/>
      <c r="K5" s="34"/>
    </row>
    <row r="6" spans="1:14">
      <c r="A6" s="33" t="s">
        <v>49</v>
      </c>
      <c r="B6" s="13" t="s">
        <v>16</v>
      </c>
      <c r="C6" s="5" t="s">
        <v>17</v>
      </c>
      <c r="D6" s="5" t="s">
        <v>18</v>
      </c>
      <c r="E6" s="5" t="str">
        <f>"1,1866"</f>
        <v>1,1866</v>
      </c>
      <c r="F6" s="5" t="s">
        <v>308</v>
      </c>
      <c r="G6" s="5" t="s">
        <v>20</v>
      </c>
      <c r="H6" s="10" t="s">
        <v>24</v>
      </c>
      <c r="I6" s="10" t="s">
        <v>25</v>
      </c>
      <c r="J6" s="10" t="s">
        <v>26</v>
      </c>
      <c r="K6" s="11"/>
      <c r="L6" s="11" t="str">
        <f>"60,0"</f>
        <v>60,0</v>
      </c>
      <c r="M6" s="11" t="str">
        <f>"71,1960"</f>
        <v>71,1960</v>
      </c>
      <c r="N6" s="5" t="s">
        <v>228</v>
      </c>
    </row>
    <row r="7" spans="1:14">
      <c r="B7" s="8" t="s">
        <v>50</v>
      </c>
    </row>
    <row r="8" spans="1:14" ht="16">
      <c r="A8" s="32" t="s">
        <v>63</v>
      </c>
      <c r="B8" s="32"/>
      <c r="C8" s="32"/>
      <c r="D8" s="32"/>
      <c r="E8" s="32"/>
      <c r="F8" s="32"/>
      <c r="G8" s="32"/>
      <c r="H8" s="32"/>
      <c r="I8" s="32"/>
      <c r="J8" s="32"/>
      <c r="K8" s="32"/>
    </row>
    <row r="9" spans="1:14">
      <c r="A9" s="33" t="s">
        <v>49</v>
      </c>
      <c r="B9" s="13" t="s">
        <v>64</v>
      </c>
      <c r="C9" s="5" t="s">
        <v>65</v>
      </c>
      <c r="D9" s="5" t="s">
        <v>66</v>
      </c>
      <c r="E9" s="5" t="str">
        <f>"1,1281"</f>
        <v>1,1281</v>
      </c>
      <c r="F9" s="5" t="s">
        <v>121</v>
      </c>
      <c r="G9" s="5" t="s">
        <v>298</v>
      </c>
      <c r="H9" s="10" t="s">
        <v>67</v>
      </c>
      <c r="I9" s="12" t="s">
        <v>68</v>
      </c>
      <c r="J9" s="12" t="s">
        <v>68</v>
      </c>
      <c r="K9" s="11"/>
      <c r="L9" s="11" t="str">
        <f>"67,5"</f>
        <v>67,5</v>
      </c>
      <c r="M9" s="11" t="str">
        <f>"76,1468"</f>
        <v>76,1468</v>
      </c>
      <c r="N9" s="5" t="s">
        <v>69</v>
      </c>
    </row>
    <row r="10" spans="1:14">
      <c r="B10" s="8" t="s">
        <v>50</v>
      </c>
    </row>
    <row r="11" spans="1:14" ht="16">
      <c r="A11" s="32" t="s">
        <v>30</v>
      </c>
      <c r="B11" s="32"/>
      <c r="C11" s="32"/>
      <c r="D11" s="32"/>
      <c r="E11" s="32"/>
      <c r="F11" s="32"/>
      <c r="G11" s="32"/>
      <c r="H11" s="32"/>
      <c r="I11" s="32"/>
      <c r="J11" s="32"/>
      <c r="K11" s="32"/>
    </row>
    <row r="12" spans="1:14">
      <c r="A12" s="33" t="s">
        <v>49</v>
      </c>
      <c r="B12" s="13" t="s">
        <v>31</v>
      </c>
      <c r="C12" s="5" t="s">
        <v>32</v>
      </c>
      <c r="D12" s="5" t="s">
        <v>33</v>
      </c>
      <c r="E12" s="5" t="str">
        <f>"0,6471"</f>
        <v>0,6471</v>
      </c>
      <c r="F12" s="5" t="s">
        <v>121</v>
      </c>
      <c r="G12" s="5" t="s">
        <v>300</v>
      </c>
      <c r="H12" s="10" t="s">
        <v>21</v>
      </c>
      <c r="I12" s="10" t="s">
        <v>37</v>
      </c>
      <c r="J12" s="10" t="s">
        <v>38</v>
      </c>
      <c r="K12" s="11"/>
      <c r="L12" s="11" t="str">
        <f>"92,5"</f>
        <v>92,5</v>
      </c>
      <c r="M12" s="11" t="str">
        <f>"77,6342"</f>
        <v>77,6342</v>
      </c>
      <c r="N12" s="5" t="s">
        <v>228</v>
      </c>
    </row>
    <row r="13" spans="1:14">
      <c r="B13" s="8" t="s">
        <v>50</v>
      </c>
    </row>
    <row r="14" spans="1:14" ht="16">
      <c r="A14" s="32" t="s">
        <v>53</v>
      </c>
      <c r="B14" s="32"/>
      <c r="C14" s="32"/>
      <c r="D14" s="32"/>
      <c r="E14" s="32"/>
      <c r="F14" s="32"/>
      <c r="G14" s="32"/>
      <c r="H14" s="32"/>
      <c r="I14" s="32"/>
      <c r="J14" s="32"/>
      <c r="K14" s="32"/>
    </row>
    <row r="15" spans="1:14">
      <c r="A15" s="33" t="s">
        <v>49</v>
      </c>
      <c r="B15" s="13" t="s">
        <v>70</v>
      </c>
      <c r="C15" s="5" t="s">
        <v>71</v>
      </c>
      <c r="D15" s="5" t="s">
        <v>72</v>
      </c>
      <c r="E15" s="5" t="str">
        <f>"0,6206"</f>
        <v>0,6206</v>
      </c>
      <c r="F15" s="5" t="s">
        <v>140</v>
      </c>
      <c r="G15" s="5" t="s">
        <v>307</v>
      </c>
      <c r="H15" s="10" t="s">
        <v>29</v>
      </c>
      <c r="I15" s="10" t="s">
        <v>34</v>
      </c>
      <c r="J15" s="12" t="s">
        <v>73</v>
      </c>
      <c r="K15" s="11"/>
      <c r="L15" s="11" t="str">
        <f>"130,0"</f>
        <v>130,0</v>
      </c>
      <c r="M15" s="11" t="str">
        <f>"100,8475"</f>
        <v>100,8475</v>
      </c>
      <c r="N15" s="5" t="s">
        <v>228</v>
      </c>
    </row>
    <row r="16" spans="1:14">
      <c r="B16" s="8" t="s">
        <v>50</v>
      </c>
    </row>
    <row r="17" spans="1:14" ht="16">
      <c r="A17" s="32" t="s">
        <v>74</v>
      </c>
      <c r="B17" s="32"/>
      <c r="C17" s="32"/>
      <c r="D17" s="32"/>
      <c r="E17" s="32"/>
      <c r="F17" s="32"/>
      <c r="G17" s="32"/>
      <c r="H17" s="32"/>
      <c r="I17" s="32"/>
      <c r="J17" s="32"/>
      <c r="K17" s="32"/>
    </row>
    <row r="18" spans="1:14">
      <c r="A18" s="33" t="s">
        <v>49</v>
      </c>
      <c r="B18" s="13" t="s">
        <v>75</v>
      </c>
      <c r="C18" s="5" t="s">
        <v>76</v>
      </c>
      <c r="D18" s="5" t="s">
        <v>77</v>
      </c>
      <c r="E18" s="5" t="str">
        <f>"0,5895"</f>
        <v>0,5895</v>
      </c>
      <c r="F18" s="5" t="s">
        <v>308</v>
      </c>
      <c r="G18" s="5" t="s">
        <v>20</v>
      </c>
      <c r="H18" s="10" t="s">
        <v>78</v>
      </c>
      <c r="I18" s="10" t="s">
        <v>79</v>
      </c>
      <c r="J18" s="10" t="s">
        <v>58</v>
      </c>
      <c r="K18" s="11"/>
      <c r="L18" s="11" t="str">
        <f>"215,0"</f>
        <v>215,0</v>
      </c>
      <c r="M18" s="11" t="str">
        <f>"126,7425"</f>
        <v>126,7425</v>
      </c>
      <c r="N18" s="5" t="s">
        <v>228</v>
      </c>
    </row>
    <row r="19" spans="1:14">
      <c r="B19" s="8" t="s">
        <v>50</v>
      </c>
    </row>
  </sheetData>
  <mergeCells count="17">
    <mergeCell ref="M3:M4"/>
    <mergeCell ref="N3:N4"/>
    <mergeCell ref="A5:K5"/>
    <mergeCell ref="A1:N2"/>
    <mergeCell ref="A3:A4"/>
    <mergeCell ref="C3:C4"/>
    <mergeCell ref="D3:D4"/>
    <mergeCell ref="E3:E4"/>
    <mergeCell ref="F3:F4"/>
    <mergeCell ref="G3:G4"/>
    <mergeCell ref="A8:K8"/>
    <mergeCell ref="A11:K11"/>
    <mergeCell ref="A14:K14"/>
    <mergeCell ref="A17:K17"/>
    <mergeCell ref="B3:B4"/>
    <mergeCell ref="L3:L4"/>
    <mergeCell ref="H3:K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"/>
  <sheetViews>
    <sheetView workbookViewId="0">
      <selection sqref="A1:V2"/>
    </sheetView>
  </sheetViews>
  <sheetFormatPr baseColWidth="10" defaultColWidth="9.1640625" defaultRowHeight="13"/>
  <cols>
    <col min="1" max="1" width="7.5" style="9" bestFit="1" customWidth="1"/>
    <col min="2" max="2" width="18.5" style="8" bestFit="1" customWidth="1"/>
    <col min="3" max="3" width="26.33203125" style="3" bestFit="1" customWidth="1"/>
    <col min="4" max="4" width="21.5" style="3" bestFit="1" customWidth="1"/>
    <col min="5" max="5" width="10.5" style="3" bestFit="1" customWidth="1"/>
    <col min="6" max="6" width="22.6640625" style="3" bestFit="1" customWidth="1"/>
    <col min="7" max="7" width="30.1640625" style="3" bestFit="1" customWidth="1"/>
    <col min="8" max="10" width="5.5" style="2" customWidth="1"/>
    <col min="11" max="11" width="4.83203125" style="2" customWidth="1"/>
    <col min="12" max="12" width="10.5" style="2" bestFit="1" customWidth="1"/>
    <col min="13" max="13" width="8.5" style="2" bestFit="1" customWidth="1"/>
    <col min="14" max="14" width="15.5" style="3" bestFit="1" customWidth="1"/>
    <col min="15" max="16384" width="9.1640625" style="3"/>
  </cols>
  <sheetData>
    <row r="1" spans="1:14" s="2" customFormat="1" ht="29" customHeight="1">
      <c r="A1" s="38" t="s">
        <v>283</v>
      </c>
      <c r="B1" s="39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1"/>
    </row>
    <row r="2" spans="1:14" s="2" customFormat="1" ht="62" customHeight="1" thickBot="1">
      <c r="A2" s="51"/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3"/>
    </row>
    <row r="3" spans="1:14" s="1" customFormat="1" ht="12.75" customHeight="1">
      <c r="A3" s="47" t="s">
        <v>51</v>
      </c>
      <c r="B3" s="48" t="s">
        <v>0</v>
      </c>
      <c r="C3" s="49" t="s">
        <v>6</v>
      </c>
      <c r="D3" s="49" t="s">
        <v>10</v>
      </c>
      <c r="E3" s="48" t="s">
        <v>11</v>
      </c>
      <c r="F3" s="48" t="s">
        <v>4</v>
      </c>
      <c r="G3" s="48" t="s">
        <v>7</v>
      </c>
      <c r="H3" s="48" t="s">
        <v>13</v>
      </c>
      <c r="I3" s="48"/>
      <c r="J3" s="48"/>
      <c r="K3" s="48"/>
      <c r="L3" s="48" t="s">
        <v>62</v>
      </c>
      <c r="M3" s="48" t="s">
        <v>3</v>
      </c>
      <c r="N3" s="50" t="s">
        <v>2</v>
      </c>
    </row>
    <row r="4" spans="1:14" s="1" customFormat="1" ht="21" customHeight="1" thickBot="1">
      <c r="A4" s="30"/>
      <c r="B4" s="46"/>
      <c r="C4" s="31"/>
      <c r="D4" s="31"/>
      <c r="E4" s="31"/>
      <c r="F4" s="31"/>
      <c r="G4" s="31"/>
      <c r="H4" s="4">
        <v>1</v>
      </c>
      <c r="I4" s="4">
        <v>2</v>
      </c>
      <c r="J4" s="4">
        <v>3</v>
      </c>
      <c r="K4" s="4" t="s">
        <v>5</v>
      </c>
      <c r="L4" s="31"/>
      <c r="M4" s="31"/>
      <c r="N4" s="29"/>
    </row>
    <row r="5" spans="1:14" ht="16">
      <c r="A5" s="32" t="s">
        <v>63</v>
      </c>
      <c r="B5" s="32"/>
      <c r="C5" s="34"/>
      <c r="D5" s="34"/>
      <c r="E5" s="34"/>
      <c r="F5" s="34"/>
      <c r="G5" s="34"/>
      <c r="H5" s="34"/>
      <c r="I5" s="34"/>
      <c r="J5" s="34"/>
      <c r="K5" s="34"/>
    </row>
    <row r="6" spans="1:14">
      <c r="A6" s="33" t="s">
        <v>49</v>
      </c>
      <c r="B6" s="13" t="s">
        <v>191</v>
      </c>
      <c r="C6" s="5" t="s">
        <v>192</v>
      </c>
      <c r="D6" s="5" t="s">
        <v>193</v>
      </c>
      <c r="E6" s="5" t="str">
        <f>"0,8594"</f>
        <v>0,8594</v>
      </c>
      <c r="F6" s="5" t="s">
        <v>19</v>
      </c>
      <c r="G6" s="5" t="s">
        <v>20</v>
      </c>
      <c r="H6" s="10" t="s">
        <v>29</v>
      </c>
      <c r="I6" s="10" t="s">
        <v>194</v>
      </c>
      <c r="J6" s="12" t="s">
        <v>34</v>
      </c>
      <c r="K6" s="11"/>
      <c r="L6" s="11" t="str">
        <f>"125,0"</f>
        <v>125,0</v>
      </c>
      <c r="M6" s="11" t="str">
        <f>"107,4250"</f>
        <v>107,4250</v>
      </c>
      <c r="N6" s="5" t="s">
        <v>195</v>
      </c>
    </row>
    <row r="7" spans="1:14">
      <c r="B7" s="8" t="s">
        <v>50</v>
      </c>
    </row>
    <row r="8" spans="1:14" ht="16">
      <c r="A8" s="32" t="s">
        <v>30</v>
      </c>
      <c r="B8" s="32"/>
      <c r="C8" s="32"/>
      <c r="D8" s="32"/>
      <c r="E8" s="32"/>
      <c r="F8" s="32"/>
      <c r="G8" s="32"/>
      <c r="H8" s="32"/>
      <c r="I8" s="32"/>
      <c r="J8" s="32"/>
      <c r="K8" s="32"/>
    </row>
    <row r="9" spans="1:14">
      <c r="A9" s="33" t="s">
        <v>49</v>
      </c>
      <c r="B9" s="13" t="s">
        <v>196</v>
      </c>
      <c r="C9" s="5" t="s">
        <v>302</v>
      </c>
      <c r="D9" s="5" t="s">
        <v>197</v>
      </c>
      <c r="E9" s="5" t="str">
        <f>"0,6579"</f>
        <v>0,6579</v>
      </c>
      <c r="F9" s="5" t="s">
        <v>121</v>
      </c>
      <c r="G9" s="5" t="s">
        <v>303</v>
      </c>
      <c r="H9" s="10" t="s">
        <v>78</v>
      </c>
      <c r="I9" s="10" t="s">
        <v>79</v>
      </c>
      <c r="J9" s="12" t="s">
        <v>198</v>
      </c>
      <c r="K9" s="11"/>
      <c r="L9" s="11" t="str">
        <f>"210,0"</f>
        <v>210,0</v>
      </c>
      <c r="M9" s="11" t="str">
        <f>"138,1590"</f>
        <v>138,1590</v>
      </c>
      <c r="N9" s="5" t="s">
        <v>228</v>
      </c>
    </row>
    <row r="10" spans="1:14">
      <c r="B10" s="8" t="s">
        <v>50</v>
      </c>
    </row>
  </sheetData>
  <mergeCells count="14">
    <mergeCell ref="A1:N2"/>
    <mergeCell ref="A3:A4"/>
    <mergeCell ref="C3:C4"/>
    <mergeCell ref="D3:D4"/>
    <mergeCell ref="E3:E4"/>
    <mergeCell ref="F3:F4"/>
    <mergeCell ref="G3:G4"/>
    <mergeCell ref="H3:K3"/>
    <mergeCell ref="A8:K8"/>
    <mergeCell ref="B3:B4"/>
    <mergeCell ref="L3:L4"/>
    <mergeCell ref="M3:M4"/>
    <mergeCell ref="N3:N4"/>
    <mergeCell ref="A5:K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workbookViewId="0">
      <selection sqref="A1:V2"/>
    </sheetView>
  </sheetViews>
  <sheetFormatPr baseColWidth="10" defaultColWidth="9.1640625" defaultRowHeight="13"/>
  <cols>
    <col min="1" max="1" width="7.5" style="9" bestFit="1" customWidth="1"/>
    <col min="2" max="2" width="16" style="8" bestFit="1" customWidth="1"/>
    <col min="3" max="3" width="27.5" style="3" bestFit="1" customWidth="1"/>
    <col min="4" max="4" width="21.5" style="3" bestFit="1" customWidth="1"/>
    <col min="5" max="5" width="10.5" style="3" bestFit="1" customWidth="1"/>
    <col min="6" max="6" width="22.6640625" style="3" bestFit="1" customWidth="1"/>
    <col min="7" max="7" width="31.5" style="3" bestFit="1" customWidth="1"/>
    <col min="8" max="10" width="5.5" style="2" customWidth="1"/>
    <col min="11" max="11" width="4.83203125" style="2" customWidth="1"/>
    <col min="12" max="12" width="10.5" style="55" bestFit="1" customWidth="1"/>
    <col min="13" max="13" width="8.5" style="2" bestFit="1" customWidth="1"/>
    <col min="14" max="14" width="15.5" style="3" bestFit="1" customWidth="1"/>
    <col min="15" max="16384" width="9.1640625" style="3"/>
  </cols>
  <sheetData>
    <row r="1" spans="1:14" s="2" customFormat="1" ht="29" customHeight="1">
      <c r="A1" s="38" t="s">
        <v>284</v>
      </c>
      <c r="B1" s="39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1"/>
    </row>
    <row r="2" spans="1:14" s="2" customFormat="1" ht="62" customHeight="1" thickBot="1">
      <c r="A2" s="51"/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3"/>
    </row>
    <row r="3" spans="1:14" s="1" customFormat="1" ht="12.75" customHeight="1">
      <c r="A3" s="47" t="s">
        <v>51</v>
      </c>
      <c r="B3" s="48" t="s">
        <v>0</v>
      </c>
      <c r="C3" s="49" t="s">
        <v>6</v>
      </c>
      <c r="D3" s="49" t="s">
        <v>10</v>
      </c>
      <c r="E3" s="48" t="s">
        <v>52</v>
      </c>
      <c r="F3" s="48" t="s">
        <v>4</v>
      </c>
      <c r="G3" s="48" t="s">
        <v>7</v>
      </c>
      <c r="H3" s="48" t="s">
        <v>13</v>
      </c>
      <c r="I3" s="48"/>
      <c r="J3" s="48"/>
      <c r="K3" s="48"/>
      <c r="L3" s="64" t="s">
        <v>62</v>
      </c>
      <c r="M3" s="48" t="s">
        <v>3</v>
      </c>
      <c r="N3" s="50" t="s">
        <v>2</v>
      </c>
    </row>
    <row r="4" spans="1:14" s="1" customFormat="1" ht="21" customHeight="1" thickBot="1">
      <c r="A4" s="30"/>
      <c r="B4" s="46"/>
      <c r="C4" s="31"/>
      <c r="D4" s="31"/>
      <c r="E4" s="31"/>
      <c r="F4" s="31"/>
      <c r="G4" s="31"/>
      <c r="H4" s="4">
        <v>1</v>
      </c>
      <c r="I4" s="4">
        <v>2</v>
      </c>
      <c r="J4" s="4">
        <v>3</v>
      </c>
      <c r="K4" s="4" t="s">
        <v>5</v>
      </c>
      <c r="L4" s="65"/>
      <c r="M4" s="31"/>
      <c r="N4" s="29"/>
    </row>
    <row r="5" spans="1:14" ht="16">
      <c r="A5" s="32" t="s">
        <v>94</v>
      </c>
      <c r="B5" s="32"/>
      <c r="C5" s="34"/>
      <c r="D5" s="34"/>
      <c r="E5" s="34"/>
      <c r="F5" s="34"/>
      <c r="G5" s="34"/>
      <c r="H5" s="34"/>
      <c r="I5" s="34"/>
      <c r="J5" s="34"/>
      <c r="K5" s="34"/>
    </row>
    <row r="6" spans="1:14">
      <c r="A6" s="33" t="s">
        <v>49</v>
      </c>
      <c r="B6" s="13" t="s">
        <v>95</v>
      </c>
      <c r="C6" s="5" t="s">
        <v>96</v>
      </c>
      <c r="D6" s="5" t="s">
        <v>97</v>
      </c>
      <c r="E6" s="5" t="str">
        <f>"0,7877"</f>
        <v>0,7877</v>
      </c>
      <c r="F6" s="5" t="s">
        <v>304</v>
      </c>
      <c r="G6" s="5" t="s">
        <v>294</v>
      </c>
      <c r="H6" s="10" t="s">
        <v>136</v>
      </c>
      <c r="I6" s="10" t="s">
        <v>28</v>
      </c>
      <c r="J6" s="10" t="s">
        <v>29</v>
      </c>
      <c r="K6" s="11"/>
      <c r="L6" s="54" t="str">
        <f>"120,0"</f>
        <v>120,0</v>
      </c>
      <c r="M6" s="11" t="str">
        <f>"105,2052"</f>
        <v>105,2052</v>
      </c>
      <c r="N6" s="5" t="s">
        <v>228</v>
      </c>
    </row>
    <row r="7" spans="1:14">
      <c r="B7" s="8" t="s">
        <v>50</v>
      </c>
    </row>
    <row r="8" spans="1:14" ht="16">
      <c r="A8" s="32" t="s">
        <v>94</v>
      </c>
      <c r="B8" s="32"/>
      <c r="C8" s="32"/>
      <c r="D8" s="32"/>
      <c r="E8" s="32"/>
      <c r="F8" s="32"/>
      <c r="G8" s="32"/>
      <c r="H8" s="32"/>
      <c r="I8" s="32"/>
      <c r="J8" s="32"/>
      <c r="K8" s="32"/>
    </row>
    <row r="9" spans="1:14">
      <c r="A9" s="33" t="s">
        <v>190</v>
      </c>
      <c r="B9" s="13" t="s">
        <v>180</v>
      </c>
      <c r="C9" s="5" t="s">
        <v>181</v>
      </c>
      <c r="D9" s="5" t="s">
        <v>182</v>
      </c>
      <c r="E9" s="5" t="str">
        <f>"0,6503"</f>
        <v>0,6503</v>
      </c>
      <c r="F9" s="5" t="s">
        <v>121</v>
      </c>
      <c r="G9" s="5" t="s">
        <v>294</v>
      </c>
      <c r="H9" s="12" t="s">
        <v>150</v>
      </c>
      <c r="I9" s="12" t="s">
        <v>150</v>
      </c>
      <c r="J9" s="12" t="s">
        <v>183</v>
      </c>
      <c r="K9" s="11"/>
      <c r="L9" s="54">
        <v>0</v>
      </c>
      <c r="M9" s="11" t="str">
        <f>"0,0000"</f>
        <v>0,0000</v>
      </c>
      <c r="N9" s="5" t="s">
        <v>228</v>
      </c>
    </row>
    <row r="10" spans="1:14">
      <c r="B10" s="8" t="s">
        <v>50</v>
      </c>
    </row>
    <row r="11" spans="1:14" ht="16">
      <c r="A11" s="32" t="s">
        <v>184</v>
      </c>
      <c r="B11" s="32"/>
      <c r="C11" s="32"/>
      <c r="D11" s="32"/>
      <c r="E11" s="32"/>
      <c r="F11" s="32"/>
      <c r="G11" s="32"/>
      <c r="H11" s="32"/>
      <c r="I11" s="32"/>
      <c r="J11" s="32"/>
      <c r="K11" s="32"/>
    </row>
    <row r="12" spans="1:14">
      <c r="A12" s="33" t="s">
        <v>49</v>
      </c>
      <c r="B12" s="13" t="s">
        <v>185</v>
      </c>
      <c r="C12" s="5" t="s">
        <v>186</v>
      </c>
      <c r="D12" s="5" t="s">
        <v>187</v>
      </c>
      <c r="E12" s="5" t="str">
        <f>"0,5268"</f>
        <v>0,5268</v>
      </c>
      <c r="F12" s="5" t="s">
        <v>121</v>
      </c>
      <c r="G12" s="5" t="s">
        <v>165</v>
      </c>
      <c r="H12" s="10" t="s">
        <v>188</v>
      </c>
      <c r="I12" s="12" t="s">
        <v>189</v>
      </c>
      <c r="J12" s="11"/>
      <c r="K12" s="11"/>
      <c r="L12" s="54" t="str">
        <f>"230,0"</f>
        <v>230,0</v>
      </c>
      <c r="M12" s="11" t="str">
        <f>"122,3698"</f>
        <v>122,3698</v>
      </c>
      <c r="N12" s="5" t="s">
        <v>228</v>
      </c>
    </row>
    <row r="13" spans="1:14">
      <c r="B13" s="8" t="s">
        <v>50</v>
      </c>
    </row>
  </sheetData>
  <mergeCells count="15">
    <mergeCell ref="A1:N2"/>
    <mergeCell ref="A3:A4"/>
    <mergeCell ref="C3:C4"/>
    <mergeCell ref="D3:D4"/>
    <mergeCell ref="E3:E4"/>
    <mergeCell ref="F3:F4"/>
    <mergeCell ref="G3:G4"/>
    <mergeCell ref="H3:K3"/>
    <mergeCell ref="A8:K8"/>
    <mergeCell ref="A11:K11"/>
    <mergeCell ref="B3:B4"/>
    <mergeCell ref="L3:L4"/>
    <mergeCell ref="M3:M4"/>
    <mergeCell ref="N3:N4"/>
    <mergeCell ref="A5:K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workbookViewId="0">
      <selection sqref="A1:V2"/>
    </sheetView>
  </sheetViews>
  <sheetFormatPr baseColWidth="10" defaultColWidth="9.1640625" defaultRowHeight="13"/>
  <cols>
    <col min="1" max="1" width="7.5" style="9" bestFit="1" customWidth="1"/>
    <col min="2" max="2" width="18" style="8" bestFit="1" customWidth="1"/>
    <col min="3" max="3" width="27.5" style="3" bestFit="1" customWidth="1"/>
    <col min="4" max="4" width="21.5" style="3" bestFit="1" customWidth="1"/>
    <col min="5" max="5" width="10.5" style="3" bestFit="1" customWidth="1"/>
    <col min="6" max="6" width="22.6640625" style="3" bestFit="1" customWidth="1"/>
    <col min="7" max="7" width="27.5" style="3" bestFit="1" customWidth="1"/>
    <col min="8" max="10" width="5.5" style="2" customWidth="1"/>
    <col min="11" max="11" width="4.83203125" style="2" customWidth="1"/>
    <col min="12" max="12" width="10.5" style="2" bestFit="1" customWidth="1"/>
    <col min="13" max="13" width="8.5" style="2" bestFit="1" customWidth="1"/>
    <col min="14" max="14" width="15.5" style="3" bestFit="1" customWidth="1"/>
    <col min="15" max="16384" width="9.1640625" style="3"/>
  </cols>
  <sheetData>
    <row r="1" spans="1:14" s="2" customFormat="1" ht="29" customHeight="1">
      <c r="A1" s="38" t="s">
        <v>287</v>
      </c>
      <c r="B1" s="39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1"/>
    </row>
    <row r="2" spans="1:14" s="2" customFormat="1" ht="62" customHeight="1">
      <c r="A2" s="42"/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43"/>
    </row>
    <row r="3" spans="1:14" s="1" customFormat="1" ht="12.75" customHeight="1">
      <c r="A3" s="44" t="s">
        <v>51</v>
      </c>
      <c r="B3" s="36" t="s">
        <v>0</v>
      </c>
      <c r="C3" s="37" t="s">
        <v>6</v>
      </c>
      <c r="D3" s="37" t="s">
        <v>10</v>
      </c>
      <c r="E3" s="36" t="s">
        <v>52</v>
      </c>
      <c r="F3" s="36" t="s">
        <v>4</v>
      </c>
      <c r="G3" s="36" t="s">
        <v>7</v>
      </c>
      <c r="H3" s="36" t="s">
        <v>13</v>
      </c>
      <c r="I3" s="36"/>
      <c r="J3" s="36"/>
      <c r="K3" s="36"/>
      <c r="L3" s="36" t="s">
        <v>62</v>
      </c>
      <c r="M3" s="36" t="s">
        <v>3</v>
      </c>
      <c r="N3" s="45" t="s">
        <v>2</v>
      </c>
    </row>
    <row r="4" spans="1:14" s="1" customFormat="1" ht="21" customHeight="1" thickBot="1">
      <c r="A4" s="30"/>
      <c r="B4" s="46"/>
      <c r="C4" s="31"/>
      <c r="D4" s="31"/>
      <c r="E4" s="31"/>
      <c r="F4" s="31"/>
      <c r="G4" s="31"/>
      <c r="H4" s="4">
        <v>1</v>
      </c>
      <c r="I4" s="4">
        <v>2</v>
      </c>
      <c r="J4" s="4">
        <v>3</v>
      </c>
      <c r="K4" s="4" t="s">
        <v>5</v>
      </c>
      <c r="L4" s="31"/>
      <c r="M4" s="31"/>
      <c r="N4" s="29"/>
    </row>
    <row r="5" spans="1:14" ht="16">
      <c r="A5" s="32" t="s">
        <v>53</v>
      </c>
      <c r="B5" s="32"/>
      <c r="C5" s="34"/>
      <c r="D5" s="34"/>
      <c r="E5" s="34"/>
      <c r="F5" s="34"/>
      <c r="G5" s="34"/>
      <c r="H5" s="34"/>
      <c r="I5" s="34"/>
      <c r="J5" s="34"/>
      <c r="K5" s="34"/>
    </row>
    <row r="6" spans="1:14">
      <c r="A6" s="59" t="s">
        <v>49</v>
      </c>
      <c r="B6" s="20" t="s">
        <v>54</v>
      </c>
      <c r="C6" s="14" t="s">
        <v>55</v>
      </c>
      <c r="D6" s="14" t="s">
        <v>56</v>
      </c>
      <c r="E6" s="14" t="str">
        <f>"0,5864"</f>
        <v>0,5864</v>
      </c>
      <c r="F6" s="14" t="s">
        <v>121</v>
      </c>
      <c r="G6" s="14" t="s">
        <v>57</v>
      </c>
      <c r="H6" s="17" t="s">
        <v>58</v>
      </c>
      <c r="I6" s="17" t="s">
        <v>59</v>
      </c>
      <c r="J6" s="17" t="s">
        <v>60</v>
      </c>
      <c r="K6" s="16"/>
      <c r="L6" s="16" t="str">
        <f>"235,0"</f>
        <v>235,0</v>
      </c>
      <c r="M6" s="16" t="str">
        <f>"137,7923"</f>
        <v>137,7923</v>
      </c>
      <c r="N6" s="14" t="s">
        <v>228</v>
      </c>
    </row>
    <row r="7" spans="1:14">
      <c r="A7" s="60" t="s">
        <v>49</v>
      </c>
      <c r="B7" s="21" t="s">
        <v>54</v>
      </c>
      <c r="C7" s="15" t="s">
        <v>61</v>
      </c>
      <c r="D7" s="15" t="s">
        <v>56</v>
      </c>
      <c r="E7" s="15" t="str">
        <f>"0,5864"</f>
        <v>0,5864</v>
      </c>
      <c r="F7" s="15" t="s">
        <v>121</v>
      </c>
      <c r="G7" s="15" t="s">
        <v>57</v>
      </c>
      <c r="H7" s="19" t="s">
        <v>58</v>
      </c>
      <c r="I7" s="19" t="s">
        <v>59</v>
      </c>
      <c r="J7" s="19" t="s">
        <v>60</v>
      </c>
      <c r="K7" s="18"/>
      <c r="L7" s="18" t="str">
        <f>"235,0"</f>
        <v>235,0</v>
      </c>
      <c r="M7" s="18" t="str">
        <f>"139,1702"</f>
        <v>139,1702</v>
      </c>
      <c r="N7" s="15" t="s">
        <v>228</v>
      </c>
    </row>
    <row r="8" spans="1:14">
      <c r="B8" s="8" t="s">
        <v>50</v>
      </c>
    </row>
  </sheetData>
  <mergeCells count="13">
    <mergeCell ref="F3:F4"/>
    <mergeCell ref="G3:G4"/>
    <mergeCell ref="H3:K3"/>
    <mergeCell ref="L3:L4"/>
    <mergeCell ref="M3:M4"/>
    <mergeCell ref="N3:N4"/>
    <mergeCell ref="A5:K5"/>
    <mergeCell ref="B3:B4"/>
    <mergeCell ref="A1:N2"/>
    <mergeCell ref="A3:A4"/>
    <mergeCell ref="C3:C4"/>
    <mergeCell ref="D3:D4"/>
    <mergeCell ref="E3:E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"/>
  <sheetViews>
    <sheetView workbookViewId="0">
      <selection sqref="A1:V2"/>
    </sheetView>
  </sheetViews>
  <sheetFormatPr baseColWidth="10" defaultColWidth="9.1640625" defaultRowHeight="13"/>
  <cols>
    <col min="1" max="1" width="7.5" style="9" bestFit="1" customWidth="1"/>
    <col min="2" max="2" width="17.5" style="8" bestFit="1" customWidth="1"/>
    <col min="3" max="3" width="26.33203125" style="3" bestFit="1" customWidth="1"/>
    <col min="4" max="4" width="21.5" style="3" bestFit="1" customWidth="1"/>
    <col min="5" max="5" width="10.5" style="3" bestFit="1" customWidth="1"/>
    <col min="6" max="6" width="22.6640625" style="3" bestFit="1" customWidth="1"/>
    <col min="7" max="7" width="30.1640625" style="3" bestFit="1" customWidth="1"/>
    <col min="8" max="10" width="5.5" style="2" customWidth="1"/>
    <col min="11" max="11" width="4.83203125" style="2" customWidth="1"/>
    <col min="12" max="12" width="10.5" style="2" bestFit="1" customWidth="1"/>
    <col min="13" max="13" width="8.5" style="2" bestFit="1" customWidth="1"/>
    <col min="14" max="14" width="15.5" style="3" bestFit="1" customWidth="1"/>
    <col min="15" max="16384" width="9.1640625" style="3"/>
  </cols>
  <sheetData>
    <row r="1" spans="1:14" s="2" customFormat="1" ht="29" customHeight="1">
      <c r="A1" s="38" t="s">
        <v>281</v>
      </c>
      <c r="B1" s="39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1"/>
    </row>
    <row r="2" spans="1:14" s="2" customFormat="1" ht="62" customHeight="1" thickBot="1">
      <c r="A2" s="51"/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3"/>
    </row>
    <row r="3" spans="1:14" s="1" customFormat="1" ht="12.75" customHeight="1">
      <c r="A3" s="47" t="s">
        <v>51</v>
      </c>
      <c r="B3" s="48" t="s">
        <v>0</v>
      </c>
      <c r="C3" s="49" t="s">
        <v>6</v>
      </c>
      <c r="D3" s="49" t="s">
        <v>10</v>
      </c>
      <c r="E3" s="48" t="s">
        <v>52</v>
      </c>
      <c r="F3" s="48" t="s">
        <v>4</v>
      </c>
      <c r="G3" s="48" t="s">
        <v>7</v>
      </c>
      <c r="H3" s="48" t="s">
        <v>13</v>
      </c>
      <c r="I3" s="48"/>
      <c r="J3" s="48"/>
      <c r="K3" s="48"/>
      <c r="L3" s="48" t="s">
        <v>62</v>
      </c>
      <c r="M3" s="48" t="s">
        <v>3</v>
      </c>
      <c r="N3" s="50" t="s">
        <v>2</v>
      </c>
    </row>
    <row r="4" spans="1:14" s="1" customFormat="1" ht="21" customHeight="1" thickBot="1">
      <c r="A4" s="30"/>
      <c r="B4" s="46"/>
      <c r="C4" s="31"/>
      <c r="D4" s="31"/>
      <c r="E4" s="31"/>
      <c r="F4" s="31"/>
      <c r="G4" s="31"/>
      <c r="H4" s="4">
        <v>1</v>
      </c>
      <c r="I4" s="4">
        <v>2</v>
      </c>
      <c r="J4" s="4">
        <v>3</v>
      </c>
      <c r="K4" s="4" t="s">
        <v>5</v>
      </c>
      <c r="L4" s="31"/>
      <c r="M4" s="31"/>
      <c r="N4" s="29"/>
    </row>
    <row r="5" spans="1:14" ht="16">
      <c r="A5" s="32" t="s">
        <v>53</v>
      </c>
      <c r="B5" s="32"/>
      <c r="C5" s="34"/>
      <c r="D5" s="34"/>
      <c r="E5" s="34"/>
      <c r="F5" s="34"/>
      <c r="G5" s="34"/>
      <c r="H5" s="34"/>
      <c r="I5" s="34"/>
      <c r="J5" s="34"/>
      <c r="K5" s="34"/>
    </row>
    <row r="6" spans="1:14">
      <c r="A6" s="33" t="s">
        <v>49</v>
      </c>
      <c r="B6" s="13" t="s">
        <v>199</v>
      </c>
      <c r="C6" s="5" t="s">
        <v>204</v>
      </c>
      <c r="D6" s="5" t="s">
        <v>205</v>
      </c>
      <c r="E6" s="5" t="str">
        <f>"0,5885"</f>
        <v>0,5885</v>
      </c>
      <c r="F6" s="5" t="s">
        <v>121</v>
      </c>
      <c r="G6" s="5" t="s">
        <v>20</v>
      </c>
      <c r="H6" s="12" t="s">
        <v>79</v>
      </c>
      <c r="I6" s="10" t="s">
        <v>206</v>
      </c>
      <c r="J6" s="12" t="s">
        <v>207</v>
      </c>
      <c r="K6" s="11"/>
      <c r="L6" s="11" t="str">
        <f>"250,0"</f>
        <v>250,0</v>
      </c>
      <c r="M6" s="11" t="str">
        <f>"147,1375"</f>
        <v>147,1375</v>
      </c>
      <c r="N6" s="5" t="s">
        <v>228</v>
      </c>
    </row>
    <row r="7" spans="1:14">
      <c r="B7" s="8" t="s">
        <v>50</v>
      </c>
    </row>
  </sheetData>
  <mergeCells count="13">
    <mergeCell ref="F3:F4"/>
    <mergeCell ref="G3:G4"/>
    <mergeCell ref="H3:K3"/>
    <mergeCell ref="L3:L4"/>
    <mergeCell ref="M3:M4"/>
    <mergeCell ref="N3:N4"/>
    <mergeCell ref="A5:K5"/>
    <mergeCell ref="B3:B4"/>
    <mergeCell ref="A1:N2"/>
    <mergeCell ref="A3:A4"/>
    <mergeCell ref="C3:C4"/>
    <mergeCell ref="D3:D4"/>
    <mergeCell ref="E3:E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"/>
  <sheetViews>
    <sheetView workbookViewId="0">
      <selection sqref="A1:V2"/>
    </sheetView>
  </sheetViews>
  <sheetFormatPr baseColWidth="10" defaultColWidth="9.1640625" defaultRowHeight="13"/>
  <cols>
    <col min="1" max="1" width="7.5" style="9" bestFit="1" customWidth="1"/>
    <col min="2" max="2" width="17.5" style="8" bestFit="1" customWidth="1"/>
    <col min="3" max="3" width="26.33203125" style="3" bestFit="1" customWidth="1"/>
    <col min="4" max="4" width="21.5" style="3" bestFit="1" customWidth="1"/>
    <col min="5" max="5" width="10.5" style="3" bestFit="1" customWidth="1"/>
    <col min="6" max="6" width="22.6640625" style="3" bestFit="1" customWidth="1"/>
    <col min="7" max="7" width="30.5" style="3" bestFit="1" customWidth="1"/>
    <col min="8" max="10" width="5.5" style="2" customWidth="1"/>
    <col min="11" max="11" width="4.83203125" style="2" customWidth="1"/>
    <col min="12" max="12" width="10.5" style="2" bestFit="1" customWidth="1"/>
    <col min="13" max="13" width="8.5" style="2" bestFit="1" customWidth="1"/>
    <col min="14" max="14" width="15.5" style="3" bestFit="1" customWidth="1"/>
    <col min="15" max="16384" width="9.1640625" style="3"/>
  </cols>
  <sheetData>
    <row r="1" spans="1:14" s="2" customFormat="1" ht="29" customHeight="1">
      <c r="A1" s="38" t="s">
        <v>282</v>
      </c>
      <c r="B1" s="39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1"/>
    </row>
    <row r="2" spans="1:14" s="2" customFormat="1" ht="62" customHeight="1" thickBot="1">
      <c r="A2" s="51"/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3"/>
    </row>
    <row r="3" spans="1:14" s="1" customFormat="1" ht="12.75" customHeight="1">
      <c r="A3" s="47" t="s">
        <v>51</v>
      </c>
      <c r="B3" s="48" t="s">
        <v>0</v>
      </c>
      <c r="C3" s="49" t="s">
        <v>6</v>
      </c>
      <c r="D3" s="49" t="s">
        <v>10</v>
      </c>
      <c r="E3" s="48" t="s">
        <v>52</v>
      </c>
      <c r="F3" s="48" t="s">
        <v>4</v>
      </c>
      <c r="G3" s="48" t="s">
        <v>7</v>
      </c>
      <c r="H3" s="48" t="s">
        <v>13</v>
      </c>
      <c r="I3" s="48"/>
      <c r="J3" s="48"/>
      <c r="K3" s="48"/>
      <c r="L3" s="48" t="s">
        <v>62</v>
      </c>
      <c r="M3" s="48" t="s">
        <v>3</v>
      </c>
      <c r="N3" s="50" t="s">
        <v>2</v>
      </c>
    </row>
    <row r="4" spans="1:14" s="1" customFormat="1" ht="21" customHeight="1" thickBot="1">
      <c r="A4" s="30"/>
      <c r="B4" s="46"/>
      <c r="C4" s="31"/>
      <c r="D4" s="31"/>
      <c r="E4" s="31"/>
      <c r="F4" s="31"/>
      <c r="G4" s="31"/>
      <c r="H4" s="4">
        <v>1</v>
      </c>
      <c r="I4" s="4">
        <v>2</v>
      </c>
      <c r="J4" s="4">
        <v>3</v>
      </c>
      <c r="K4" s="4" t="s">
        <v>5</v>
      </c>
      <c r="L4" s="31"/>
      <c r="M4" s="31"/>
      <c r="N4" s="29"/>
    </row>
    <row r="5" spans="1:14" ht="16">
      <c r="A5" s="32" t="s">
        <v>158</v>
      </c>
      <c r="B5" s="32"/>
      <c r="C5" s="34"/>
      <c r="D5" s="34"/>
      <c r="E5" s="34"/>
      <c r="F5" s="34"/>
      <c r="G5" s="34"/>
      <c r="H5" s="34"/>
      <c r="I5" s="34"/>
      <c r="J5" s="34"/>
      <c r="K5" s="34"/>
    </row>
    <row r="6" spans="1:14">
      <c r="A6" s="33" t="s">
        <v>49</v>
      </c>
      <c r="B6" s="13" t="s">
        <v>199</v>
      </c>
      <c r="C6" s="5" t="s">
        <v>200</v>
      </c>
      <c r="D6" s="5" t="s">
        <v>201</v>
      </c>
      <c r="E6" s="5" t="str">
        <f>"0,5454"</f>
        <v>0,5454</v>
      </c>
      <c r="F6" s="5" t="s">
        <v>121</v>
      </c>
      <c r="G6" s="5" t="s">
        <v>301</v>
      </c>
      <c r="H6" s="10" t="s">
        <v>202</v>
      </c>
      <c r="I6" s="12" t="s">
        <v>203</v>
      </c>
      <c r="J6" s="12" t="s">
        <v>203</v>
      </c>
      <c r="K6" s="11"/>
      <c r="L6" s="11" t="str">
        <f>"300,0"</f>
        <v>300,0</v>
      </c>
      <c r="M6" s="11" t="str">
        <f>"163,6200"</f>
        <v>163,6200</v>
      </c>
      <c r="N6" s="5" t="s">
        <v>228</v>
      </c>
    </row>
    <row r="7" spans="1:14">
      <c r="B7" s="8" t="s">
        <v>50</v>
      </c>
    </row>
  </sheetData>
  <mergeCells count="13">
    <mergeCell ref="F3:F4"/>
    <mergeCell ref="G3:G4"/>
    <mergeCell ref="H3:K3"/>
    <mergeCell ref="L3:L4"/>
    <mergeCell ref="M3:M4"/>
    <mergeCell ref="N3:N4"/>
    <mergeCell ref="A5:K5"/>
    <mergeCell ref="B3:B4"/>
    <mergeCell ref="A1:N2"/>
    <mergeCell ref="A3:A4"/>
    <mergeCell ref="C3:C4"/>
    <mergeCell ref="D3:D4"/>
    <mergeCell ref="E3:E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18</vt:i4>
      </vt:variant>
    </vt:vector>
  </HeadingPairs>
  <TitlesOfParts>
    <vt:vector size="18" baseType="lpstr">
      <vt:lpstr>WRPF ПЛ без экипировки</vt:lpstr>
      <vt:lpstr>WRPF Двоеборье без экип ДК</vt:lpstr>
      <vt:lpstr>WRPF Жим лежа без экип ДК</vt:lpstr>
      <vt:lpstr>WRPF Жим лежа без экип</vt:lpstr>
      <vt:lpstr>WEPF Жим однослой ДК</vt:lpstr>
      <vt:lpstr>WEPF Жим софт однопетельная ДК</vt:lpstr>
      <vt:lpstr>WEPF Жим софт однопетельная</vt:lpstr>
      <vt:lpstr>WEPF Жим софт многопетельнаяДК</vt:lpstr>
      <vt:lpstr>WEPF Жим софт многопетельная</vt:lpstr>
      <vt:lpstr>WRPF Народный 1 вес ДК</vt:lpstr>
      <vt:lpstr>WRPF Тяга без экипировки ДК</vt:lpstr>
      <vt:lpstr>WRPF Тяга без экипировки</vt:lpstr>
      <vt:lpstr>СПР Пауэрспорт ДК</vt:lpstr>
      <vt:lpstr>СПР Пауэрспорт</vt:lpstr>
      <vt:lpstr>СПР Подъем на бицепс ДК</vt:lpstr>
      <vt:lpstr>СПР Подъем на бицепс</vt:lpstr>
      <vt:lpstr>Командное первенство</vt:lpstr>
      <vt:lpstr>Судейская коллегия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Tomchin</dc:creator>
  <cp:lastModifiedBy>Екатерина Шевелева</cp:lastModifiedBy>
  <cp:lastPrinted>2015-07-16T19:10:53Z</cp:lastPrinted>
  <dcterms:created xsi:type="dcterms:W3CDTF">2002-06-16T13:36:44Z</dcterms:created>
  <dcterms:modified xsi:type="dcterms:W3CDTF">2020-08-01T19:09:00Z</dcterms:modified>
</cp:coreProperties>
</file>