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Июнь/"/>
    </mc:Choice>
  </mc:AlternateContent>
  <xr:revisionPtr revIDLastSave="0" documentId="8_{79E27F3C-A463-BB4A-9CF5-CCDE846B4348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WRPF Жим лежа без экип" sheetId="6" r:id="rId1"/>
    <sheet name="WEPF Жим софт однопетельная" sheetId="5" r:id="rId2"/>
    <sheet name="WRPF Тяга без экипировки" sheetId="8" r:id="rId3"/>
    <sheet name="WRPF Подъем на бицепс" sheetId="9" r:id="rId4"/>
    <sheet name="Судейская коллегия" sheetId="10" r:id="rId5"/>
  </sheets>
  <definedNames>
    <definedName name="_FilterDatabase" localSheetId="1" hidden="1">'WEPF Жим софт однопетельная'!$A$1:$L$3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9" l="1"/>
  <c r="L28" i="9"/>
  <c r="E28" i="9"/>
  <c r="M25" i="9"/>
  <c r="L25" i="9"/>
  <c r="E25" i="9"/>
  <c r="M24" i="9"/>
  <c r="L24" i="9"/>
  <c r="E24" i="9"/>
  <c r="M23" i="9"/>
  <c r="L23" i="9"/>
  <c r="E23" i="9"/>
  <c r="M20" i="9"/>
  <c r="L20" i="9"/>
  <c r="E20" i="9"/>
  <c r="M19" i="9"/>
  <c r="L19" i="9"/>
  <c r="E19" i="9"/>
  <c r="M16" i="9"/>
  <c r="L16" i="9"/>
  <c r="E16" i="9"/>
  <c r="M15" i="9"/>
  <c r="L15" i="9"/>
  <c r="E15" i="9"/>
  <c r="M12" i="9"/>
  <c r="L12" i="9"/>
  <c r="E12" i="9"/>
  <c r="M9" i="9"/>
  <c r="L9" i="9"/>
  <c r="E9" i="9"/>
  <c r="M6" i="9"/>
  <c r="L6" i="9"/>
  <c r="E6" i="9"/>
  <c r="M28" i="8"/>
  <c r="L28" i="8"/>
  <c r="E28" i="8"/>
  <c r="M27" i="8"/>
  <c r="L27" i="8"/>
  <c r="E27" i="8"/>
  <c r="M24" i="8"/>
  <c r="L24" i="8"/>
  <c r="E24" i="8"/>
  <c r="M23" i="8"/>
  <c r="L23" i="8"/>
  <c r="E23" i="8"/>
  <c r="M22" i="8"/>
  <c r="L22" i="8"/>
  <c r="E22" i="8"/>
  <c r="M19" i="8"/>
  <c r="L19" i="8"/>
  <c r="E19" i="8"/>
  <c r="M16" i="8"/>
  <c r="L16" i="8"/>
  <c r="E16" i="8"/>
  <c r="M15" i="8"/>
  <c r="L15" i="8"/>
  <c r="E15" i="8"/>
  <c r="M12" i="8"/>
  <c r="L12" i="8"/>
  <c r="E12" i="8"/>
  <c r="M9" i="8"/>
  <c r="L9" i="8"/>
  <c r="E9" i="8"/>
  <c r="M6" i="8"/>
  <c r="L6" i="8"/>
  <c r="E6" i="8"/>
  <c r="M43" i="6"/>
  <c r="L43" i="6"/>
  <c r="E43" i="6"/>
  <c r="M40" i="6"/>
  <c r="L40" i="6"/>
  <c r="E40" i="6"/>
  <c r="M39" i="6"/>
  <c r="L39" i="6"/>
  <c r="E39" i="6"/>
  <c r="M38" i="6"/>
  <c r="L38" i="6"/>
  <c r="E38" i="6"/>
  <c r="M37" i="6"/>
  <c r="L37" i="6"/>
  <c r="E37" i="6"/>
  <c r="M34" i="6"/>
  <c r="L34" i="6"/>
  <c r="E34" i="6"/>
  <c r="M33" i="6"/>
  <c r="L33" i="6"/>
  <c r="E33" i="6"/>
  <c r="M30" i="6"/>
  <c r="L30" i="6"/>
  <c r="E30" i="6"/>
  <c r="M29" i="6"/>
  <c r="L29" i="6"/>
  <c r="E29" i="6"/>
  <c r="M28" i="6"/>
  <c r="L28" i="6"/>
  <c r="E28" i="6"/>
  <c r="M27" i="6"/>
  <c r="L27" i="6"/>
  <c r="E27" i="6"/>
  <c r="M24" i="6"/>
  <c r="L24" i="6"/>
  <c r="E24" i="6"/>
  <c r="M21" i="6"/>
  <c r="L21" i="6"/>
  <c r="E21" i="6"/>
  <c r="M20" i="6"/>
  <c r="L20" i="6"/>
  <c r="E20" i="6"/>
  <c r="M17" i="6"/>
  <c r="L17" i="6"/>
  <c r="E17" i="6"/>
  <c r="M14" i="6"/>
  <c r="L14" i="6"/>
  <c r="E14" i="6"/>
  <c r="M11" i="6"/>
  <c r="L11" i="6"/>
  <c r="E11" i="6"/>
  <c r="M10" i="6"/>
  <c r="L10" i="6"/>
  <c r="E10" i="6"/>
  <c r="M7" i="6"/>
  <c r="L7" i="6"/>
  <c r="E7" i="6"/>
  <c r="M6" i="6"/>
  <c r="L6" i="6"/>
  <c r="E6" i="6"/>
  <c r="M23" i="5"/>
  <c r="L23" i="5"/>
  <c r="E23" i="5"/>
  <c r="M20" i="5"/>
  <c r="L20" i="5"/>
  <c r="E20" i="5"/>
  <c r="M19" i="5"/>
  <c r="L19" i="5"/>
  <c r="E19" i="5"/>
  <c r="M18" i="5"/>
  <c r="L18" i="5"/>
  <c r="E18" i="5"/>
  <c r="M15" i="5"/>
  <c r="L15" i="5"/>
  <c r="E15" i="5"/>
  <c r="M14" i="5"/>
  <c r="L14" i="5"/>
  <c r="E14" i="5"/>
  <c r="M13" i="5"/>
  <c r="L13" i="5"/>
  <c r="E13" i="5"/>
  <c r="M10" i="5"/>
  <c r="L10" i="5"/>
  <c r="E10" i="5"/>
  <c r="M9" i="5"/>
  <c r="L9" i="5"/>
  <c r="E9" i="5"/>
  <c r="M6" i="5"/>
  <c r="L6" i="5"/>
  <c r="E6" i="5"/>
</calcChain>
</file>

<file path=xl/sharedStrings.xml><?xml version="1.0" encoding="utf-8"?>
<sst xmlns="http://schemas.openxmlformats.org/spreadsheetml/2006/main" count="764" uniqueCount="273">
  <si>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</si>
  <si>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</si>
  <si>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</si>
  <si>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</si>
  <si>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</si>
  <si>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</si>
  <si>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</si>
  <si>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</si>
  <si>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Gloss</t>
  </si>
  <si>
    <t>Жим лёжа</t>
  </si>
  <si>
    <t>ВЕСОВАЯ КАТЕГОРИЯ   82.5</t>
  </si>
  <si>
    <t>Сергеев Алексей</t>
  </si>
  <si>
    <t>Открытая (19.04.1981)/39</t>
  </si>
  <si>
    <t>78,80</t>
  </si>
  <si>
    <t xml:space="preserve">Лично </t>
  </si>
  <si>
    <t xml:space="preserve">Кострома/Костромская область </t>
  </si>
  <si>
    <t>160,0</t>
  </si>
  <si>
    <t>170,0</t>
  </si>
  <si>
    <t>180,0</t>
  </si>
  <si>
    <t>ВЕСОВАЯ КАТЕГОРИЯ   100</t>
  </si>
  <si>
    <t>Шляпников Владимир</t>
  </si>
  <si>
    <t>Открытая (24.07.1981)/38</t>
  </si>
  <si>
    <t>97,40</t>
  </si>
  <si>
    <t xml:space="preserve">Родники/Ивановская область </t>
  </si>
  <si>
    <t>215,0</t>
  </si>
  <si>
    <t>230,0</t>
  </si>
  <si>
    <t>240,0</t>
  </si>
  <si>
    <t xml:space="preserve">Самостоятельно </t>
  </si>
  <si>
    <t>Колыданов Михаил</t>
  </si>
  <si>
    <t>Открытая (30.04.1979)/41</t>
  </si>
  <si>
    <t>99,50</t>
  </si>
  <si>
    <t xml:space="preserve">Иваново/Ивановская область </t>
  </si>
  <si>
    <t>220,0</t>
  </si>
  <si>
    <t>ВЕСОВАЯ КАТЕГОРИЯ   110</t>
  </si>
  <si>
    <t>Аверкин Сергей</t>
  </si>
  <si>
    <t>Открытая (04.08.1976)/43</t>
  </si>
  <si>
    <t>109,90</t>
  </si>
  <si>
    <t xml:space="preserve">Тейково/Ивановская область </t>
  </si>
  <si>
    <t>250,0</t>
  </si>
  <si>
    <t xml:space="preserve">Кургов В. </t>
  </si>
  <si>
    <t>Манаенков Андрей</t>
  </si>
  <si>
    <t>Открытая (27.08.1974)/45</t>
  </si>
  <si>
    <t>101,10</t>
  </si>
  <si>
    <t>200,0</t>
  </si>
  <si>
    <t>210,0</t>
  </si>
  <si>
    <t>Капитонов Юрий</t>
  </si>
  <si>
    <t>Открытая (15.11.1957)/62</t>
  </si>
  <si>
    <t>108,00</t>
  </si>
  <si>
    <t>190,0</t>
  </si>
  <si>
    <t>ВЕСОВАЯ КАТЕГОРИЯ   125</t>
  </si>
  <si>
    <t>Фотин Александр</t>
  </si>
  <si>
    <t>Открытая (09.03.1991)/29</t>
  </si>
  <si>
    <t>124,40</t>
  </si>
  <si>
    <t>290,0</t>
  </si>
  <si>
    <t>310,0</t>
  </si>
  <si>
    <t>Воробьёв Александр</t>
  </si>
  <si>
    <t>Открытая (11.02.1972)/48</t>
  </si>
  <si>
    <t>119,00</t>
  </si>
  <si>
    <t>260,0</t>
  </si>
  <si>
    <t>Ганин Антон</t>
  </si>
  <si>
    <t>Открытая (26.06.1985)/35</t>
  </si>
  <si>
    <t>124,20</t>
  </si>
  <si>
    <t xml:space="preserve">Нижний Новгород/Нижегородская область </t>
  </si>
  <si>
    <t>270,0</t>
  </si>
  <si>
    <t>ВЕСОВАЯ КАТЕГОРИЯ   140</t>
  </si>
  <si>
    <t>Жемаркин Дмитрий</t>
  </si>
  <si>
    <t>Открытая (29.01.1997)/23</t>
  </si>
  <si>
    <t>126,40</t>
  </si>
  <si>
    <t xml:space="preserve">Серпухов/Московская область </t>
  </si>
  <si>
    <t>280,0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</si>
  <si>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</si>
  <si>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</si>
  <si>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</si>
  <si>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</si>
  <si>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</si>
  <si>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</si>
  <si>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Gloss </t>
  </si>
  <si>
    <t>125</t>
  </si>
  <si>
    <t>169,3065</t>
  </si>
  <si>
    <t>140</t>
  </si>
  <si>
    <t>152,3144</t>
  </si>
  <si>
    <t>82.5</t>
  </si>
  <si>
    <t>145,7190</t>
  </si>
  <si>
    <t>Результат</t>
  </si>
  <si>
    <t>1</t>
  </si>
  <si>
    <t/>
  </si>
  <si>
    <t>2</t>
  </si>
  <si>
    <t>3</t>
  </si>
  <si>
    <t>Место</t>
  </si>
  <si>
    <t>Wilks</t>
  </si>
  <si>
    <t>ВЕСОВАЯ КАТЕГОРИЯ   52</t>
  </si>
  <si>
    <t>Ракова Ольга</t>
  </si>
  <si>
    <t>Открытая (28.01.1977)/43</t>
  </si>
  <si>
    <t>51,40</t>
  </si>
  <si>
    <t>57,5</t>
  </si>
  <si>
    <t>60,0</t>
  </si>
  <si>
    <t xml:space="preserve">Капитонов Ю. </t>
  </si>
  <si>
    <t>Доронина Анна</t>
  </si>
  <si>
    <t>Открытая (26.06.1979)/41</t>
  </si>
  <si>
    <t>50,90</t>
  </si>
  <si>
    <t>47,5</t>
  </si>
  <si>
    <t>50,0</t>
  </si>
  <si>
    <t>55,0</t>
  </si>
  <si>
    <t>ВЕСОВАЯ КАТЕГОРИЯ   56</t>
  </si>
  <si>
    <t>Цветкова Светлана</t>
  </si>
  <si>
    <t>Открытая (10.03.1980)/40</t>
  </si>
  <si>
    <t>56,00</t>
  </si>
  <si>
    <t xml:space="preserve">Владимир/Владимирская область </t>
  </si>
  <si>
    <t>65,0</t>
  </si>
  <si>
    <t>70,0</t>
  </si>
  <si>
    <t>72,5</t>
  </si>
  <si>
    <t>Князева Екатерина</t>
  </si>
  <si>
    <t>Открытая (27.08.1984)/35</t>
  </si>
  <si>
    <t>52,50</t>
  </si>
  <si>
    <t>ВЕСОВАЯ КАТЕГОРИЯ   67.5</t>
  </si>
  <si>
    <t>Кутепова Марина</t>
  </si>
  <si>
    <t>Открытая (12.01.1979)/41</t>
  </si>
  <si>
    <t>67,50</t>
  </si>
  <si>
    <t xml:space="preserve">Стасюк И. </t>
  </si>
  <si>
    <t>Иваненко Анна</t>
  </si>
  <si>
    <t>Открытая (03.01.1986)/34</t>
  </si>
  <si>
    <t>79,30</t>
  </si>
  <si>
    <t xml:space="preserve">Мурманск/Мурманская область </t>
  </si>
  <si>
    <t>75,0</t>
  </si>
  <si>
    <t>77,5</t>
  </si>
  <si>
    <t>Гарелин Андрей</t>
  </si>
  <si>
    <t>Открытая (09.05.1983)/37</t>
  </si>
  <si>
    <t>81,80</t>
  </si>
  <si>
    <t>120,0</t>
  </si>
  <si>
    <t>130,0</t>
  </si>
  <si>
    <t>Можайцев Николай</t>
  </si>
  <si>
    <t>Открытая (01.02.1985)/35</t>
  </si>
  <si>
    <t>77,30</t>
  </si>
  <si>
    <t>110,0</t>
  </si>
  <si>
    <t>115,0</t>
  </si>
  <si>
    <t>ВЕСОВАЯ КАТЕГОРИЯ   90</t>
  </si>
  <si>
    <t>Моисеев Никита</t>
  </si>
  <si>
    <t>Открытая (08.12.1985)/34</t>
  </si>
  <si>
    <t>84,50</t>
  </si>
  <si>
    <t>140,0</t>
  </si>
  <si>
    <t>150,0</t>
  </si>
  <si>
    <t>155,0</t>
  </si>
  <si>
    <t>Сурков Сергей</t>
  </si>
  <si>
    <t>Открытая (14.10.1985)/34</t>
  </si>
  <si>
    <t>94,50</t>
  </si>
  <si>
    <t>207,5</t>
  </si>
  <si>
    <t>175,0</t>
  </si>
  <si>
    <t>Савинов Андрей</t>
  </si>
  <si>
    <t>Открытая (26.03.1980)/40</t>
  </si>
  <si>
    <t>100,00</t>
  </si>
  <si>
    <t>162,5</t>
  </si>
  <si>
    <t>167,5</t>
  </si>
  <si>
    <t>Моисеев Сергей</t>
  </si>
  <si>
    <t>Открытая (24.08.1977)/42</t>
  </si>
  <si>
    <t>145,0</t>
  </si>
  <si>
    <t>152,5</t>
  </si>
  <si>
    <t>Солохин Денис</t>
  </si>
  <si>
    <t>Открытая (25.02.1981)/39</t>
  </si>
  <si>
    <t>103,30</t>
  </si>
  <si>
    <t>185,0</t>
  </si>
  <si>
    <t>195,0</t>
  </si>
  <si>
    <t>205,0</t>
  </si>
  <si>
    <t>Вагин Александр</t>
  </si>
  <si>
    <t>Открытая (25.05.1985)/35</t>
  </si>
  <si>
    <t>108,80</t>
  </si>
  <si>
    <t>135,0</t>
  </si>
  <si>
    <t>245,0</t>
  </si>
  <si>
    <t>Авдулов Евгений</t>
  </si>
  <si>
    <t>Открытая (04.11.1983)/36</t>
  </si>
  <si>
    <t>118,20</t>
  </si>
  <si>
    <t xml:space="preserve">Суздаль/Владимирская область </t>
  </si>
  <si>
    <t>Мерклингер Андрей</t>
  </si>
  <si>
    <t>Открытая (23.01.1989)/31</t>
  </si>
  <si>
    <t>115,60</t>
  </si>
  <si>
    <t>Жерелов Алексей</t>
  </si>
  <si>
    <t>Открытая (16.09.1990)/29</t>
  </si>
  <si>
    <t>134,20</t>
  </si>
  <si>
    <t xml:space="preserve">Кинешма/Ивановская область </t>
  </si>
  <si>
    <t>255,0</t>
  </si>
  <si>
    <t xml:space="preserve">Женщины </t>
  </si>
  <si>
    <t xml:space="preserve">Wilks </t>
  </si>
  <si>
    <t>56</t>
  </si>
  <si>
    <t>82,3620</t>
  </si>
  <si>
    <t>52</t>
  </si>
  <si>
    <t>75,4680</t>
  </si>
  <si>
    <t>69,7015</t>
  </si>
  <si>
    <t>143,4375</t>
  </si>
  <si>
    <t>139,7480</t>
  </si>
  <si>
    <t>100</t>
  </si>
  <si>
    <t>124,7000</t>
  </si>
  <si>
    <t>4</t>
  </si>
  <si>
    <t>Становая тяга</t>
  </si>
  <si>
    <t>Кравченко Екатерина</t>
  </si>
  <si>
    <t>Открытая (07.11.1987)/32</t>
  </si>
  <si>
    <t>50,20</t>
  </si>
  <si>
    <t xml:space="preserve">Москва </t>
  </si>
  <si>
    <t>105,0</t>
  </si>
  <si>
    <t>165,0</t>
  </si>
  <si>
    <t>125,0</t>
  </si>
  <si>
    <t>Новиков Степан</t>
  </si>
  <si>
    <t>Открытая (25.11.1982)/37</t>
  </si>
  <si>
    <t>82,20</t>
  </si>
  <si>
    <t xml:space="preserve">Вологда/Вологодская область </t>
  </si>
  <si>
    <t>Кукушкин Дмитрий</t>
  </si>
  <si>
    <t>Открытая (24.06.1987)/33</t>
  </si>
  <si>
    <t>82,30</t>
  </si>
  <si>
    <t>Дмитриев Иван</t>
  </si>
  <si>
    <t>Открытая (11.06.1970)/50</t>
  </si>
  <si>
    <t>90,00</t>
  </si>
  <si>
    <t>300,0</t>
  </si>
  <si>
    <t>Кравченко Евгений</t>
  </si>
  <si>
    <t>Открытая (03.11.1986)/33</t>
  </si>
  <si>
    <t>95,80</t>
  </si>
  <si>
    <t>320,0</t>
  </si>
  <si>
    <t>340,0</t>
  </si>
  <si>
    <t>285,0</t>
  </si>
  <si>
    <t>Капралов Виктор</t>
  </si>
  <si>
    <t>Открытая (30.09.1981)/38</t>
  </si>
  <si>
    <t>109,40</t>
  </si>
  <si>
    <t xml:space="preserve">Фотин А. </t>
  </si>
  <si>
    <t>210,6980</t>
  </si>
  <si>
    <t>90</t>
  </si>
  <si>
    <t>191,5200</t>
  </si>
  <si>
    <t>174,5640</t>
  </si>
  <si>
    <t>Подъем на бицепс</t>
  </si>
  <si>
    <t>35,0</t>
  </si>
  <si>
    <t>40,0</t>
  </si>
  <si>
    <t>42,5</t>
  </si>
  <si>
    <t>Буров Александр</t>
  </si>
  <si>
    <t>Открытая (09.05.1985)/35</t>
  </si>
  <si>
    <t>65,80</t>
  </si>
  <si>
    <t>Смирнов Андрей</t>
  </si>
  <si>
    <t>Открытая (08.02.1983)/37</t>
  </si>
  <si>
    <t>82,50</t>
  </si>
  <si>
    <t>62,5</t>
  </si>
  <si>
    <t>45,0</t>
  </si>
  <si>
    <t>52,5</t>
  </si>
  <si>
    <t>Миронов Михаил</t>
  </si>
  <si>
    <t>Открытая (17.06.1994)/26</t>
  </si>
  <si>
    <t>98,10</t>
  </si>
  <si>
    <t xml:space="preserve">Балашиха/Московская область </t>
  </si>
  <si>
    <t>90,0</t>
  </si>
  <si>
    <t>95,0</t>
  </si>
  <si>
    <t>Доронин Эрик</t>
  </si>
  <si>
    <t>Открытая (09.04.1969)/51</t>
  </si>
  <si>
    <t>97,90</t>
  </si>
  <si>
    <t>100,0</t>
  </si>
  <si>
    <t>107,5</t>
  </si>
  <si>
    <t>80,0</t>
  </si>
  <si>
    <t>82,5</t>
  </si>
  <si>
    <t>59,4260</t>
  </si>
  <si>
    <t>54,3980</t>
  </si>
  <si>
    <t>52,7535</t>
  </si>
  <si>
    <t>Rodniki Iron Challenge
WRPF любители Жим лежа без экипировки
Родники/Ивановская область, 27 июня 2020 года</t>
  </si>
  <si>
    <t>Rodniki Iron Challenge
WEPF Жим лежа в однопетельной софт экипировке
Родники/Ивановская область, 27 июня 2020 года</t>
  </si>
  <si>
    <t>Rodniki Iron Challenge
WRPF любители Становая тяга без экипировки
Родники/Ивановская область, 27 июня 2020 года</t>
  </si>
  <si>
    <t>Rodniki Iron Challenge
WRPF Строгий подъем штанги на бицепс
Родники/Ивановская область, 27 июня 2020 года</t>
  </si>
  <si>
    <t>Палоян В.</t>
  </si>
  <si>
    <t>Рассохин А.</t>
  </si>
  <si>
    <t>Весовая категория</t>
  </si>
  <si>
    <t>Великий Устюг/Вологодская область</t>
  </si>
  <si>
    <t>Москва</t>
  </si>
  <si>
    <t>Дмитриев И.</t>
  </si>
  <si>
    <t>Потехин К.</t>
  </si>
  <si>
    <t>Судейская коллегия Rodniki Iron Challenge</t>
  </si>
  <si>
    <t>Главный судья соревнований:</t>
  </si>
  <si>
    <t>Главный секретарь соревнований:</t>
  </si>
  <si>
    <t>Судьи:</t>
  </si>
  <si>
    <t>Новиков Степан/ МК, Вологда</t>
  </si>
  <si>
    <t>Нечаева Екатерина/ НК, Вологда</t>
  </si>
  <si>
    <t>Сурков Сергей/ РК, Иваново</t>
  </si>
  <si>
    <t>Кочнев Денис/ РК, Иваново</t>
  </si>
  <si>
    <t>Плонин Владимир/ РК,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</si>
</sst>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abSelected="1" workbookViewId="0">
      <selection sqref="A1:N2"/>
    </sheetView>
  </sheetViews>
  <sheetFormatPr baseColWidth="10" defaultColWidth="9.1640625" defaultRowHeight="13"/>
  <cols>
    <col min="1" max="1" width="7.5" style="12" bestFit="1" customWidth="1"/>
    <col min="2" max="2" width="20" style="11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9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20" style="3" bestFit="1" customWidth="1"/>
    <col min="15" max="16384" width="9.1640625" style="3"/>
  </cols>
  <sheetData>
    <row r="1" spans="1:14" s="2" customFormat="1" ht="29" customHeight="1">
      <c r="A1" s="41" t="s">
        <v>253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46" t="s">
        <v>88</v>
      </c>
      <c r="B3" s="47" t="s">
        <v>0</v>
      </c>
      <c r="C3" s="48" t="s">
        <v>5</v>
      </c>
      <c r="D3" s="48" t="s">
        <v>7</v>
      </c>
      <c r="E3" s="47" t="s">
        <v>89</v>
      </c>
      <c r="F3" s="47" t="s">
        <v>3</v>
      </c>
      <c r="G3" s="47" t="s">
        <v>6</v>
      </c>
      <c r="H3" s="47" t="s">
        <v>9</v>
      </c>
      <c r="I3" s="47"/>
      <c r="J3" s="47"/>
      <c r="K3" s="47"/>
      <c r="L3" s="47" t="s">
        <v>83</v>
      </c>
      <c r="M3" s="47" t="s">
        <v>2</v>
      </c>
      <c r="N3" s="49" t="s">
        <v>1</v>
      </c>
    </row>
    <row r="4" spans="1:14" s="1" customFormat="1" ht="21" customHeight="1" thickBot="1">
      <c r="A4" s="32"/>
      <c r="B4" s="45"/>
      <c r="C4" s="30"/>
      <c r="D4" s="30"/>
      <c r="E4" s="30"/>
      <c r="F4" s="30"/>
      <c r="G4" s="30"/>
      <c r="H4" s="4">
        <v>1</v>
      </c>
      <c r="I4" s="4">
        <v>2</v>
      </c>
      <c r="J4" s="4">
        <v>3</v>
      </c>
      <c r="K4" s="4" t="s">
        <v>4</v>
      </c>
      <c r="L4" s="30"/>
      <c r="M4" s="30"/>
      <c r="N4" s="31"/>
    </row>
    <row r="5" spans="1:14" ht="16">
      <c r="A5" s="29" t="s">
        <v>90</v>
      </c>
      <c r="B5" s="29"/>
      <c r="C5" s="40"/>
      <c r="D5" s="40"/>
      <c r="E5" s="40"/>
      <c r="F5" s="40"/>
      <c r="G5" s="40"/>
      <c r="H5" s="40"/>
      <c r="I5" s="40"/>
      <c r="J5" s="40"/>
      <c r="K5" s="40"/>
    </row>
    <row r="6" spans="1:14">
      <c r="A6" s="34" t="s">
        <v>84</v>
      </c>
      <c r="B6" s="25" t="s">
        <v>91</v>
      </c>
      <c r="C6" s="7" t="s">
        <v>92</v>
      </c>
      <c r="D6" s="7" t="s">
        <v>93</v>
      </c>
      <c r="E6" s="7" t="str">
        <f>"1,2578"</f>
        <v>1,2578</v>
      </c>
      <c r="F6" s="7" t="s">
        <v>14</v>
      </c>
      <c r="G6" s="7" t="s">
        <v>31</v>
      </c>
      <c r="H6" s="16" t="s">
        <v>94</v>
      </c>
      <c r="I6" s="20" t="s">
        <v>95</v>
      </c>
      <c r="J6" s="16" t="s">
        <v>95</v>
      </c>
      <c r="K6" s="15"/>
      <c r="L6" s="15" t="str">
        <f>"60,0"</f>
        <v>60,0</v>
      </c>
      <c r="M6" s="15" t="str">
        <f>"75,4680"</f>
        <v>75,4680</v>
      </c>
      <c r="N6" s="7" t="s">
        <v>96</v>
      </c>
    </row>
    <row r="7" spans="1:14">
      <c r="A7" s="35" t="s">
        <v>86</v>
      </c>
      <c r="B7" s="26" t="s">
        <v>97</v>
      </c>
      <c r="C7" s="8" t="s">
        <v>98</v>
      </c>
      <c r="D7" s="8" t="s">
        <v>99</v>
      </c>
      <c r="E7" s="8" t="str">
        <f>"1,2673"</f>
        <v>1,2673</v>
      </c>
      <c r="F7" s="8" t="s">
        <v>14</v>
      </c>
      <c r="G7" s="8" t="s">
        <v>15</v>
      </c>
      <c r="H7" s="18" t="s">
        <v>100</v>
      </c>
      <c r="I7" s="18" t="s">
        <v>101</v>
      </c>
      <c r="J7" s="18" t="s">
        <v>102</v>
      </c>
      <c r="K7" s="17"/>
      <c r="L7" s="17" t="str">
        <f>"55,0"</f>
        <v>55,0</v>
      </c>
      <c r="M7" s="17" t="str">
        <f>"69,7015"</f>
        <v>69,7015</v>
      </c>
      <c r="N7" s="8" t="s">
        <v>262</v>
      </c>
    </row>
    <row r="8" spans="1:14">
      <c r="B8" s="11" t="s">
        <v>85</v>
      </c>
    </row>
    <row r="9" spans="1:14" ht="16">
      <c r="A9" s="29" t="s">
        <v>103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4">
      <c r="A10" s="34" t="s">
        <v>84</v>
      </c>
      <c r="B10" s="25" t="s">
        <v>104</v>
      </c>
      <c r="C10" s="7" t="s">
        <v>105</v>
      </c>
      <c r="D10" s="7" t="s">
        <v>106</v>
      </c>
      <c r="E10" s="7" t="str">
        <f>"1,1766"</f>
        <v>1,1766</v>
      </c>
      <c r="F10" s="7" t="s">
        <v>14</v>
      </c>
      <c r="G10" s="7" t="s">
        <v>107</v>
      </c>
      <c r="H10" s="16" t="s">
        <v>108</v>
      </c>
      <c r="I10" s="16" t="s">
        <v>109</v>
      </c>
      <c r="J10" s="20" t="s">
        <v>110</v>
      </c>
      <c r="K10" s="15"/>
      <c r="L10" s="15" t="str">
        <f>"70,0"</f>
        <v>70,0</v>
      </c>
      <c r="M10" s="15" t="str">
        <f>"82,3620"</f>
        <v>82,3620</v>
      </c>
      <c r="N10" s="7" t="s">
        <v>27</v>
      </c>
    </row>
    <row r="11" spans="1:14">
      <c r="A11" s="35" t="s">
        <v>86</v>
      </c>
      <c r="B11" s="26" t="s">
        <v>111</v>
      </c>
      <c r="C11" s="8" t="s">
        <v>112</v>
      </c>
      <c r="D11" s="8" t="s">
        <v>113</v>
      </c>
      <c r="E11" s="8" t="str">
        <f>"1,2374"</f>
        <v>1,2374</v>
      </c>
      <c r="F11" s="8" t="s">
        <v>14</v>
      </c>
      <c r="G11" s="8" t="s">
        <v>31</v>
      </c>
      <c r="H11" s="18" t="s">
        <v>100</v>
      </c>
      <c r="I11" s="19" t="s">
        <v>101</v>
      </c>
      <c r="J11" s="19" t="s">
        <v>101</v>
      </c>
      <c r="K11" s="17"/>
      <c r="L11" s="17" t="str">
        <f>"47,5"</f>
        <v>47,5</v>
      </c>
      <c r="M11" s="17" t="str">
        <f>"58,7765"</f>
        <v>58,7765</v>
      </c>
      <c r="N11" s="8" t="s">
        <v>27</v>
      </c>
    </row>
    <row r="12" spans="1:14">
      <c r="B12" s="11" t="s">
        <v>85</v>
      </c>
    </row>
    <row r="13" spans="1:14" ht="16">
      <c r="A13" s="29" t="s">
        <v>114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4">
      <c r="A14" s="33" t="s">
        <v>84</v>
      </c>
      <c r="B14" s="24" t="s">
        <v>115</v>
      </c>
      <c r="C14" s="5" t="s">
        <v>116</v>
      </c>
      <c r="D14" s="5" t="s">
        <v>117</v>
      </c>
      <c r="E14" s="5" t="str">
        <f>"1,0206"</f>
        <v>1,0206</v>
      </c>
      <c r="F14" s="5" t="s">
        <v>14</v>
      </c>
      <c r="G14" s="5" t="s">
        <v>31</v>
      </c>
      <c r="H14" s="14" t="s">
        <v>102</v>
      </c>
      <c r="I14" s="14" t="s">
        <v>95</v>
      </c>
      <c r="J14" s="14" t="s">
        <v>108</v>
      </c>
      <c r="K14" s="13"/>
      <c r="L14" s="13" t="str">
        <f>"65,0"</f>
        <v>65,0</v>
      </c>
      <c r="M14" s="13" t="str">
        <f>"66,3390"</f>
        <v>66,3390</v>
      </c>
      <c r="N14" s="5" t="s">
        <v>118</v>
      </c>
    </row>
    <row r="15" spans="1:14">
      <c r="B15" s="11" t="s">
        <v>85</v>
      </c>
    </row>
    <row r="16" spans="1:14" ht="16">
      <c r="A16" s="29" t="s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4">
      <c r="A17" s="33" t="s">
        <v>84</v>
      </c>
      <c r="B17" s="24" t="s">
        <v>119</v>
      </c>
      <c r="C17" s="5" t="s">
        <v>120</v>
      </c>
      <c r="D17" s="5" t="s">
        <v>121</v>
      </c>
      <c r="E17" s="5" t="str">
        <f>"0,9195"</f>
        <v>0,9195</v>
      </c>
      <c r="F17" s="5" t="s">
        <v>14</v>
      </c>
      <c r="G17" s="5" t="s">
        <v>122</v>
      </c>
      <c r="H17" s="14" t="s">
        <v>110</v>
      </c>
      <c r="I17" s="14" t="s">
        <v>123</v>
      </c>
      <c r="J17" s="23" t="s">
        <v>124</v>
      </c>
      <c r="K17" s="13"/>
      <c r="L17" s="13" t="str">
        <f>"75,0"</f>
        <v>75,0</v>
      </c>
      <c r="M17" s="13" t="str">
        <f>"68,9625"</f>
        <v>68,9625</v>
      </c>
      <c r="N17" s="5" t="s">
        <v>27</v>
      </c>
    </row>
    <row r="18" spans="1:14">
      <c r="B18" s="11" t="s">
        <v>85</v>
      </c>
    </row>
    <row r="19" spans="1:14" ht="16">
      <c r="A19" s="29" t="s">
        <v>10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4">
      <c r="A20" s="34" t="s">
        <v>84</v>
      </c>
      <c r="B20" s="25" t="s">
        <v>125</v>
      </c>
      <c r="C20" s="7" t="s">
        <v>126</v>
      </c>
      <c r="D20" s="7" t="s">
        <v>127</v>
      </c>
      <c r="E20" s="7" t="str">
        <f>"0,6734"</f>
        <v>0,6734</v>
      </c>
      <c r="F20" s="7" t="s">
        <v>14</v>
      </c>
      <c r="G20" s="7" t="s">
        <v>31</v>
      </c>
      <c r="H20" s="16" t="s">
        <v>128</v>
      </c>
      <c r="I20" s="20" t="s">
        <v>129</v>
      </c>
      <c r="J20" s="20" t="s">
        <v>129</v>
      </c>
      <c r="K20" s="15"/>
      <c r="L20" s="15" t="str">
        <f>"120,0"</f>
        <v>120,0</v>
      </c>
      <c r="M20" s="15" t="str">
        <f>"80,8080"</f>
        <v>80,8080</v>
      </c>
      <c r="N20" s="7" t="s">
        <v>27</v>
      </c>
    </row>
    <row r="21" spans="1:14">
      <c r="A21" s="35" t="s">
        <v>86</v>
      </c>
      <c r="B21" s="26" t="s">
        <v>130</v>
      </c>
      <c r="C21" s="8" t="s">
        <v>131</v>
      </c>
      <c r="D21" s="8" t="s">
        <v>132</v>
      </c>
      <c r="E21" s="8" t="str">
        <f>"0,6981"</f>
        <v>0,6981</v>
      </c>
      <c r="F21" s="8" t="s">
        <v>14</v>
      </c>
      <c r="G21" s="8" t="s">
        <v>23</v>
      </c>
      <c r="H21" s="19" t="s">
        <v>133</v>
      </c>
      <c r="I21" s="19" t="s">
        <v>133</v>
      </c>
      <c r="J21" s="18" t="s">
        <v>134</v>
      </c>
      <c r="K21" s="17"/>
      <c r="L21" s="17" t="str">
        <f>"115,0"</f>
        <v>115,0</v>
      </c>
      <c r="M21" s="17" t="str">
        <f>"80,2815"</f>
        <v>80,2815</v>
      </c>
      <c r="N21" s="8" t="s">
        <v>27</v>
      </c>
    </row>
    <row r="22" spans="1:14">
      <c r="B22" s="11" t="s">
        <v>85</v>
      </c>
    </row>
    <row r="23" spans="1:14" ht="16">
      <c r="A23" s="29" t="s">
        <v>135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4">
      <c r="A24" s="33" t="s">
        <v>84</v>
      </c>
      <c r="B24" s="24" t="s">
        <v>136</v>
      </c>
      <c r="C24" s="5" t="s">
        <v>137</v>
      </c>
      <c r="D24" s="5" t="s">
        <v>138</v>
      </c>
      <c r="E24" s="5" t="str">
        <f>"0,6606"</f>
        <v>0,6606</v>
      </c>
      <c r="F24" s="5" t="s">
        <v>14</v>
      </c>
      <c r="G24" s="5" t="s">
        <v>31</v>
      </c>
      <c r="H24" s="14" t="s">
        <v>139</v>
      </c>
      <c r="I24" s="14" t="s">
        <v>140</v>
      </c>
      <c r="J24" s="23" t="s">
        <v>141</v>
      </c>
      <c r="K24" s="13"/>
      <c r="L24" s="13" t="str">
        <f>"150,0"</f>
        <v>150,0</v>
      </c>
      <c r="M24" s="13" t="str">
        <f>"99,0900"</f>
        <v>99,0900</v>
      </c>
      <c r="N24" s="5" t="s">
        <v>27</v>
      </c>
    </row>
    <row r="25" spans="1:14">
      <c r="B25" s="11" t="s">
        <v>85</v>
      </c>
    </row>
    <row r="26" spans="1:14" ht="16">
      <c r="A26" s="29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4">
      <c r="A27" s="34" t="s">
        <v>84</v>
      </c>
      <c r="B27" s="25" t="s">
        <v>142</v>
      </c>
      <c r="C27" s="7" t="s">
        <v>143</v>
      </c>
      <c r="D27" s="7" t="s">
        <v>144</v>
      </c>
      <c r="E27" s="7" t="str">
        <f>"0,6235"</f>
        <v>0,6235</v>
      </c>
      <c r="F27" s="7" t="s">
        <v>14</v>
      </c>
      <c r="G27" s="7" t="s">
        <v>23</v>
      </c>
      <c r="H27" s="16" t="s">
        <v>48</v>
      </c>
      <c r="I27" s="16" t="s">
        <v>43</v>
      </c>
      <c r="J27" s="20" t="s">
        <v>145</v>
      </c>
      <c r="K27" s="15"/>
      <c r="L27" s="15" t="str">
        <f>"200,0"</f>
        <v>200,0</v>
      </c>
      <c r="M27" s="15" t="str">
        <f>"124,7000"</f>
        <v>124,7000</v>
      </c>
      <c r="N27" s="7" t="s">
        <v>263</v>
      </c>
    </row>
    <row r="28" spans="1:14">
      <c r="A28" s="36" t="s">
        <v>86</v>
      </c>
      <c r="B28" s="27" t="s">
        <v>20</v>
      </c>
      <c r="C28" s="9" t="s">
        <v>21</v>
      </c>
      <c r="D28" s="9" t="s">
        <v>22</v>
      </c>
      <c r="E28" s="9" t="str">
        <f>"0,6152"</f>
        <v>0,6152</v>
      </c>
      <c r="F28" s="9" t="s">
        <v>14</v>
      </c>
      <c r="G28" s="9" t="s">
        <v>23</v>
      </c>
      <c r="H28" s="22" t="s">
        <v>16</v>
      </c>
      <c r="I28" s="22" t="s">
        <v>17</v>
      </c>
      <c r="J28" s="28" t="s">
        <v>146</v>
      </c>
      <c r="K28" s="21"/>
      <c r="L28" s="21" t="str">
        <f>"170,0"</f>
        <v>170,0</v>
      </c>
      <c r="M28" s="21" t="str">
        <f>"104,5840"</f>
        <v>104,5840</v>
      </c>
      <c r="N28" s="9" t="s">
        <v>27</v>
      </c>
    </row>
    <row r="29" spans="1:14">
      <c r="A29" s="36" t="s">
        <v>87</v>
      </c>
      <c r="B29" s="27" t="s">
        <v>147</v>
      </c>
      <c r="C29" s="9" t="s">
        <v>148</v>
      </c>
      <c r="D29" s="9" t="s">
        <v>149</v>
      </c>
      <c r="E29" s="9" t="str">
        <f>"0,6086"</f>
        <v>0,6086</v>
      </c>
      <c r="F29" s="9" t="s">
        <v>14</v>
      </c>
      <c r="G29" s="9" t="s">
        <v>31</v>
      </c>
      <c r="H29" s="22" t="s">
        <v>141</v>
      </c>
      <c r="I29" s="22" t="s">
        <v>150</v>
      </c>
      <c r="J29" s="22" t="s">
        <v>151</v>
      </c>
      <c r="K29" s="21"/>
      <c r="L29" s="21" t="str">
        <f>"167,5"</f>
        <v>167,5</v>
      </c>
      <c r="M29" s="21" t="str">
        <f>"101,9405"</f>
        <v>101,9405</v>
      </c>
      <c r="N29" s="9" t="s">
        <v>27</v>
      </c>
    </row>
    <row r="30" spans="1:14">
      <c r="A30" s="35" t="s">
        <v>190</v>
      </c>
      <c r="B30" s="26" t="s">
        <v>152</v>
      </c>
      <c r="C30" s="8" t="s">
        <v>153</v>
      </c>
      <c r="D30" s="8" t="s">
        <v>30</v>
      </c>
      <c r="E30" s="8" t="str">
        <f>"0,6098"</f>
        <v>0,6098</v>
      </c>
      <c r="F30" s="8" t="s">
        <v>14</v>
      </c>
      <c r="G30" s="8" t="s">
        <v>260</v>
      </c>
      <c r="H30" s="18" t="s">
        <v>154</v>
      </c>
      <c r="I30" s="18" t="s">
        <v>155</v>
      </c>
      <c r="J30" s="19" t="s">
        <v>141</v>
      </c>
      <c r="K30" s="17"/>
      <c r="L30" s="17" t="str">
        <f>"152,5"</f>
        <v>152,5</v>
      </c>
      <c r="M30" s="17" t="str">
        <f>"92,9945"</f>
        <v>92,9945</v>
      </c>
      <c r="N30" s="8" t="s">
        <v>258</v>
      </c>
    </row>
    <row r="31" spans="1:14">
      <c r="B31" s="11" t="s">
        <v>85</v>
      </c>
    </row>
    <row r="32" spans="1:14" ht="16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4">
      <c r="A33" s="34" t="s">
        <v>84</v>
      </c>
      <c r="B33" s="25" t="s">
        <v>156</v>
      </c>
      <c r="C33" s="7" t="s">
        <v>157</v>
      </c>
      <c r="D33" s="7" t="s">
        <v>158</v>
      </c>
      <c r="E33" s="7" t="str">
        <f>"0,6011"</f>
        <v>0,6011</v>
      </c>
      <c r="F33" s="7" t="s">
        <v>14</v>
      </c>
      <c r="G33" s="7" t="s">
        <v>261</v>
      </c>
      <c r="H33" s="16" t="s">
        <v>159</v>
      </c>
      <c r="I33" s="16" t="s">
        <v>160</v>
      </c>
      <c r="J33" s="20" t="s">
        <v>161</v>
      </c>
      <c r="K33" s="15"/>
      <c r="L33" s="15" t="str">
        <f>"195,0"</f>
        <v>195,0</v>
      </c>
      <c r="M33" s="15" t="str">
        <f>"117,2145"</f>
        <v>117,2145</v>
      </c>
      <c r="N33" s="7" t="s">
        <v>27</v>
      </c>
    </row>
    <row r="34" spans="1:14">
      <c r="A34" s="35" t="s">
        <v>86</v>
      </c>
      <c r="B34" s="26" t="s">
        <v>162</v>
      </c>
      <c r="C34" s="8" t="s">
        <v>163</v>
      </c>
      <c r="D34" s="8" t="s">
        <v>164</v>
      </c>
      <c r="E34" s="8" t="str">
        <f>"0,5905"</f>
        <v>0,5905</v>
      </c>
      <c r="F34" s="8" t="s">
        <v>14</v>
      </c>
      <c r="G34" s="8" t="s">
        <v>31</v>
      </c>
      <c r="H34" s="18" t="s">
        <v>128</v>
      </c>
      <c r="I34" s="18" t="s">
        <v>165</v>
      </c>
      <c r="J34" s="19" t="s">
        <v>154</v>
      </c>
      <c r="K34" s="17"/>
      <c r="L34" s="17" t="str">
        <f>"135,0"</f>
        <v>135,0</v>
      </c>
      <c r="M34" s="17" t="str">
        <f>"79,7175"</f>
        <v>79,7175</v>
      </c>
      <c r="N34" s="8" t="s">
        <v>27</v>
      </c>
    </row>
    <row r="35" spans="1:14">
      <c r="B35" s="11" t="s">
        <v>85</v>
      </c>
    </row>
    <row r="36" spans="1:14" ht="16">
      <c r="A36" s="29" t="s">
        <v>49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4">
      <c r="A37" s="34" t="s">
        <v>84</v>
      </c>
      <c r="B37" s="25" t="s">
        <v>50</v>
      </c>
      <c r="C37" s="7" t="s">
        <v>51</v>
      </c>
      <c r="D37" s="7" t="s">
        <v>52</v>
      </c>
      <c r="E37" s="7" t="str">
        <f>"0,5704"</f>
        <v>0,5704</v>
      </c>
      <c r="F37" s="7" t="s">
        <v>14</v>
      </c>
      <c r="G37" s="7" t="s">
        <v>31</v>
      </c>
      <c r="H37" s="16" t="s">
        <v>32</v>
      </c>
      <c r="I37" s="16" t="s">
        <v>25</v>
      </c>
      <c r="J37" s="16" t="s">
        <v>166</v>
      </c>
      <c r="K37" s="15"/>
      <c r="L37" s="15" t="str">
        <f>"245,0"</f>
        <v>245,0</v>
      </c>
      <c r="M37" s="15" t="str">
        <f>"139,7480"</f>
        <v>139,7480</v>
      </c>
      <c r="N37" s="7" t="s">
        <v>27</v>
      </c>
    </row>
    <row r="38" spans="1:14">
      <c r="A38" s="36" t="s">
        <v>86</v>
      </c>
      <c r="B38" s="27" t="s">
        <v>59</v>
      </c>
      <c r="C38" s="9" t="s">
        <v>60</v>
      </c>
      <c r="D38" s="9" t="s">
        <v>61</v>
      </c>
      <c r="E38" s="9" t="str">
        <f>"0,5706"</f>
        <v>0,5706</v>
      </c>
      <c r="F38" s="9" t="s">
        <v>14</v>
      </c>
      <c r="G38" s="9" t="s">
        <v>62</v>
      </c>
      <c r="H38" s="28" t="s">
        <v>161</v>
      </c>
      <c r="I38" s="22" t="s">
        <v>44</v>
      </c>
      <c r="J38" s="22" t="s">
        <v>24</v>
      </c>
      <c r="K38" s="21"/>
      <c r="L38" s="21" t="str">
        <f>"215,0"</f>
        <v>215,0</v>
      </c>
      <c r="M38" s="21" t="str">
        <f>"122,6790"</f>
        <v>122,6790</v>
      </c>
      <c r="N38" s="9" t="s">
        <v>27</v>
      </c>
    </row>
    <row r="39" spans="1:14">
      <c r="A39" s="36" t="s">
        <v>87</v>
      </c>
      <c r="B39" s="27" t="s">
        <v>167</v>
      </c>
      <c r="C39" s="9" t="s">
        <v>168</v>
      </c>
      <c r="D39" s="9" t="s">
        <v>169</v>
      </c>
      <c r="E39" s="9" t="str">
        <f>"0,5770"</f>
        <v>0,5770</v>
      </c>
      <c r="F39" s="9" t="s">
        <v>14</v>
      </c>
      <c r="G39" s="9" t="s">
        <v>170</v>
      </c>
      <c r="H39" s="22" t="s">
        <v>48</v>
      </c>
      <c r="I39" s="22" t="s">
        <v>161</v>
      </c>
      <c r="J39" s="21"/>
      <c r="K39" s="21"/>
      <c r="L39" s="21" t="str">
        <f>"205,0"</f>
        <v>205,0</v>
      </c>
      <c r="M39" s="21" t="str">
        <f>"118,2850"</f>
        <v>118,2850</v>
      </c>
      <c r="N39" s="9" t="s">
        <v>27</v>
      </c>
    </row>
    <row r="40" spans="1:14">
      <c r="A40" s="35" t="s">
        <v>190</v>
      </c>
      <c r="B40" s="26" t="s">
        <v>171</v>
      </c>
      <c r="C40" s="8" t="s">
        <v>172</v>
      </c>
      <c r="D40" s="8" t="s">
        <v>173</v>
      </c>
      <c r="E40" s="8" t="str">
        <f>"0,5803"</f>
        <v>0,5803</v>
      </c>
      <c r="F40" s="8" t="s">
        <v>14</v>
      </c>
      <c r="G40" s="8" t="s">
        <v>31</v>
      </c>
      <c r="H40" s="18" t="s">
        <v>16</v>
      </c>
      <c r="I40" s="18" t="s">
        <v>17</v>
      </c>
      <c r="J40" s="18" t="s">
        <v>18</v>
      </c>
      <c r="K40" s="17"/>
      <c r="L40" s="17" t="str">
        <f>"180,0"</f>
        <v>180,0</v>
      </c>
      <c r="M40" s="17" t="str">
        <f>"104,4540"</f>
        <v>104,4540</v>
      </c>
      <c r="N40" s="8" t="s">
        <v>27</v>
      </c>
    </row>
    <row r="41" spans="1:14">
      <c r="B41" s="11" t="s">
        <v>85</v>
      </c>
    </row>
    <row r="42" spans="1:14" ht="16">
      <c r="A42" s="29" t="s">
        <v>64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4">
      <c r="A43" s="33" t="s">
        <v>84</v>
      </c>
      <c r="B43" s="24" t="s">
        <v>174</v>
      </c>
      <c r="C43" s="5" t="s">
        <v>175</v>
      </c>
      <c r="D43" s="5" t="s">
        <v>176</v>
      </c>
      <c r="E43" s="5" t="str">
        <f>"0,5625"</f>
        <v>0,5625</v>
      </c>
      <c r="F43" s="5" t="s">
        <v>14</v>
      </c>
      <c r="G43" s="5" t="s">
        <v>177</v>
      </c>
      <c r="H43" s="14" t="s">
        <v>26</v>
      </c>
      <c r="I43" s="14" t="s">
        <v>38</v>
      </c>
      <c r="J43" s="14" t="s">
        <v>178</v>
      </c>
      <c r="K43" s="13"/>
      <c r="L43" s="13" t="str">
        <f>"255,0"</f>
        <v>255,0</v>
      </c>
      <c r="M43" s="13" t="str">
        <f>"143,4375"</f>
        <v>143,4375</v>
      </c>
      <c r="N43" s="5" t="s">
        <v>27</v>
      </c>
    </row>
    <row r="44" spans="1:14">
      <c r="B44" s="11" t="s">
        <v>85</v>
      </c>
    </row>
    <row r="45" spans="1:14" ht="16">
      <c r="B45" s="11" t="s">
        <v>85</v>
      </c>
      <c r="F45" s="37"/>
    </row>
    <row r="46" spans="1:14">
      <c r="B46" s="11" t="s">
        <v>85</v>
      </c>
    </row>
    <row r="47" spans="1:14" ht="18">
      <c r="B47" s="38" t="s">
        <v>71</v>
      </c>
      <c r="C47" s="38"/>
    </row>
    <row r="48" spans="1:14" ht="16">
      <c r="B48" s="6" t="s">
        <v>179</v>
      </c>
      <c r="C48" s="6"/>
    </row>
    <row r="49" spans="2:6" ht="14">
      <c r="B49" s="39"/>
      <c r="C49" s="39" t="s">
        <v>73</v>
      </c>
    </row>
    <row r="50" spans="2:6" ht="14">
      <c r="B50" s="10" t="s">
        <v>74</v>
      </c>
      <c r="C50" s="10" t="s">
        <v>75</v>
      </c>
      <c r="D50" s="10" t="s">
        <v>259</v>
      </c>
      <c r="E50" s="10" t="s">
        <v>83</v>
      </c>
      <c r="F50" s="10" t="s">
        <v>180</v>
      </c>
    </row>
    <row r="51" spans="2:6">
      <c r="B51" s="3" t="s">
        <v>104</v>
      </c>
      <c r="C51" s="11" t="s">
        <v>73</v>
      </c>
      <c r="D51" s="12" t="s">
        <v>181</v>
      </c>
      <c r="E51" s="12" t="s">
        <v>109</v>
      </c>
      <c r="F51" s="12" t="s">
        <v>182</v>
      </c>
    </row>
    <row r="52" spans="2:6">
      <c r="B52" s="3" t="s">
        <v>91</v>
      </c>
      <c r="C52" s="11" t="s">
        <v>73</v>
      </c>
      <c r="D52" s="12" t="s">
        <v>183</v>
      </c>
      <c r="E52" s="12" t="s">
        <v>95</v>
      </c>
      <c r="F52" s="12" t="s">
        <v>184</v>
      </c>
    </row>
    <row r="53" spans="2:6">
      <c r="B53" s="3" t="s">
        <v>97</v>
      </c>
      <c r="C53" s="11" t="s">
        <v>73</v>
      </c>
      <c r="D53" s="12" t="s">
        <v>183</v>
      </c>
      <c r="E53" s="12" t="s">
        <v>102</v>
      </c>
      <c r="F53" s="12" t="s">
        <v>185</v>
      </c>
    </row>
    <row r="54" spans="2:6">
      <c r="B54" s="3"/>
    </row>
    <row r="55" spans="2:6" ht="16">
      <c r="B55" s="6" t="s">
        <v>72</v>
      </c>
      <c r="C55" s="6"/>
    </row>
    <row r="56" spans="2:6" ht="14">
      <c r="B56" s="39"/>
      <c r="C56" s="39" t="s">
        <v>73</v>
      </c>
    </row>
    <row r="57" spans="2:6" ht="14">
      <c r="B57" s="10" t="s">
        <v>74</v>
      </c>
      <c r="C57" s="10" t="s">
        <v>75</v>
      </c>
      <c r="D57" s="10" t="s">
        <v>259</v>
      </c>
      <c r="E57" s="10" t="s">
        <v>83</v>
      </c>
      <c r="F57" s="10" t="s">
        <v>180</v>
      </c>
    </row>
    <row r="58" spans="2:6">
      <c r="B58" s="3" t="s">
        <v>174</v>
      </c>
      <c r="C58" s="11" t="s">
        <v>73</v>
      </c>
      <c r="D58" s="12" t="s">
        <v>79</v>
      </c>
      <c r="E58" s="12" t="s">
        <v>178</v>
      </c>
      <c r="F58" s="12" t="s">
        <v>186</v>
      </c>
    </row>
    <row r="59" spans="2:6">
      <c r="B59" s="3" t="s">
        <v>50</v>
      </c>
      <c r="C59" s="11" t="s">
        <v>73</v>
      </c>
      <c r="D59" s="12" t="s">
        <v>77</v>
      </c>
      <c r="E59" s="12" t="s">
        <v>166</v>
      </c>
      <c r="F59" s="12" t="s">
        <v>187</v>
      </c>
    </row>
    <row r="60" spans="2:6">
      <c r="B60" s="3" t="s">
        <v>142</v>
      </c>
      <c r="C60" s="11" t="s">
        <v>73</v>
      </c>
      <c r="D60" s="12" t="s">
        <v>188</v>
      </c>
      <c r="E60" s="12" t="s">
        <v>43</v>
      </c>
      <c r="F60" s="12" t="s">
        <v>189</v>
      </c>
    </row>
    <row r="61" spans="2:6">
      <c r="B61" s="11" t="s">
        <v>85</v>
      </c>
    </row>
  </sheetData>
  <mergeCells count="22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2:K32"/>
    <mergeCell ref="A36:K36"/>
    <mergeCell ref="A42:K42"/>
    <mergeCell ref="B3:B4"/>
    <mergeCell ref="A9:K9"/>
    <mergeCell ref="A13:K13"/>
    <mergeCell ref="A16:K16"/>
    <mergeCell ref="A19:K19"/>
    <mergeCell ref="A23:K23"/>
    <mergeCell ref="A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pageSetUpPr fitToPage="1"/>
  </sheetPr>
  <dimension ref="A1:N34"/>
  <sheetViews>
    <sheetView workbookViewId="0">
      <selection sqref="A1:N2"/>
    </sheetView>
  </sheetViews>
  <sheetFormatPr baseColWidth="10" defaultColWidth="9.1640625" defaultRowHeight="13"/>
  <cols>
    <col min="1" max="1" width="7.5" style="12" bestFit="1" customWidth="1"/>
    <col min="2" max="2" width="20" style="11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9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8.5" style="2" bestFit="1" customWidth="1"/>
    <col min="14" max="14" width="21.6640625" style="3" customWidth="1"/>
    <col min="15" max="16384" width="9.1640625" style="3"/>
  </cols>
  <sheetData>
    <row r="1" spans="1:14" s="2" customFormat="1" ht="29" customHeight="1">
      <c r="A1" s="41" t="s">
        <v>254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46" t="s">
        <v>88</v>
      </c>
      <c r="B3" s="47" t="s">
        <v>0</v>
      </c>
      <c r="C3" s="48" t="s">
        <v>5</v>
      </c>
      <c r="D3" s="48" t="s">
        <v>7</v>
      </c>
      <c r="E3" s="47" t="s">
        <v>8</v>
      </c>
      <c r="F3" s="47" t="s">
        <v>3</v>
      </c>
      <c r="G3" s="47" t="s">
        <v>6</v>
      </c>
      <c r="H3" s="47" t="s">
        <v>9</v>
      </c>
      <c r="I3" s="47"/>
      <c r="J3" s="47"/>
      <c r="K3" s="47"/>
      <c r="L3" s="47" t="s">
        <v>83</v>
      </c>
      <c r="M3" s="47" t="s">
        <v>2</v>
      </c>
      <c r="N3" s="49" t="s">
        <v>1</v>
      </c>
    </row>
    <row r="4" spans="1:14" s="1" customFormat="1" ht="21" customHeight="1" thickBot="1">
      <c r="A4" s="32"/>
      <c r="B4" s="45"/>
      <c r="C4" s="30"/>
      <c r="D4" s="30"/>
      <c r="E4" s="30"/>
      <c r="F4" s="30"/>
      <c r="G4" s="30"/>
      <c r="H4" s="4">
        <v>1</v>
      </c>
      <c r="I4" s="4">
        <v>2</v>
      </c>
      <c r="J4" s="4">
        <v>3</v>
      </c>
      <c r="K4" s="4" t="s">
        <v>4</v>
      </c>
      <c r="L4" s="30"/>
      <c r="M4" s="30"/>
      <c r="N4" s="31"/>
    </row>
    <row r="5" spans="1:14" ht="16">
      <c r="A5" s="29" t="s">
        <v>10</v>
      </c>
      <c r="B5" s="29"/>
      <c r="C5" s="40"/>
      <c r="D5" s="40"/>
      <c r="E5" s="40"/>
      <c r="F5" s="40"/>
      <c r="G5" s="40"/>
      <c r="H5" s="40"/>
      <c r="I5" s="40"/>
      <c r="J5" s="40"/>
      <c r="K5" s="40"/>
    </row>
    <row r="6" spans="1:14">
      <c r="A6" s="33" t="s">
        <v>84</v>
      </c>
      <c r="B6" s="24" t="s">
        <v>11</v>
      </c>
      <c r="C6" s="5" t="s">
        <v>12</v>
      </c>
      <c r="D6" s="5" t="s">
        <v>13</v>
      </c>
      <c r="E6" s="5" t="str">
        <f>"0,8095"</f>
        <v>0,8095</v>
      </c>
      <c r="F6" s="5" t="s">
        <v>14</v>
      </c>
      <c r="G6" s="5" t="s">
        <v>15</v>
      </c>
      <c r="H6" s="14" t="s">
        <v>16</v>
      </c>
      <c r="I6" s="14" t="s">
        <v>17</v>
      </c>
      <c r="J6" s="14" t="s">
        <v>18</v>
      </c>
      <c r="K6" s="13"/>
      <c r="L6" s="13" t="str">
        <f>"180,0"</f>
        <v>180,0</v>
      </c>
      <c r="M6" s="13" t="str">
        <f>"145,7190"</f>
        <v>145,7190</v>
      </c>
      <c r="N6" s="5" t="s">
        <v>27</v>
      </c>
    </row>
    <row r="7" spans="1:14">
      <c r="B7" s="11" t="s">
        <v>85</v>
      </c>
    </row>
    <row r="8" spans="1:14" ht="16">
      <c r="A8" s="29" t="s">
        <v>19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4">
      <c r="A9" s="34" t="s">
        <v>84</v>
      </c>
      <c r="B9" s="25" t="s">
        <v>20</v>
      </c>
      <c r="C9" s="7" t="s">
        <v>21</v>
      </c>
      <c r="D9" s="7" t="s">
        <v>22</v>
      </c>
      <c r="E9" s="7" t="str">
        <f>"0,5880"</f>
        <v>0,5880</v>
      </c>
      <c r="F9" s="7" t="s">
        <v>14</v>
      </c>
      <c r="G9" s="7" t="s">
        <v>23</v>
      </c>
      <c r="H9" s="16" t="s">
        <v>24</v>
      </c>
      <c r="I9" s="16" t="s">
        <v>25</v>
      </c>
      <c r="J9" s="16" t="s">
        <v>26</v>
      </c>
      <c r="K9" s="15"/>
      <c r="L9" s="15" t="str">
        <f>"240,0"</f>
        <v>240,0</v>
      </c>
      <c r="M9" s="15" t="str">
        <f>"141,1200"</f>
        <v>141,1200</v>
      </c>
      <c r="N9" s="7" t="s">
        <v>27</v>
      </c>
    </row>
    <row r="10" spans="1:14">
      <c r="A10" s="35" t="s">
        <v>86</v>
      </c>
      <c r="B10" s="26" t="s">
        <v>28</v>
      </c>
      <c r="C10" s="8" t="s">
        <v>29</v>
      </c>
      <c r="D10" s="8" t="s">
        <v>30</v>
      </c>
      <c r="E10" s="8" t="str">
        <f>"0,5825"</f>
        <v>0,5825</v>
      </c>
      <c r="F10" s="8" t="s">
        <v>14</v>
      </c>
      <c r="G10" s="8" t="s">
        <v>31</v>
      </c>
      <c r="H10" s="18" t="s">
        <v>32</v>
      </c>
      <c r="I10" s="18" t="s">
        <v>25</v>
      </c>
      <c r="J10" s="19" t="s">
        <v>26</v>
      </c>
      <c r="K10" s="17"/>
      <c r="L10" s="17" t="str">
        <f>"230,0"</f>
        <v>230,0</v>
      </c>
      <c r="M10" s="17" t="str">
        <f>"133,9865"</f>
        <v>133,9865</v>
      </c>
      <c r="N10" s="8" t="s">
        <v>27</v>
      </c>
    </row>
    <row r="11" spans="1:14">
      <c r="B11" s="11" t="s">
        <v>85</v>
      </c>
    </row>
    <row r="12" spans="1:14" ht="16">
      <c r="A12" s="29" t="s">
        <v>33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4">
      <c r="A13" s="34" t="s">
        <v>84</v>
      </c>
      <c r="B13" s="25" t="s">
        <v>34</v>
      </c>
      <c r="C13" s="7" t="s">
        <v>35</v>
      </c>
      <c r="D13" s="7" t="s">
        <v>36</v>
      </c>
      <c r="E13" s="7" t="str">
        <f>"0,5627"</f>
        <v>0,5627</v>
      </c>
      <c r="F13" s="7" t="s">
        <v>14</v>
      </c>
      <c r="G13" s="7" t="s">
        <v>37</v>
      </c>
      <c r="H13" s="16" t="s">
        <v>25</v>
      </c>
      <c r="I13" s="20" t="s">
        <v>38</v>
      </c>
      <c r="J13" s="16" t="s">
        <v>38</v>
      </c>
      <c r="K13" s="15"/>
      <c r="L13" s="15" t="str">
        <f>"250,0"</f>
        <v>250,0</v>
      </c>
      <c r="M13" s="15" t="str">
        <f>"140,6625"</f>
        <v>140,6625</v>
      </c>
      <c r="N13" s="7" t="s">
        <v>39</v>
      </c>
    </row>
    <row r="14" spans="1:14">
      <c r="A14" s="36" t="s">
        <v>86</v>
      </c>
      <c r="B14" s="27" t="s">
        <v>40</v>
      </c>
      <c r="C14" s="9" t="s">
        <v>41</v>
      </c>
      <c r="D14" s="9" t="s">
        <v>42</v>
      </c>
      <c r="E14" s="9" t="str">
        <f>"0,5788"</f>
        <v>0,5788</v>
      </c>
      <c r="F14" s="9" t="s">
        <v>14</v>
      </c>
      <c r="G14" s="9" t="s">
        <v>31</v>
      </c>
      <c r="H14" s="22" t="s">
        <v>43</v>
      </c>
      <c r="I14" s="22" t="s">
        <v>44</v>
      </c>
      <c r="J14" s="22" t="s">
        <v>24</v>
      </c>
      <c r="K14" s="21"/>
      <c r="L14" s="21" t="str">
        <f>"215,0"</f>
        <v>215,0</v>
      </c>
      <c r="M14" s="21" t="str">
        <f>"124,4313"</f>
        <v>124,4313</v>
      </c>
      <c r="N14" s="9" t="s">
        <v>27</v>
      </c>
    </row>
    <row r="15" spans="1:14">
      <c r="A15" s="35" t="s">
        <v>87</v>
      </c>
      <c r="B15" s="26" t="s">
        <v>45</v>
      </c>
      <c r="C15" s="8" t="s">
        <v>46</v>
      </c>
      <c r="D15" s="8" t="s">
        <v>47</v>
      </c>
      <c r="E15" s="8" t="str">
        <f>"0,5655"</f>
        <v>0,5655</v>
      </c>
      <c r="F15" s="8" t="s">
        <v>14</v>
      </c>
      <c r="G15" s="8" t="s">
        <v>31</v>
      </c>
      <c r="H15" s="18" t="s">
        <v>18</v>
      </c>
      <c r="I15" s="18" t="s">
        <v>48</v>
      </c>
      <c r="J15" s="18" t="s">
        <v>43</v>
      </c>
      <c r="K15" s="17"/>
      <c r="L15" s="17" t="str">
        <f>"200,0"</f>
        <v>200,0</v>
      </c>
      <c r="M15" s="17" t="str">
        <f>"113,1000"</f>
        <v>113,1000</v>
      </c>
      <c r="N15" s="8" t="s">
        <v>27</v>
      </c>
    </row>
    <row r="16" spans="1:14">
      <c r="B16" s="11" t="s">
        <v>85</v>
      </c>
    </row>
    <row r="17" spans="1:14" ht="16">
      <c r="A17" s="29" t="s">
        <v>49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4">
      <c r="A18" s="34" t="s">
        <v>84</v>
      </c>
      <c r="B18" s="25" t="s">
        <v>50</v>
      </c>
      <c r="C18" s="7" t="s">
        <v>51</v>
      </c>
      <c r="D18" s="7" t="s">
        <v>52</v>
      </c>
      <c r="E18" s="7" t="str">
        <f>"0,5462"</f>
        <v>0,5462</v>
      </c>
      <c r="F18" s="7" t="s">
        <v>14</v>
      </c>
      <c r="G18" s="7" t="s">
        <v>31</v>
      </c>
      <c r="H18" s="16" t="s">
        <v>53</v>
      </c>
      <c r="I18" s="20" t="s">
        <v>54</v>
      </c>
      <c r="J18" s="16" t="s">
        <v>54</v>
      </c>
      <c r="K18" s="15"/>
      <c r="L18" s="15" t="str">
        <f>"310,0"</f>
        <v>310,0</v>
      </c>
      <c r="M18" s="15" t="str">
        <f>"169,3065"</f>
        <v>169,3065</v>
      </c>
      <c r="N18" s="7" t="s">
        <v>27</v>
      </c>
    </row>
    <row r="19" spans="1:14">
      <c r="A19" s="36" t="s">
        <v>86</v>
      </c>
      <c r="B19" s="27" t="s">
        <v>55</v>
      </c>
      <c r="C19" s="9" t="s">
        <v>56</v>
      </c>
      <c r="D19" s="9" t="s">
        <v>57</v>
      </c>
      <c r="E19" s="9" t="str">
        <f>"0,5520"</f>
        <v>0,5520</v>
      </c>
      <c r="F19" s="9" t="s">
        <v>14</v>
      </c>
      <c r="G19" s="9" t="s">
        <v>37</v>
      </c>
      <c r="H19" s="22" t="s">
        <v>26</v>
      </c>
      <c r="I19" s="22" t="s">
        <v>38</v>
      </c>
      <c r="J19" s="22" t="s">
        <v>58</v>
      </c>
      <c r="K19" s="21"/>
      <c r="L19" s="21" t="str">
        <f>"260,0"</f>
        <v>260,0</v>
      </c>
      <c r="M19" s="21" t="str">
        <f>"143,5200"</f>
        <v>143,5200</v>
      </c>
      <c r="N19" s="9" t="s">
        <v>27</v>
      </c>
    </row>
    <row r="20" spans="1:14">
      <c r="A20" s="35" t="s">
        <v>87</v>
      </c>
      <c r="B20" s="26" t="s">
        <v>59</v>
      </c>
      <c r="C20" s="8" t="s">
        <v>60</v>
      </c>
      <c r="D20" s="8" t="s">
        <v>61</v>
      </c>
      <c r="E20" s="8" t="str">
        <f>"0,5464"</f>
        <v>0,5464</v>
      </c>
      <c r="F20" s="8" t="s">
        <v>14</v>
      </c>
      <c r="G20" s="8" t="s">
        <v>62</v>
      </c>
      <c r="H20" s="18" t="s">
        <v>26</v>
      </c>
      <c r="I20" s="19" t="s">
        <v>58</v>
      </c>
      <c r="J20" s="19" t="s">
        <v>63</v>
      </c>
      <c r="K20" s="17"/>
      <c r="L20" s="17" t="str">
        <f>"240,0"</f>
        <v>240,0</v>
      </c>
      <c r="M20" s="17" t="str">
        <f>"131,1240"</f>
        <v>131,1240</v>
      </c>
      <c r="N20" s="8" t="s">
        <v>27</v>
      </c>
    </row>
    <row r="21" spans="1:14">
      <c r="B21" s="11" t="s">
        <v>85</v>
      </c>
    </row>
    <row r="22" spans="1:14" ht="16">
      <c r="A22" s="29" t="s">
        <v>64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4">
      <c r="A23" s="33" t="s">
        <v>84</v>
      </c>
      <c r="B23" s="24" t="s">
        <v>65</v>
      </c>
      <c r="C23" s="5" t="s">
        <v>66</v>
      </c>
      <c r="D23" s="5" t="s">
        <v>67</v>
      </c>
      <c r="E23" s="5" t="str">
        <f>"0,5440"</f>
        <v>0,5440</v>
      </c>
      <c r="F23" s="5" t="s">
        <v>14</v>
      </c>
      <c r="G23" s="5" t="s">
        <v>68</v>
      </c>
      <c r="H23" s="14" t="s">
        <v>63</v>
      </c>
      <c r="I23" s="14" t="s">
        <v>69</v>
      </c>
      <c r="J23" s="23" t="s">
        <v>53</v>
      </c>
      <c r="K23" s="13"/>
      <c r="L23" s="13" t="str">
        <f>"280,0"</f>
        <v>280,0</v>
      </c>
      <c r="M23" s="13" t="str">
        <f>"152,3144"</f>
        <v>152,3144</v>
      </c>
      <c r="N23" s="5" t="s">
        <v>27</v>
      </c>
    </row>
    <row r="24" spans="1:14">
      <c r="B24" s="11" t="s">
        <v>85</v>
      </c>
    </row>
    <row r="25" spans="1:14" ht="16">
      <c r="B25" s="11" t="s">
        <v>85</v>
      </c>
      <c r="F25" s="37"/>
    </row>
    <row r="26" spans="1:14">
      <c r="B26" s="11" t="s">
        <v>85</v>
      </c>
    </row>
    <row r="27" spans="1:14" ht="18">
      <c r="B27" s="38" t="s">
        <v>71</v>
      </c>
      <c r="C27" s="38"/>
    </row>
    <row r="28" spans="1:14" ht="16">
      <c r="B28" s="6" t="s">
        <v>72</v>
      </c>
      <c r="C28" s="6"/>
    </row>
    <row r="29" spans="1:14" ht="14">
      <c r="B29" s="39"/>
      <c r="C29" s="39" t="s">
        <v>73</v>
      </c>
    </row>
    <row r="30" spans="1:14" ht="14">
      <c r="B30" s="10" t="s">
        <v>74</v>
      </c>
      <c r="C30" s="10" t="s">
        <v>75</v>
      </c>
      <c r="D30" s="10" t="s">
        <v>259</v>
      </c>
      <c r="E30" s="10" t="s">
        <v>83</v>
      </c>
      <c r="F30" s="10" t="s">
        <v>76</v>
      </c>
    </row>
    <row r="31" spans="1:14">
      <c r="B31" s="3" t="s">
        <v>50</v>
      </c>
      <c r="C31" s="11" t="s">
        <v>73</v>
      </c>
      <c r="D31" s="12" t="s">
        <v>77</v>
      </c>
      <c r="E31" s="12" t="s">
        <v>54</v>
      </c>
      <c r="F31" s="12" t="s">
        <v>78</v>
      </c>
    </row>
    <row r="32" spans="1:14">
      <c r="B32" s="3" t="s">
        <v>65</v>
      </c>
      <c r="C32" s="11" t="s">
        <v>73</v>
      </c>
      <c r="D32" s="12" t="s">
        <v>79</v>
      </c>
      <c r="E32" s="12" t="s">
        <v>69</v>
      </c>
      <c r="F32" s="12" t="s">
        <v>80</v>
      </c>
    </row>
    <row r="33" spans="2:6">
      <c r="B33" s="3" t="s">
        <v>11</v>
      </c>
      <c r="C33" s="11" t="s">
        <v>73</v>
      </c>
      <c r="D33" s="12" t="s">
        <v>81</v>
      </c>
      <c r="E33" s="12" t="s">
        <v>18</v>
      </c>
      <c r="F33" s="12" t="s">
        <v>82</v>
      </c>
    </row>
    <row r="34" spans="2:6">
      <c r="B34" s="11" t="s">
        <v>85</v>
      </c>
    </row>
  </sheetData>
  <mergeCells count="17">
    <mergeCell ref="E3:E4"/>
    <mergeCell ref="L3:L4"/>
    <mergeCell ref="M3:M4"/>
    <mergeCell ref="A1:N2"/>
    <mergeCell ref="H3:K3"/>
    <mergeCell ref="A3:A4"/>
    <mergeCell ref="C3:C4"/>
    <mergeCell ref="D3:D4"/>
    <mergeCell ref="N3:N4"/>
    <mergeCell ref="G3:G4"/>
    <mergeCell ref="F3:F4"/>
    <mergeCell ref="B3:B4"/>
    <mergeCell ref="A5:K5"/>
    <mergeCell ref="A8:K8"/>
    <mergeCell ref="A12:K12"/>
    <mergeCell ref="A17:K17"/>
    <mergeCell ref="A22:K22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workbookViewId="0">
      <selection sqref="A1:N2"/>
    </sheetView>
  </sheetViews>
  <sheetFormatPr baseColWidth="10" defaultColWidth="9.1640625" defaultRowHeight="13"/>
  <cols>
    <col min="1" max="1" width="7.5" style="12" bestFit="1" customWidth="1"/>
    <col min="2" max="2" width="19.6640625" style="11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1.5" style="3" bestFit="1" customWidth="1"/>
    <col min="8" max="10" width="5.5" style="2" customWidth="1"/>
    <col min="11" max="11" width="4.83203125" style="2" customWidth="1"/>
    <col min="12" max="12" width="10" style="2" customWidth="1"/>
    <col min="13" max="13" width="8.5" style="2" bestFit="1" customWidth="1"/>
    <col min="14" max="14" width="20" style="3" bestFit="1" customWidth="1"/>
    <col min="15" max="16384" width="9.1640625" style="3"/>
  </cols>
  <sheetData>
    <row r="1" spans="1:14" s="2" customFormat="1" ht="29" customHeight="1">
      <c r="A1" s="41" t="s">
        <v>255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46" t="s">
        <v>88</v>
      </c>
      <c r="B3" s="47" t="s">
        <v>0</v>
      </c>
      <c r="C3" s="48" t="s">
        <v>5</v>
      </c>
      <c r="D3" s="48" t="s">
        <v>7</v>
      </c>
      <c r="E3" s="47" t="s">
        <v>89</v>
      </c>
      <c r="F3" s="47" t="s">
        <v>3</v>
      </c>
      <c r="G3" s="47" t="s">
        <v>6</v>
      </c>
      <c r="H3" s="47" t="s">
        <v>191</v>
      </c>
      <c r="I3" s="47"/>
      <c r="J3" s="47"/>
      <c r="K3" s="47"/>
      <c r="L3" s="47" t="s">
        <v>83</v>
      </c>
      <c r="M3" s="47" t="s">
        <v>2</v>
      </c>
      <c r="N3" s="49" t="s">
        <v>1</v>
      </c>
    </row>
    <row r="4" spans="1:14" s="1" customFormat="1" ht="21" customHeight="1" thickBot="1">
      <c r="A4" s="32"/>
      <c r="B4" s="45"/>
      <c r="C4" s="30"/>
      <c r="D4" s="30"/>
      <c r="E4" s="30"/>
      <c r="F4" s="30"/>
      <c r="G4" s="30"/>
      <c r="H4" s="4">
        <v>1</v>
      </c>
      <c r="I4" s="4">
        <v>2</v>
      </c>
      <c r="J4" s="4">
        <v>3</v>
      </c>
      <c r="K4" s="4" t="s">
        <v>4</v>
      </c>
      <c r="L4" s="30"/>
      <c r="M4" s="30"/>
      <c r="N4" s="31"/>
    </row>
    <row r="5" spans="1:14" ht="16">
      <c r="A5" s="29" t="s">
        <v>90</v>
      </c>
      <c r="B5" s="29"/>
      <c r="C5" s="40"/>
      <c r="D5" s="40"/>
      <c r="E5" s="40"/>
      <c r="F5" s="40"/>
      <c r="G5" s="40"/>
      <c r="H5" s="40"/>
      <c r="I5" s="40"/>
      <c r="J5" s="40"/>
      <c r="K5" s="40"/>
    </row>
    <row r="6" spans="1:14">
      <c r="A6" s="33" t="s">
        <v>84</v>
      </c>
      <c r="B6" s="24" t="s">
        <v>192</v>
      </c>
      <c r="C6" s="5" t="s">
        <v>193</v>
      </c>
      <c r="D6" s="5" t="s">
        <v>194</v>
      </c>
      <c r="E6" s="5" t="str">
        <f>"1,2808"</f>
        <v>1,2808</v>
      </c>
      <c r="F6" s="5" t="s">
        <v>14</v>
      </c>
      <c r="G6" s="5" t="s">
        <v>195</v>
      </c>
      <c r="H6" s="14" t="s">
        <v>196</v>
      </c>
      <c r="I6" s="23" t="s">
        <v>134</v>
      </c>
      <c r="J6" s="14" t="s">
        <v>134</v>
      </c>
      <c r="K6" s="13"/>
      <c r="L6" s="13" t="str">
        <f>"115,0"</f>
        <v>115,0</v>
      </c>
      <c r="M6" s="13" t="str">
        <f>"147,2920"</f>
        <v>147,2920</v>
      </c>
      <c r="N6" s="5" t="s">
        <v>27</v>
      </c>
    </row>
    <row r="7" spans="1:14">
      <c r="B7" s="11" t="s">
        <v>85</v>
      </c>
    </row>
    <row r="8" spans="1:14" ht="16">
      <c r="A8" s="29" t="s">
        <v>103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4">
      <c r="A9" s="33" t="s">
        <v>84</v>
      </c>
      <c r="B9" s="24" t="s">
        <v>104</v>
      </c>
      <c r="C9" s="5" t="s">
        <v>105</v>
      </c>
      <c r="D9" s="5" t="s">
        <v>106</v>
      </c>
      <c r="E9" s="5" t="str">
        <f>"0,9103"</f>
        <v>0,9103</v>
      </c>
      <c r="F9" s="5" t="s">
        <v>14</v>
      </c>
      <c r="G9" s="5" t="s">
        <v>107</v>
      </c>
      <c r="H9" s="14" t="s">
        <v>140</v>
      </c>
      <c r="I9" s="14" t="s">
        <v>150</v>
      </c>
      <c r="J9" s="23" t="s">
        <v>197</v>
      </c>
      <c r="K9" s="13"/>
      <c r="L9" s="13" t="str">
        <f>"162,5"</f>
        <v>162,5</v>
      </c>
      <c r="M9" s="13" t="str">
        <f>"147,9238"</f>
        <v>147,9238</v>
      </c>
      <c r="N9" s="5" t="s">
        <v>27</v>
      </c>
    </row>
    <row r="10" spans="1:14">
      <c r="B10" s="11" t="s">
        <v>85</v>
      </c>
    </row>
    <row r="11" spans="1:14" ht="16">
      <c r="A11" s="29" t="s">
        <v>114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4">
      <c r="A12" s="33" t="s">
        <v>84</v>
      </c>
      <c r="B12" s="24" t="s">
        <v>115</v>
      </c>
      <c r="C12" s="5" t="s">
        <v>116</v>
      </c>
      <c r="D12" s="5" t="s">
        <v>117</v>
      </c>
      <c r="E12" s="5" t="str">
        <f>"1,0206"</f>
        <v>1,0206</v>
      </c>
      <c r="F12" s="5" t="s">
        <v>14</v>
      </c>
      <c r="G12" s="5" t="s">
        <v>31</v>
      </c>
      <c r="H12" s="14" t="s">
        <v>134</v>
      </c>
      <c r="I12" s="14" t="s">
        <v>198</v>
      </c>
      <c r="J12" s="23" t="s">
        <v>129</v>
      </c>
      <c r="K12" s="13"/>
      <c r="L12" s="13" t="str">
        <f>"125,0"</f>
        <v>125,0</v>
      </c>
      <c r="M12" s="13" t="str">
        <f>"127,5750"</f>
        <v>127,5750</v>
      </c>
      <c r="N12" s="5" t="s">
        <v>118</v>
      </c>
    </row>
    <row r="13" spans="1:14">
      <c r="B13" s="11" t="s">
        <v>85</v>
      </c>
    </row>
    <row r="14" spans="1:14" ht="16">
      <c r="A14" s="29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4">
      <c r="A15" s="34" t="s">
        <v>84</v>
      </c>
      <c r="B15" s="25" t="s">
        <v>199</v>
      </c>
      <c r="C15" s="7" t="s">
        <v>200</v>
      </c>
      <c r="D15" s="7" t="s">
        <v>201</v>
      </c>
      <c r="E15" s="7" t="str">
        <f>"0,6714"</f>
        <v>0,6714</v>
      </c>
      <c r="F15" s="7" t="s">
        <v>14</v>
      </c>
      <c r="G15" s="7" t="s">
        <v>202</v>
      </c>
      <c r="H15" s="16" t="s">
        <v>38</v>
      </c>
      <c r="I15" s="16" t="s">
        <v>58</v>
      </c>
      <c r="J15" s="20" t="s">
        <v>63</v>
      </c>
      <c r="K15" s="15"/>
      <c r="L15" s="15" t="str">
        <f>"260,0"</f>
        <v>260,0</v>
      </c>
      <c r="M15" s="15" t="str">
        <f>"174,5640"</f>
        <v>174,5640</v>
      </c>
      <c r="N15" s="7" t="s">
        <v>27</v>
      </c>
    </row>
    <row r="16" spans="1:14">
      <c r="A16" s="35" t="s">
        <v>86</v>
      </c>
      <c r="B16" s="26" t="s">
        <v>203</v>
      </c>
      <c r="C16" s="8" t="s">
        <v>204</v>
      </c>
      <c r="D16" s="8" t="s">
        <v>205</v>
      </c>
      <c r="E16" s="8" t="str">
        <f>"0,6709"</f>
        <v>0,6709</v>
      </c>
      <c r="F16" s="8" t="s">
        <v>14</v>
      </c>
      <c r="G16" s="8" t="s">
        <v>37</v>
      </c>
      <c r="H16" s="18" t="s">
        <v>25</v>
      </c>
      <c r="I16" s="18" t="s">
        <v>26</v>
      </c>
      <c r="J16" s="19" t="s">
        <v>38</v>
      </c>
      <c r="K16" s="17"/>
      <c r="L16" s="17" t="str">
        <f>"240,0"</f>
        <v>240,0</v>
      </c>
      <c r="M16" s="17" t="str">
        <f>"161,0160"</f>
        <v>161,0160</v>
      </c>
      <c r="N16" s="8" t="s">
        <v>257</v>
      </c>
    </row>
    <row r="17" spans="1:14">
      <c r="B17" s="11" t="s">
        <v>85</v>
      </c>
    </row>
    <row r="18" spans="1:14" ht="16">
      <c r="A18" s="29" t="s">
        <v>135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4">
      <c r="A19" s="33" t="s">
        <v>84</v>
      </c>
      <c r="B19" s="24" t="s">
        <v>206</v>
      </c>
      <c r="C19" s="5" t="s">
        <v>207</v>
      </c>
      <c r="D19" s="5" t="s">
        <v>208</v>
      </c>
      <c r="E19" s="5" t="str">
        <f>"0,6384"</f>
        <v>0,6384</v>
      </c>
      <c r="F19" s="5" t="s">
        <v>14</v>
      </c>
      <c r="G19" s="5" t="s">
        <v>15</v>
      </c>
      <c r="H19" s="14" t="s">
        <v>69</v>
      </c>
      <c r="I19" s="14" t="s">
        <v>209</v>
      </c>
      <c r="J19" s="23" t="s">
        <v>54</v>
      </c>
      <c r="K19" s="13"/>
      <c r="L19" s="13" t="str">
        <f>"300,0"</f>
        <v>300,0</v>
      </c>
      <c r="M19" s="13" t="str">
        <f>"191,5200"</f>
        <v>191,5200</v>
      </c>
      <c r="N19" s="5" t="s">
        <v>27</v>
      </c>
    </row>
    <row r="20" spans="1:14">
      <c r="B20" s="11" t="s">
        <v>85</v>
      </c>
    </row>
    <row r="21" spans="1:14" ht="16">
      <c r="A21" s="29" t="s">
        <v>19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4">
      <c r="A22" s="34" t="s">
        <v>84</v>
      </c>
      <c r="B22" s="25" t="s">
        <v>210</v>
      </c>
      <c r="C22" s="7" t="s">
        <v>211</v>
      </c>
      <c r="D22" s="7" t="s">
        <v>212</v>
      </c>
      <c r="E22" s="7" t="str">
        <f>"0,6197"</f>
        <v>0,6197</v>
      </c>
      <c r="F22" s="7" t="s">
        <v>14</v>
      </c>
      <c r="G22" s="7" t="s">
        <v>195</v>
      </c>
      <c r="H22" s="16" t="s">
        <v>213</v>
      </c>
      <c r="I22" s="20" t="s">
        <v>214</v>
      </c>
      <c r="J22" s="16" t="s">
        <v>214</v>
      </c>
      <c r="K22" s="15"/>
      <c r="L22" s="15" t="str">
        <f>"340,0"</f>
        <v>340,0</v>
      </c>
      <c r="M22" s="15" t="str">
        <f>"210,6980"</f>
        <v>210,6980</v>
      </c>
      <c r="N22" s="7" t="s">
        <v>27</v>
      </c>
    </row>
    <row r="23" spans="1:14">
      <c r="A23" s="36" t="s">
        <v>86</v>
      </c>
      <c r="B23" s="27" t="s">
        <v>152</v>
      </c>
      <c r="C23" s="9" t="s">
        <v>153</v>
      </c>
      <c r="D23" s="9" t="s">
        <v>30</v>
      </c>
      <c r="E23" s="9" t="str">
        <f>"0,6098"</f>
        <v>0,6098</v>
      </c>
      <c r="F23" s="9" t="s">
        <v>14</v>
      </c>
      <c r="G23" s="9" t="s">
        <v>260</v>
      </c>
      <c r="H23" s="22" t="s">
        <v>38</v>
      </c>
      <c r="I23" s="28" t="s">
        <v>58</v>
      </c>
      <c r="J23" s="22" t="s">
        <v>58</v>
      </c>
      <c r="K23" s="21"/>
      <c r="L23" s="21" t="str">
        <f>"260,0"</f>
        <v>260,0</v>
      </c>
      <c r="M23" s="21" t="str">
        <f>"158,5480"</f>
        <v>158,5480</v>
      </c>
      <c r="N23" s="9" t="s">
        <v>258</v>
      </c>
    </row>
    <row r="24" spans="1:14">
      <c r="A24" s="35" t="s">
        <v>87</v>
      </c>
      <c r="B24" s="26" t="s">
        <v>147</v>
      </c>
      <c r="C24" s="8" t="s">
        <v>148</v>
      </c>
      <c r="D24" s="8" t="s">
        <v>149</v>
      </c>
      <c r="E24" s="8" t="str">
        <f>"0,6086"</f>
        <v>0,6086</v>
      </c>
      <c r="F24" s="8" t="s">
        <v>14</v>
      </c>
      <c r="G24" s="8" t="s">
        <v>31</v>
      </c>
      <c r="H24" s="18" t="s">
        <v>43</v>
      </c>
      <c r="I24" s="18" t="s">
        <v>25</v>
      </c>
      <c r="J24" s="19" t="s">
        <v>38</v>
      </c>
      <c r="K24" s="17"/>
      <c r="L24" s="17" t="str">
        <f>"230,0"</f>
        <v>230,0</v>
      </c>
      <c r="M24" s="17" t="str">
        <f>"139,9780"</f>
        <v>139,9780</v>
      </c>
      <c r="N24" s="8" t="s">
        <v>27</v>
      </c>
    </row>
    <row r="25" spans="1:14">
      <c r="B25" s="11" t="s">
        <v>85</v>
      </c>
    </row>
    <row r="26" spans="1:14" ht="16">
      <c r="A26" s="29" t="s">
        <v>33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4">
      <c r="A27" s="34" t="s">
        <v>84</v>
      </c>
      <c r="B27" s="25" t="s">
        <v>156</v>
      </c>
      <c r="C27" s="7" t="s">
        <v>157</v>
      </c>
      <c r="D27" s="7" t="s">
        <v>158</v>
      </c>
      <c r="E27" s="7" t="str">
        <f>"0,6011"</f>
        <v>0,6011</v>
      </c>
      <c r="F27" s="7" t="s">
        <v>14</v>
      </c>
      <c r="G27" s="7" t="s">
        <v>195</v>
      </c>
      <c r="H27" s="16" t="s">
        <v>178</v>
      </c>
      <c r="I27" s="16" t="s">
        <v>63</v>
      </c>
      <c r="J27" s="20" t="s">
        <v>215</v>
      </c>
      <c r="K27" s="15"/>
      <c r="L27" s="15" t="str">
        <f>"270,0"</f>
        <v>270,0</v>
      </c>
      <c r="M27" s="15" t="str">
        <f>"162,2970"</f>
        <v>162,2970</v>
      </c>
      <c r="N27" s="7" t="s">
        <v>27</v>
      </c>
    </row>
    <row r="28" spans="1:14">
      <c r="A28" s="35" t="s">
        <v>86</v>
      </c>
      <c r="B28" s="26" t="s">
        <v>216</v>
      </c>
      <c r="C28" s="8" t="s">
        <v>217</v>
      </c>
      <c r="D28" s="8" t="s">
        <v>218</v>
      </c>
      <c r="E28" s="8" t="str">
        <f>"0,5895"</f>
        <v>0,5895</v>
      </c>
      <c r="F28" s="8" t="s">
        <v>14</v>
      </c>
      <c r="G28" s="8" t="s">
        <v>31</v>
      </c>
      <c r="H28" s="18" t="s">
        <v>58</v>
      </c>
      <c r="I28" s="19" t="s">
        <v>69</v>
      </c>
      <c r="J28" s="19" t="s">
        <v>69</v>
      </c>
      <c r="K28" s="17"/>
      <c r="L28" s="17" t="str">
        <f>"260,0"</f>
        <v>260,0</v>
      </c>
      <c r="M28" s="17" t="str">
        <f>"153,2700"</f>
        <v>153,2700</v>
      </c>
      <c r="N28" s="8" t="s">
        <v>219</v>
      </c>
    </row>
    <row r="29" spans="1:14">
      <c r="B29" s="11" t="s">
        <v>85</v>
      </c>
    </row>
    <row r="30" spans="1:14" ht="16">
      <c r="B30" s="11" t="s">
        <v>85</v>
      </c>
      <c r="F30" s="37"/>
    </row>
    <row r="31" spans="1:14">
      <c r="B31" s="11" t="s">
        <v>85</v>
      </c>
    </row>
    <row r="32" spans="1:14" ht="18">
      <c r="B32" s="38" t="s">
        <v>71</v>
      </c>
      <c r="C32" s="38"/>
    </row>
    <row r="33" spans="2:6" ht="16">
      <c r="B33" s="6" t="s">
        <v>72</v>
      </c>
      <c r="C33" s="6"/>
    </row>
    <row r="34" spans="2:6" ht="14">
      <c r="B34" s="39"/>
      <c r="C34" s="39" t="s">
        <v>73</v>
      </c>
    </row>
    <row r="35" spans="2:6" ht="14">
      <c r="B35" s="10" t="s">
        <v>74</v>
      </c>
      <c r="C35" s="10" t="s">
        <v>75</v>
      </c>
      <c r="D35" s="10" t="s">
        <v>259</v>
      </c>
      <c r="E35" s="10" t="s">
        <v>83</v>
      </c>
      <c r="F35" s="10" t="s">
        <v>180</v>
      </c>
    </row>
    <row r="36" spans="2:6">
      <c r="B36" s="3" t="s">
        <v>210</v>
      </c>
      <c r="C36" s="11" t="s">
        <v>73</v>
      </c>
      <c r="D36" s="12" t="s">
        <v>188</v>
      </c>
      <c r="E36" s="12" t="s">
        <v>214</v>
      </c>
      <c r="F36" s="12" t="s">
        <v>220</v>
      </c>
    </row>
    <row r="37" spans="2:6">
      <c r="B37" s="3" t="s">
        <v>206</v>
      </c>
      <c r="C37" s="11" t="s">
        <v>73</v>
      </c>
      <c r="D37" s="12" t="s">
        <v>221</v>
      </c>
      <c r="E37" s="12" t="s">
        <v>209</v>
      </c>
      <c r="F37" s="12" t="s">
        <v>222</v>
      </c>
    </row>
    <row r="38" spans="2:6">
      <c r="B38" s="3" t="s">
        <v>199</v>
      </c>
      <c r="C38" s="11" t="s">
        <v>73</v>
      </c>
      <c r="D38" s="12" t="s">
        <v>81</v>
      </c>
      <c r="E38" s="12" t="s">
        <v>58</v>
      </c>
      <c r="F38" s="12" t="s">
        <v>223</v>
      </c>
    </row>
    <row r="39" spans="2:6">
      <c r="B39" s="11" t="s">
        <v>85</v>
      </c>
    </row>
  </sheetData>
  <mergeCells count="19">
    <mergeCell ref="A1:N2"/>
    <mergeCell ref="A3:A4"/>
    <mergeCell ref="C3:C4"/>
    <mergeCell ref="D3:D4"/>
    <mergeCell ref="E3:E4"/>
    <mergeCell ref="F3:F4"/>
    <mergeCell ref="G3:G4"/>
    <mergeCell ref="H3:K3"/>
    <mergeCell ref="A26:K26"/>
    <mergeCell ref="L3:L4"/>
    <mergeCell ref="M3:M4"/>
    <mergeCell ref="N3:N4"/>
    <mergeCell ref="A5:K5"/>
    <mergeCell ref="B3:B4"/>
    <mergeCell ref="A8:K8"/>
    <mergeCell ref="A11:K11"/>
    <mergeCell ref="A14:K14"/>
    <mergeCell ref="A18:K18"/>
    <mergeCell ref="A21:K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workbookViewId="0">
      <selection sqref="A1:N2"/>
    </sheetView>
  </sheetViews>
  <sheetFormatPr baseColWidth="10" defaultColWidth="9.1640625" defaultRowHeight="13"/>
  <cols>
    <col min="1" max="1" width="7.5" style="12" bestFit="1" customWidth="1"/>
    <col min="2" max="2" width="18.5" style="11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22.6640625" style="3" bestFit="1" customWidth="1"/>
    <col min="7" max="7" width="30" style="3" bestFit="1" customWidth="1"/>
    <col min="8" max="10" width="5.5" style="2" customWidth="1"/>
    <col min="11" max="11" width="4.83203125" style="2" customWidth="1"/>
    <col min="12" max="12" width="10.5" style="2" bestFit="1" customWidth="1"/>
    <col min="13" max="13" width="7.5" style="2" bestFit="1" customWidth="1"/>
    <col min="14" max="14" width="15.6640625" style="3" bestFit="1" customWidth="1"/>
    <col min="15" max="16384" width="9.1640625" style="3"/>
  </cols>
  <sheetData>
    <row r="1" spans="1:14" s="2" customFormat="1" ht="29" customHeight="1">
      <c r="A1" s="41" t="s">
        <v>256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s="2" customFormat="1" ht="62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s="1" customFormat="1" ht="12.75" customHeight="1">
      <c r="A3" s="46" t="s">
        <v>88</v>
      </c>
      <c r="B3" s="47" t="s">
        <v>0</v>
      </c>
      <c r="C3" s="48" t="s">
        <v>5</v>
      </c>
      <c r="D3" s="48" t="s">
        <v>7</v>
      </c>
      <c r="E3" s="47" t="s">
        <v>8</v>
      </c>
      <c r="F3" s="47" t="s">
        <v>3</v>
      </c>
      <c r="G3" s="47" t="s">
        <v>6</v>
      </c>
      <c r="H3" s="47" t="s">
        <v>224</v>
      </c>
      <c r="I3" s="47"/>
      <c r="J3" s="47"/>
      <c r="K3" s="47"/>
      <c r="L3" s="47" t="s">
        <v>83</v>
      </c>
      <c r="M3" s="47" t="s">
        <v>2</v>
      </c>
      <c r="N3" s="49" t="s">
        <v>1</v>
      </c>
    </row>
    <row r="4" spans="1:14" s="1" customFormat="1" ht="21" customHeight="1" thickBot="1">
      <c r="A4" s="32"/>
      <c r="B4" s="45"/>
      <c r="C4" s="30"/>
      <c r="D4" s="30"/>
      <c r="E4" s="30"/>
      <c r="F4" s="30"/>
      <c r="G4" s="30"/>
      <c r="H4" s="4">
        <v>1</v>
      </c>
      <c r="I4" s="4">
        <v>2</v>
      </c>
      <c r="J4" s="4">
        <v>3</v>
      </c>
      <c r="K4" s="4" t="s">
        <v>4</v>
      </c>
      <c r="L4" s="30"/>
      <c r="M4" s="30"/>
      <c r="N4" s="31"/>
    </row>
    <row r="5" spans="1:14" ht="16">
      <c r="A5" s="29" t="s">
        <v>90</v>
      </c>
      <c r="B5" s="29"/>
      <c r="C5" s="40"/>
      <c r="D5" s="40"/>
      <c r="E5" s="40"/>
      <c r="F5" s="40"/>
      <c r="G5" s="40"/>
      <c r="H5" s="40"/>
      <c r="I5" s="40"/>
      <c r="J5" s="40"/>
      <c r="K5" s="40"/>
    </row>
    <row r="6" spans="1:14">
      <c r="A6" s="33" t="s">
        <v>84</v>
      </c>
      <c r="B6" s="24" t="s">
        <v>97</v>
      </c>
      <c r="C6" s="5" t="s">
        <v>98</v>
      </c>
      <c r="D6" s="5" t="s">
        <v>99</v>
      </c>
      <c r="E6" s="5" t="str">
        <f>"1,1264"</f>
        <v>1,1264</v>
      </c>
      <c r="F6" s="5" t="s">
        <v>14</v>
      </c>
      <c r="G6" s="5" t="s">
        <v>15</v>
      </c>
      <c r="H6" s="14" t="s">
        <v>225</v>
      </c>
      <c r="I6" s="13"/>
      <c r="J6" s="13"/>
      <c r="K6" s="13"/>
      <c r="L6" s="13" t="str">
        <f>"35,0"</f>
        <v>35,0</v>
      </c>
      <c r="M6" s="13" t="str">
        <f>"39,4240"</f>
        <v>39,4240</v>
      </c>
      <c r="N6" s="5" t="s">
        <v>262</v>
      </c>
    </row>
    <row r="7" spans="1:14">
      <c r="B7" s="11" t="s">
        <v>85</v>
      </c>
    </row>
    <row r="8" spans="1:14" ht="16">
      <c r="A8" s="29" t="s">
        <v>10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4">
      <c r="A9" s="33" t="s">
        <v>84</v>
      </c>
      <c r="B9" s="24" t="s">
        <v>119</v>
      </c>
      <c r="C9" s="5" t="s">
        <v>120</v>
      </c>
      <c r="D9" s="5" t="s">
        <v>121</v>
      </c>
      <c r="E9" s="5" t="str">
        <f>"0,8062"</f>
        <v>0,8062</v>
      </c>
      <c r="F9" s="5" t="s">
        <v>14</v>
      </c>
      <c r="G9" s="5" t="s">
        <v>122</v>
      </c>
      <c r="H9" s="14" t="s">
        <v>226</v>
      </c>
      <c r="I9" s="23" t="s">
        <v>227</v>
      </c>
      <c r="J9" s="23" t="s">
        <v>227</v>
      </c>
      <c r="K9" s="13"/>
      <c r="L9" s="13" t="str">
        <f>"40,0"</f>
        <v>40,0</v>
      </c>
      <c r="M9" s="13" t="str">
        <f>"32,2500"</f>
        <v>32,2500</v>
      </c>
      <c r="N9" s="5" t="s">
        <v>27</v>
      </c>
    </row>
    <row r="10" spans="1:14">
      <c r="B10" s="11" t="s">
        <v>85</v>
      </c>
    </row>
    <row r="11" spans="1:14" ht="16">
      <c r="A11" s="29" t="s">
        <v>114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4">
      <c r="A12" s="33" t="s">
        <v>84</v>
      </c>
      <c r="B12" s="24" t="s">
        <v>228</v>
      </c>
      <c r="C12" s="5" t="s">
        <v>229</v>
      </c>
      <c r="D12" s="5" t="s">
        <v>230</v>
      </c>
      <c r="E12" s="5" t="str">
        <f>"0,7650"</f>
        <v>0,7650</v>
      </c>
      <c r="F12" s="5" t="s">
        <v>14</v>
      </c>
      <c r="G12" s="5" t="s">
        <v>23</v>
      </c>
      <c r="H12" s="14" t="s">
        <v>101</v>
      </c>
      <c r="I12" s="14" t="s">
        <v>102</v>
      </c>
      <c r="J12" s="14" t="s">
        <v>95</v>
      </c>
      <c r="K12" s="13"/>
      <c r="L12" s="13" t="str">
        <f>"60,0"</f>
        <v>60,0</v>
      </c>
      <c r="M12" s="13" t="str">
        <f>"45,9030"</f>
        <v>45,9030</v>
      </c>
      <c r="N12" s="5" t="s">
        <v>27</v>
      </c>
    </row>
    <row r="13" spans="1:14">
      <c r="B13" s="11" t="s">
        <v>85</v>
      </c>
    </row>
    <row r="14" spans="1:14" ht="16">
      <c r="A14" s="29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4">
      <c r="A15" s="34" t="s">
        <v>84</v>
      </c>
      <c r="B15" s="25" t="s">
        <v>231</v>
      </c>
      <c r="C15" s="7" t="s">
        <v>232</v>
      </c>
      <c r="D15" s="7" t="s">
        <v>233</v>
      </c>
      <c r="E15" s="7" t="str">
        <f>"0,6446"</f>
        <v>0,6446</v>
      </c>
      <c r="F15" s="7" t="s">
        <v>14</v>
      </c>
      <c r="G15" s="7" t="s">
        <v>31</v>
      </c>
      <c r="H15" s="16" t="s">
        <v>101</v>
      </c>
      <c r="I15" s="16" t="s">
        <v>94</v>
      </c>
      <c r="J15" s="16" t="s">
        <v>234</v>
      </c>
      <c r="K15" s="15"/>
      <c r="L15" s="15" t="str">
        <f>"62,5"</f>
        <v>62,5</v>
      </c>
      <c r="M15" s="15" t="str">
        <f>"40,2875"</f>
        <v>40,2875</v>
      </c>
      <c r="N15" s="7" t="s">
        <v>27</v>
      </c>
    </row>
    <row r="16" spans="1:14">
      <c r="A16" s="35" t="s">
        <v>86</v>
      </c>
      <c r="B16" s="26" t="s">
        <v>11</v>
      </c>
      <c r="C16" s="8" t="s">
        <v>12</v>
      </c>
      <c r="D16" s="8" t="s">
        <v>13</v>
      </c>
      <c r="E16" s="8" t="str">
        <f>"0,8095"</f>
        <v>0,8095</v>
      </c>
      <c r="F16" s="8" t="s">
        <v>14</v>
      </c>
      <c r="G16" s="8" t="s">
        <v>15</v>
      </c>
      <c r="H16" s="18" t="s">
        <v>235</v>
      </c>
      <c r="I16" s="18" t="s">
        <v>101</v>
      </c>
      <c r="J16" s="18" t="s">
        <v>236</v>
      </c>
      <c r="K16" s="17"/>
      <c r="L16" s="17" t="str">
        <f>"52,5"</f>
        <v>52,5</v>
      </c>
      <c r="M16" s="17" t="str">
        <f>"42,5014"</f>
        <v>42,5014</v>
      </c>
      <c r="N16" s="8" t="s">
        <v>27</v>
      </c>
    </row>
    <row r="17" spans="1:14">
      <c r="B17" s="11" t="s">
        <v>85</v>
      </c>
    </row>
    <row r="18" spans="1:14" ht="16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4">
      <c r="A19" s="34" t="s">
        <v>84</v>
      </c>
      <c r="B19" s="25" t="s">
        <v>237</v>
      </c>
      <c r="C19" s="7" t="s">
        <v>238</v>
      </c>
      <c r="D19" s="7" t="s">
        <v>239</v>
      </c>
      <c r="E19" s="7" t="str">
        <f>"0,5861"</f>
        <v>0,5861</v>
      </c>
      <c r="F19" s="7" t="s">
        <v>14</v>
      </c>
      <c r="G19" s="7" t="s">
        <v>240</v>
      </c>
      <c r="H19" s="16" t="s">
        <v>241</v>
      </c>
      <c r="I19" s="20" t="s">
        <v>242</v>
      </c>
      <c r="J19" s="20" t="s">
        <v>242</v>
      </c>
      <c r="K19" s="15"/>
      <c r="L19" s="15" t="str">
        <f>"90,0"</f>
        <v>90,0</v>
      </c>
      <c r="M19" s="15" t="str">
        <f>"52,7535"</f>
        <v>52,7535</v>
      </c>
      <c r="N19" s="7" t="s">
        <v>27</v>
      </c>
    </row>
    <row r="20" spans="1:14">
      <c r="A20" s="35" t="s">
        <v>86</v>
      </c>
      <c r="B20" s="26" t="s">
        <v>243</v>
      </c>
      <c r="C20" s="8" t="s">
        <v>244</v>
      </c>
      <c r="D20" s="8" t="s">
        <v>245</v>
      </c>
      <c r="E20" s="8" t="str">
        <f>"0,5867"</f>
        <v>0,5867</v>
      </c>
      <c r="F20" s="8" t="s">
        <v>14</v>
      </c>
      <c r="G20" s="8" t="s">
        <v>15</v>
      </c>
      <c r="H20" s="18" t="s">
        <v>234</v>
      </c>
      <c r="I20" s="19" t="s">
        <v>109</v>
      </c>
      <c r="J20" s="19" t="s">
        <v>109</v>
      </c>
      <c r="K20" s="17"/>
      <c r="L20" s="17" t="str">
        <f>"62,5"</f>
        <v>62,5</v>
      </c>
      <c r="M20" s="17" t="str">
        <f>"36,6656"</f>
        <v>36,6656</v>
      </c>
      <c r="N20" s="8" t="s">
        <v>27</v>
      </c>
    </row>
    <row r="21" spans="1:14">
      <c r="B21" s="11" t="s">
        <v>85</v>
      </c>
    </row>
    <row r="22" spans="1:14" ht="16">
      <c r="A22" s="29" t="s">
        <v>49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4">
      <c r="A23" s="34" t="s">
        <v>84</v>
      </c>
      <c r="B23" s="25" t="s">
        <v>167</v>
      </c>
      <c r="C23" s="7" t="s">
        <v>168</v>
      </c>
      <c r="D23" s="7" t="s">
        <v>169</v>
      </c>
      <c r="E23" s="7" t="str">
        <f>"0,5528"</f>
        <v>0,5528</v>
      </c>
      <c r="F23" s="7" t="s">
        <v>14</v>
      </c>
      <c r="G23" s="7" t="s">
        <v>170</v>
      </c>
      <c r="H23" s="16" t="s">
        <v>246</v>
      </c>
      <c r="I23" s="20" t="s">
        <v>247</v>
      </c>
      <c r="J23" s="16" t="s">
        <v>247</v>
      </c>
      <c r="K23" s="15"/>
      <c r="L23" s="15" t="str">
        <f>"107,5"</f>
        <v>107,5</v>
      </c>
      <c r="M23" s="15" t="str">
        <f>"59,4260"</f>
        <v>59,4260</v>
      </c>
      <c r="N23" s="7" t="s">
        <v>27</v>
      </c>
    </row>
    <row r="24" spans="1:14">
      <c r="A24" s="36" t="s">
        <v>86</v>
      </c>
      <c r="B24" s="27" t="s">
        <v>50</v>
      </c>
      <c r="C24" s="9" t="s">
        <v>51</v>
      </c>
      <c r="D24" s="9" t="s">
        <v>52</v>
      </c>
      <c r="E24" s="9" t="str">
        <f>"0,5462"</f>
        <v>0,5462</v>
      </c>
      <c r="F24" s="9" t="s">
        <v>14</v>
      </c>
      <c r="G24" s="9" t="s">
        <v>31</v>
      </c>
      <c r="H24" s="22" t="s">
        <v>248</v>
      </c>
      <c r="I24" s="22" t="s">
        <v>241</v>
      </c>
      <c r="J24" s="28" t="s">
        <v>246</v>
      </c>
      <c r="K24" s="21"/>
      <c r="L24" s="21" t="str">
        <f>"90,0"</f>
        <v>90,0</v>
      </c>
      <c r="M24" s="21" t="str">
        <f>"49,1535"</f>
        <v>49,1535</v>
      </c>
      <c r="N24" s="9" t="s">
        <v>27</v>
      </c>
    </row>
    <row r="25" spans="1:14">
      <c r="A25" s="35" t="s">
        <v>87</v>
      </c>
      <c r="B25" s="26" t="s">
        <v>171</v>
      </c>
      <c r="C25" s="8" t="s">
        <v>172</v>
      </c>
      <c r="D25" s="8" t="s">
        <v>173</v>
      </c>
      <c r="E25" s="8" t="str">
        <f>"0,5556"</f>
        <v>0,5556</v>
      </c>
      <c r="F25" s="8" t="s">
        <v>14</v>
      </c>
      <c r="G25" s="8" t="s">
        <v>31</v>
      </c>
      <c r="H25" s="18" t="s">
        <v>109</v>
      </c>
      <c r="I25" s="18" t="s">
        <v>123</v>
      </c>
      <c r="J25" s="18" t="s">
        <v>249</v>
      </c>
      <c r="K25" s="17"/>
      <c r="L25" s="17" t="str">
        <f>"82,5"</f>
        <v>82,5</v>
      </c>
      <c r="M25" s="17" t="str">
        <f>"45,8370"</f>
        <v>45,8370</v>
      </c>
      <c r="N25" s="8" t="s">
        <v>27</v>
      </c>
    </row>
    <row r="26" spans="1:14">
      <c r="B26" s="11" t="s">
        <v>85</v>
      </c>
    </row>
    <row r="27" spans="1:14" ht="16">
      <c r="A27" s="29" t="s">
        <v>64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4">
      <c r="A28" s="33" t="s">
        <v>84</v>
      </c>
      <c r="B28" s="24" t="s">
        <v>65</v>
      </c>
      <c r="C28" s="5" t="s">
        <v>66</v>
      </c>
      <c r="D28" s="5" t="s">
        <v>67</v>
      </c>
      <c r="E28" s="5" t="str">
        <f>"0,5440"</f>
        <v>0,5440</v>
      </c>
      <c r="F28" s="5" t="s">
        <v>14</v>
      </c>
      <c r="G28" s="5" t="s">
        <v>68</v>
      </c>
      <c r="H28" s="14" t="s">
        <v>242</v>
      </c>
      <c r="I28" s="14" t="s">
        <v>246</v>
      </c>
      <c r="J28" s="23" t="s">
        <v>196</v>
      </c>
      <c r="K28" s="13"/>
      <c r="L28" s="13" t="str">
        <f>"100,0"</f>
        <v>100,0</v>
      </c>
      <c r="M28" s="13" t="str">
        <f>"54,3980"</f>
        <v>54,3980</v>
      </c>
      <c r="N28" s="5" t="s">
        <v>27</v>
      </c>
    </row>
    <row r="29" spans="1:14">
      <c r="B29" s="11" t="s">
        <v>85</v>
      </c>
    </row>
    <row r="30" spans="1:14" ht="16">
      <c r="B30" s="11" t="s">
        <v>85</v>
      </c>
      <c r="F30" s="37"/>
    </row>
    <row r="31" spans="1:14">
      <c r="B31" s="11" t="s">
        <v>85</v>
      </c>
    </row>
    <row r="32" spans="1:14" ht="18">
      <c r="B32" s="38" t="s">
        <v>71</v>
      </c>
      <c r="C32" s="38"/>
    </row>
    <row r="33" spans="2:6" ht="16">
      <c r="B33" s="6" t="s">
        <v>72</v>
      </c>
      <c r="C33" s="6"/>
    </row>
    <row r="34" spans="2:6" ht="14">
      <c r="B34" s="39"/>
      <c r="C34" s="39" t="s">
        <v>73</v>
      </c>
    </row>
    <row r="35" spans="2:6" ht="14">
      <c r="B35" s="10" t="s">
        <v>74</v>
      </c>
      <c r="C35" s="10" t="s">
        <v>75</v>
      </c>
      <c r="D35" s="10" t="s">
        <v>259</v>
      </c>
      <c r="E35" s="10" t="s">
        <v>83</v>
      </c>
      <c r="F35" s="10" t="s">
        <v>76</v>
      </c>
    </row>
    <row r="36" spans="2:6">
      <c r="B36" s="3" t="s">
        <v>167</v>
      </c>
      <c r="C36" s="11" t="s">
        <v>73</v>
      </c>
      <c r="D36" s="12" t="s">
        <v>77</v>
      </c>
      <c r="E36" s="12" t="s">
        <v>247</v>
      </c>
      <c r="F36" s="12" t="s">
        <v>250</v>
      </c>
    </row>
    <row r="37" spans="2:6">
      <c r="B37" s="3" t="s">
        <v>65</v>
      </c>
      <c r="C37" s="11" t="s">
        <v>73</v>
      </c>
      <c r="D37" s="12" t="s">
        <v>79</v>
      </c>
      <c r="E37" s="12" t="s">
        <v>246</v>
      </c>
      <c r="F37" s="12" t="s">
        <v>251</v>
      </c>
    </row>
    <row r="38" spans="2:6">
      <c r="B38" s="3" t="s">
        <v>237</v>
      </c>
      <c r="C38" s="11" t="s">
        <v>73</v>
      </c>
      <c r="D38" s="12" t="s">
        <v>188</v>
      </c>
      <c r="E38" s="12" t="s">
        <v>241</v>
      </c>
      <c r="F38" s="12" t="s">
        <v>252</v>
      </c>
    </row>
    <row r="39" spans="2:6">
      <c r="B39" s="11" t="s">
        <v>85</v>
      </c>
    </row>
  </sheetData>
  <mergeCells count="19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27:K27"/>
    <mergeCell ref="B3:B4"/>
    <mergeCell ref="A8:K8"/>
    <mergeCell ref="A11:K11"/>
    <mergeCell ref="A14:K14"/>
    <mergeCell ref="A18:K18"/>
    <mergeCell ref="A22:K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CD94-5C2C-9A44-94C0-941E96ABE35A}">
  <dimension ref="A1:B9"/>
  <sheetViews>
    <sheetView workbookViewId="0">
      <selection sqref="A1:B2"/>
    </sheetView>
  </sheetViews>
  <sheetFormatPr baseColWidth="10" defaultRowHeight="13"/>
  <cols>
    <col min="1" max="1" width="29.1640625" customWidth="1"/>
    <col min="2" max="2" width="29" customWidth="1"/>
  </cols>
  <sheetData>
    <row r="1" spans="1:2" ht="39" customHeight="1">
      <c r="A1" s="53" t="s">
        <v>264</v>
      </c>
      <c r="B1" s="54"/>
    </row>
    <row r="2" spans="1:2" ht="31" customHeight="1">
      <c r="A2" s="55"/>
      <c r="B2" s="56"/>
    </row>
    <row r="4" spans="1:2">
      <c r="A4" t="s">
        <v>265</v>
      </c>
      <c r="B4" t="s">
        <v>268</v>
      </c>
    </row>
    <row r="5" spans="1:2">
      <c r="A5" t="s">
        <v>266</v>
      </c>
      <c r="B5" t="s">
        <v>268</v>
      </c>
    </row>
    <row r="6" spans="1:2">
      <c r="A6" t="s">
        <v>70</v>
      </c>
      <c r="B6" t="s">
        <v>269</v>
      </c>
    </row>
    <row r="7" spans="1:2">
      <c r="A7" t="s">
        <v>267</v>
      </c>
      <c r="B7" t="s">
        <v>270</v>
      </c>
    </row>
    <row r="8" spans="1:2">
      <c r="B8" t="s">
        <v>271</v>
      </c>
    </row>
    <row r="9" spans="1:2">
      <c r="B9" t="s">
        <v>272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WRPF Жим лежа без экип</vt:lpstr>
      <vt:lpstr>WEPF Жим софт однопетельная</vt:lpstr>
      <vt:lpstr>WRPF Тяга без экипировки</vt:lpstr>
      <vt:lpstr>WRPF Подъем на бицепс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2020-06-29T11:36:55Z</dcterms:modified>
</cp:coreProperties>
</file>