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Февраль/"/>
    </mc:Choice>
  </mc:AlternateContent>
  <xr:revisionPtr revIDLastSave="0" documentId="13_ncr:1_{FDEC9512-88A7-AD40-8041-7186DC365AD7}" xr6:coauthVersionLast="45" xr6:coauthVersionMax="45" xr10:uidLastSave="{00000000-0000-0000-0000-000000000000}"/>
  <bookViews>
    <workbookView xWindow="1560" yWindow="460" windowWidth="24820" windowHeight="14960" xr2:uid="{00000000-000D-0000-FFFF-FFFF00000000}"/>
  </bookViews>
  <sheets>
    <sheet name="WRPF ПЛ без экипировки ДК" sheetId="8" r:id="rId1"/>
    <sheet name="WRPF ПЛ без экипировки" sheetId="7" r:id="rId2"/>
    <sheet name="WRPF ПЛ в бинтах ДК" sheetId="6" r:id="rId3"/>
    <sheet name="WRPF ПЛ в бинтах" sheetId="5" r:id="rId4"/>
    <sheet name="WRPF Двоеборье без экип ДК" sheetId="14" r:id="rId5"/>
    <sheet name="WRPF Двоеборье без экип" sheetId="13" r:id="rId6"/>
    <sheet name="WRPF Жим лежа без экип ДК" sheetId="10" r:id="rId7"/>
    <sheet name="WRPF Жим лежа без экип" sheetId="9" r:id="rId8"/>
    <sheet name="WRPF Тяга без экипировки ДК" sheetId="12" r:id="rId9"/>
    <sheet name="WRPF Тяга без экипировки" sheetId="11" r:id="rId10"/>
    <sheet name="WRPF Подъем на бицепс ДК" sheetId="20" r:id="rId11"/>
    <sheet name="WRPF Подъем на бицепс" sheetId="19" r:id="rId12"/>
  </sheets>
  <definedNames>
    <definedName name="_FilterDatabase" localSheetId="3" hidden="1">'WRPF ПЛ в бинтах'!$A$1:$S$3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" i="20" l="1"/>
  <c r="K14" i="20"/>
  <c r="L11" i="20"/>
  <c r="K11" i="20"/>
  <c r="L10" i="20"/>
  <c r="K10" i="20"/>
  <c r="L9" i="20"/>
  <c r="K9" i="20"/>
  <c r="L6" i="20"/>
  <c r="K6" i="20"/>
  <c r="L23" i="19"/>
  <c r="K23" i="19"/>
  <c r="L22" i="19"/>
  <c r="K22" i="19"/>
  <c r="L19" i="19"/>
  <c r="K19" i="19"/>
  <c r="L16" i="19"/>
  <c r="K16" i="19"/>
  <c r="L13" i="19"/>
  <c r="K13" i="19"/>
  <c r="L10" i="19"/>
  <c r="K10" i="19"/>
  <c r="L9" i="19"/>
  <c r="K9" i="19"/>
  <c r="L6" i="19"/>
  <c r="K6" i="19"/>
  <c r="P6" i="14"/>
  <c r="O6" i="14"/>
  <c r="P12" i="13"/>
  <c r="O12" i="13"/>
  <c r="P9" i="13"/>
  <c r="O9" i="13"/>
  <c r="P6" i="13"/>
  <c r="O6" i="13"/>
  <c r="L37" i="12"/>
  <c r="K37" i="12"/>
  <c r="L34" i="12"/>
  <c r="K34" i="12"/>
  <c r="L31" i="12"/>
  <c r="K31" i="12"/>
  <c r="L30" i="12"/>
  <c r="K30" i="12"/>
  <c r="L29" i="12"/>
  <c r="K29" i="12"/>
  <c r="L28" i="12"/>
  <c r="K28" i="12"/>
  <c r="L25" i="12"/>
  <c r="K25" i="12"/>
  <c r="L24" i="12"/>
  <c r="K24" i="12"/>
  <c r="L23" i="12"/>
  <c r="K23" i="12"/>
  <c r="L20" i="12"/>
  <c r="K20" i="12"/>
  <c r="L19" i="12"/>
  <c r="K19" i="12"/>
  <c r="L16" i="12"/>
  <c r="K16" i="12"/>
  <c r="L13" i="12"/>
  <c r="K13" i="12"/>
  <c r="L10" i="12"/>
  <c r="K10" i="12"/>
  <c r="L9" i="12"/>
  <c r="K9" i="12"/>
  <c r="L6" i="12"/>
  <c r="K6" i="12"/>
  <c r="L19" i="11"/>
  <c r="K19" i="11"/>
  <c r="L16" i="11"/>
  <c r="K16" i="11"/>
  <c r="L13" i="11"/>
  <c r="K13" i="11"/>
  <c r="L12" i="11"/>
  <c r="K12" i="11"/>
  <c r="L9" i="11"/>
  <c r="K9" i="11"/>
  <c r="L6" i="11"/>
  <c r="K6" i="11"/>
  <c r="L36" i="10"/>
  <c r="K36" i="10"/>
  <c r="L33" i="10"/>
  <c r="K33" i="10"/>
  <c r="L32" i="10"/>
  <c r="K32" i="10"/>
  <c r="L29" i="10"/>
  <c r="K29" i="10"/>
  <c r="L26" i="10"/>
  <c r="L25" i="10"/>
  <c r="K25" i="10"/>
  <c r="L22" i="10"/>
  <c r="K22" i="10"/>
  <c r="L21" i="10"/>
  <c r="K21" i="10"/>
  <c r="L18" i="10"/>
  <c r="K18" i="10"/>
  <c r="L15" i="10"/>
  <c r="K15" i="10"/>
  <c r="L12" i="10"/>
  <c r="K12" i="10"/>
  <c r="L9" i="10"/>
  <c r="K9" i="10"/>
  <c r="L6" i="10"/>
  <c r="K6" i="10"/>
  <c r="L30" i="9"/>
  <c r="K30" i="9"/>
  <c r="L29" i="9"/>
  <c r="K29" i="9"/>
  <c r="L28" i="9"/>
  <c r="K28" i="9"/>
  <c r="L25" i="9"/>
  <c r="K25" i="9"/>
  <c r="L24" i="9"/>
  <c r="K24" i="9"/>
  <c r="L23" i="9"/>
  <c r="K23" i="9"/>
  <c r="L20" i="9"/>
  <c r="K20" i="9"/>
  <c r="L19" i="9"/>
  <c r="K19" i="9"/>
  <c r="L18" i="9"/>
  <c r="K18" i="9"/>
  <c r="L15" i="9"/>
  <c r="K15" i="9"/>
  <c r="L12" i="9"/>
  <c r="K12" i="9"/>
  <c r="L9" i="9"/>
  <c r="K9" i="9"/>
  <c r="L6" i="9"/>
  <c r="K6" i="9"/>
  <c r="T41" i="8"/>
  <c r="S41" i="8"/>
  <c r="T40" i="8"/>
  <c r="S40" i="8"/>
  <c r="T37" i="8"/>
  <c r="S37" i="8"/>
  <c r="T36" i="8"/>
  <c r="S36" i="8"/>
  <c r="T35" i="8"/>
  <c r="S35" i="8"/>
  <c r="T34" i="8"/>
  <c r="S34" i="8"/>
  <c r="T31" i="8"/>
  <c r="S31" i="8"/>
  <c r="T30" i="8"/>
  <c r="S30" i="8"/>
  <c r="T27" i="8"/>
  <c r="S27" i="8"/>
  <c r="T26" i="8"/>
  <c r="S26" i="8"/>
  <c r="T25" i="8"/>
  <c r="S25" i="8"/>
  <c r="T22" i="8"/>
  <c r="S22" i="8"/>
  <c r="T19" i="8"/>
  <c r="S19" i="8"/>
  <c r="T18" i="8"/>
  <c r="S18" i="8"/>
  <c r="T17" i="8"/>
  <c r="S17" i="8"/>
  <c r="T14" i="8"/>
  <c r="S14" i="8"/>
  <c r="T13" i="8"/>
  <c r="S13" i="8"/>
  <c r="T10" i="8"/>
  <c r="S10" i="8"/>
  <c r="T9" i="8"/>
  <c r="S9" i="8"/>
  <c r="T6" i="8"/>
  <c r="S6" i="8"/>
  <c r="T18" i="7"/>
  <c r="S18" i="7"/>
  <c r="T17" i="7"/>
  <c r="S17" i="7"/>
  <c r="T16" i="7"/>
  <c r="S16" i="7"/>
  <c r="T13" i="7"/>
  <c r="S13" i="7"/>
  <c r="T12" i="7"/>
  <c r="S12" i="7"/>
  <c r="T9" i="7"/>
  <c r="S9" i="7"/>
  <c r="T6" i="7"/>
  <c r="S6" i="7"/>
  <c r="T6" i="6"/>
  <c r="S6" i="6"/>
  <c r="T12" i="5"/>
  <c r="S12" i="5"/>
  <c r="T9" i="5"/>
  <c r="S9" i="5"/>
  <c r="T6" i="5"/>
  <c r="S6" i="5"/>
</calcChain>
</file>

<file path=xl/sharedStrings.xml><?xml version="1.0" encoding="utf-8"?>
<sst xmlns="http://schemas.openxmlformats.org/spreadsheetml/2006/main" count="1563" uniqueCount="469">
  <si>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</si>
  <si>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</si>
  <si>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</si>
  <si>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</si>
  <si>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</si>
  <si>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</si>
  <si>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</si>
  <si>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</si>
  <si>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</si>
  <si>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</si>
  <si>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75</t>
  </si>
  <si>
    <t>Сотников Вячеслав</t>
  </si>
  <si>
    <t>Открытая (15.10.1998)/23</t>
  </si>
  <si>
    <t>74,30</t>
  </si>
  <si>
    <t xml:space="preserve">Воронеж/Воронежская область </t>
  </si>
  <si>
    <t>160,0</t>
  </si>
  <si>
    <t>167,5</t>
  </si>
  <si>
    <t>172,5</t>
  </si>
  <si>
    <t>100,0</t>
  </si>
  <si>
    <t>105,0</t>
  </si>
  <si>
    <t>165,0</t>
  </si>
  <si>
    <t>175,0</t>
  </si>
  <si>
    <t>182,5</t>
  </si>
  <si>
    <t xml:space="preserve">Осокин И. </t>
  </si>
  <si>
    <t>ВЕСОВАЯ КАТЕГОРИЯ   90</t>
  </si>
  <si>
    <t>Соколов Дмитрий</t>
  </si>
  <si>
    <t>Открытая (18.07.1986)/35</t>
  </si>
  <si>
    <t>89,30</t>
  </si>
  <si>
    <t xml:space="preserve">Ковров/Владимирская область </t>
  </si>
  <si>
    <t>180,0</t>
  </si>
  <si>
    <t>190,0</t>
  </si>
  <si>
    <t>200,0</t>
  </si>
  <si>
    <t>110,0</t>
  </si>
  <si>
    <t>115,0</t>
  </si>
  <si>
    <t>120,0</t>
  </si>
  <si>
    <t>210,0</t>
  </si>
  <si>
    <t xml:space="preserve">Петрушкин Р. </t>
  </si>
  <si>
    <t>ВЕСОВАЯ КАТЕГОРИЯ   100</t>
  </si>
  <si>
    <t>Захаров Никита</t>
  </si>
  <si>
    <t>Юниоры (31.08.1998)/23</t>
  </si>
  <si>
    <t>97,30</t>
  </si>
  <si>
    <t xml:space="preserve">Самара/Самарская область </t>
  </si>
  <si>
    <t>230,0</t>
  </si>
  <si>
    <t>250,0</t>
  </si>
  <si>
    <t>260,0</t>
  </si>
  <si>
    <t>140,0</t>
  </si>
  <si>
    <t>150,0</t>
  </si>
  <si>
    <t>155,0</t>
  </si>
  <si>
    <t xml:space="preserve">Луговой А. </t>
  </si>
  <si>
    <t xml:space="preserve">Абсолютный зачёт </t>
  </si>
  <si>
    <t xml:space="preserve">Мужчины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</si>
  <si>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</si>
  <si>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</si>
  <si>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</si>
  <si>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</si>
  <si>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</si>
  <si>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100</t>
  </si>
  <si>
    <t xml:space="preserve">Открытая </t>
  </si>
  <si>
    <t>90</t>
  </si>
  <si>
    <t>75</t>
  </si>
  <si>
    <t>1</t>
  </si>
  <si>
    <t/>
  </si>
  <si>
    <t>Юниоры (15.10.1998)/23</t>
  </si>
  <si>
    <t>ВЕСОВАЯ КАТЕГОРИЯ   56</t>
  </si>
  <si>
    <t>Попова Наталья</t>
  </si>
  <si>
    <t>Девушки 14-16 (27.08.2005)/16</t>
  </si>
  <si>
    <t>53,70</t>
  </si>
  <si>
    <t>60,0</t>
  </si>
  <si>
    <t>65,0</t>
  </si>
  <si>
    <t>67,5</t>
  </si>
  <si>
    <t>30,0</t>
  </si>
  <si>
    <t>32,5</t>
  </si>
  <si>
    <t>70,0</t>
  </si>
  <si>
    <t>75,0</t>
  </si>
  <si>
    <t>80,0</t>
  </si>
  <si>
    <t>ВЕСОВАЯ КАТЕГОРИЯ   82.5</t>
  </si>
  <si>
    <t>Лебедев Алексей</t>
  </si>
  <si>
    <t>Юниоры (15.06.1998)/23</t>
  </si>
  <si>
    <t>79,80</t>
  </si>
  <si>
    <t xml:space="preserve">Рязань/Рязанская область </t>
  </si>
  <si>
    <t>107,5</t>
  </si>
  <si>
    <t xml:space="preserve">Бирюков Н. </t>
  </si>
  <si>
    <t>Бирюков Николай</t>
  </si>
  <si>
    <t>Открытая (09.12.1986)/35</t>
  </si>
  <si>
    <t>87,20</t>
  </si>
  <si>
    <t>125,0</t>
  </si>
  <si>
    <t>135,0</t>
  </si>
  <si>
    <t>142,5</t>
  </si>
  <si>
    <t>185,0</t>
  </si>
  <si>
    <t>Алфёров Иван</t>
  </si>
  <si>
    <t>Открытая (17.03.1997)/24</t>
  </si>
  <si>
    <t>88,50</t>
  </si>
  <si>
    <t>130,0</t>
  </si>
  <si>
    <t>Кострюков Константин</t>
  </si>
  <si>
    <t>Открытая (24.11.1991)/30</t>
  </si>
  <si>
    <t>98,40</t>
  </si>
  <si>
    <t>170,0</t>
  </si>
  <si>
    <t>222,5</t>
  </si>
  <si>
    <t>235,0</t>
  </si>
  <si>
    <t>Цыбульский Александр</t>
  </si>
  <si>
    <t>Открытая (21.08.1983)/38</t>
  </si>
  <si>
    <t>93,70</t>
  </si>
  <si>
    <t>215,0</t>
  </si>
  <si>
    <t>225,0</t>
  </si>
  <si>
    <t>145,0</t>
  </si>
  <si>
    <t xml:space="preserve">Горюнов К. </t>
  </si>
  <si>
    <t>Панкрушин Максим</t>
  </si>
  <si>
    <t>Открытая (13.10.1986)/35</t>
  </si>
  <si>
    <t>97,60</t>
  </si>
  <si>
    <t>205,0</t>
  </si>
  <si>
    <t xml:space="preserve">Щенников А. </t>
  </si>
  <si>
    <t xml:space="preserve">Женщины </t>
  </si>
  <si>
    <t>56</t>
  </si>
  <si>
    <t>177,5</t>
  </si>
  <si>
    <t>82.5</t>
  </si>
  <si>
    <t>2</t>
  </si>
  <si>
    <t>3</t>
  </si>
  <si>
    <t>ВЕСОВАЯ КАТЕГОРИЯ   52</t>
  </si>
  <si>
    <t>Вихорькова Светлана</t>
  </si>
  <si>
    <t>Открытая (18.02.2004)/18</t>
  </si>
  <si>
    <t>50,60</t>
  </si>
  <si>
    <t>72,5</t>
  </si>
  <si>
    <t>57,5</t>
  </si>
  <si>
    <t>62,5</t>
  </si>
  <si>
    <t>87,5</t>
  </si>
  <si>
    <t>95,0</t>
  </si>
  <si>
    <t>97,5</t>
  </si>
  <si>
    <t xml:space="preserve">Ефанов А. </t>
  </si>
  <si>
    <t>Астанина Элеонора</t>
  </si>
  <si>
    <t>Открытая (14.09.1991)/30</t>
  </si>
  <si>
    <t>55,60</t>
  </si>
  <si>
    <t>102,5</t>
  </si>
  <si>
    <t>90,0</t>
  </si>
  <si>
    <t xml:space="preserve">Сущенко А. </t>
  </si>
  <si>
    <t>Кондрашкина Кристина</t>
  </si>
  <si>
    <t>Открытая (04.07.1998)/23</t>
  </si>
  <si>
    <t>55,0</t>
  </si>
  <si>
    <t>ВЕСОВАЯ КАТЕГОРИЯ   60</t>
  </si>
  <si>
    <t>Абрамова Елена</t>
  </si>
  <si>
    <t>Открытая (28.06.1993)/28</t>
  </si>
  <si>
    <t>59,20</t>
  </si>
  <si>
    <t xml:space="preserve">Щёкино/Тульская область </t>
  </si>
  <si>
    <t xml:space="preserve">Суслов Н. </t>
  </si>
  <si>
    <t>Журавлева Анастасия</t>
  </si>
  <si>
    <t>Открытая (22.06.1986)/35</t>
  </si>
  <si>
    <t>58,40</t>
  </si>
  <si>
    <t>37,5</t>
  </si>
  <si>
    <t>ВЕСОВАЯ КАТЕГОРИЯ   67.5</t>
  </si>
  <si>
    <t>Досхоева Марет</t>
  </si>
  <si>
    <t>Открытая (03.12.1999)/22</t>
  </si>
  <si>
    <t>67,50</t>
  </si>
  <si>
    <t xml:space="preserve">Котельнич/Кировская область </t>
  </si>
  <si>
    <t xml:space="preserve">Обухов Ф. </t>
  </si>
  <si>
    <t>Сычёва Ольга</t>
  </si>
  <si>
    <t>Открытая (02.01.1986)/36</t>
  </si>
  <si>
    <t>63,90</t>
  </si>
  <si>
    <t xml:space="preserve">Шатура/Московская область </t>
  </si>
  <si>
    <t xml:space="preserve">Сиротюк А. </t>
  </si>
  <si>
    <t>Плетнева Анастасия</t>
  </si>
  <si>
    <t>Открытая (05.11.1987)/34</t>
  </si>
  <si>
    <t>62,60</t>
  </si>
  <si>
    <t>45,0</t>
  </si>
  <si>
    <t>50,0</t>
  </si>
  <si>
    <t xml:space="preserve">Дорохов К. </t>
  </si>
  <si>
    <t>Шарафиев Наиль</t>
  </si>
  <si>
    <t>Открытая (27.08.1984)/37</t>
  </si>
  <si>
    <t>74,90</t>
  </si>
  <si>
    <t>187,5</t>
  </si>
  <si>
    <t>220,0</t>
  </si>
  <si>
    <t>237,5</t>
  </si>
  <si>
    <t>Сударев Максим</t>
  </si>
  <si>
    <t>Юниоры (23.11.2000)/21</t>
  </si>
  <si>
    <t>80,20</t>
  </si>
  <si>
    <t xml:space="preserve">Егорьевск/Московская область </t>
  </si>
  <si>
    <t>117,5</t>
  </si>
  <si>
    <t>122,5</t>
  </si>
  <si>
    <t>162,5</t>
  </si>
  <si>
    <t>Гимранов Дмитрий</t>
  </si>
  <si>
    <t>Открытая (06.06.2001)/20</t>
  </si>
  <si>
    <t>80,00</t>
  </si>
  <si>
    <t xml:space="preserve">Правдинский/Московская область </t>
  </si>
  <si>
    <t>245,0</t>
  </si>
  <si>
    <t xml:space="preserve">Иванов В. </t>
  </si>
  <si>
    <t>Винокуров Дмитрий</t>
  </si>
  <si>
    <t>Открытая (05.06.1996)/25</t>
  </si>
  <si>
    <t>79,60</t>
  </si>
  <si>
    <t>Ларин Владимир</t>
  </si>
  <si>
    <t>Юниоры (03.08.2001)/20</t>
  </si>
  <si>
    <t>84,50</t>
  </si>
  <si>
    <t xml:space="preserve">Ларин В. </t>
  </si>
  <si>
    <t>Писарев Андрей</t>
  </si>
  <si>
    <t>Открытая (26.09.1995)/26</t>
  </si>
  <si>
    <t>89,40</t>
  </si>
  <si>
    <t xml:space="preserve">Москва </t>
  </si>
  <si>
    <t>192,5</t>
  </si>
  <si>
    <t>197,5</t>
  </si>
  <si>
    <t xml:space="preserve">Савин А. </t>
  </si>
  <si>
    <t>Щенников Андрей</t>
  </si>
  <si>
    <t>Открытая (14.10.1974)/47</t>
  </si>
  <si>
    <t>97,50</t>
  </si>
  <si>
    <t>252,5</t>
  </si>
  <si>
    <t>255,0</t>
  </si>
  <si>
    <t>Иванов Максим</t>
  </si>
  <si>
    <t>Открытая (16.06.1989)/32</t>
  </si>
  <si>
    <t>90,30</t>
  </si>
  <si>
    <t xml:space="preserve">Красноярск/Красноярский край </t>
  </si>
  <si>
    <t>157,5</t>
  </si>
  <si>
    <t xml:space="preserve">Милеева Е. </t>
  </si>
  <si>
    <t>Каменский Дмитрий</t>
  </si>
  <si>
    <t>Открытая (10.05.1990)/31</t>
  </si>
  <si>
    <t>92,50</t>
  </si>
  <si>
    <t>195,0</t>
  </si>
  <si>
    <t xml:space="preserve">Тимофеев Д. </t>
  </si>
  <si>
    <t>Кудрин Николай</t>
  </si>
  <si>
    <t>Открытая (30.01.1996)/26</t>
  </si>
  <si>
    <t>95,80</t>
  </si>
  <si>
    <t>ВЕСОВАЯ КАТЕГОРИЯ   110</t>
  </si>
  <si>
    <t>Игнатов Андрей</t>
  </si>
  <si>
    <t>Открытая (22.02.1992)/29</t>
  </si>
  <si>
    <t>105,40</t>
  </si>
  <si>
    <t>Ломов Дмитрий</t>
  </si>
  <si>
    <t>Открытая (04.10.1984)/37</t>
  </si>
  <si>
    <t>109,50</t>
  </si>
  <si>
    <t>67.5</t>
  </si>
  <si>
    <t>350,0</t>
  </si>
  <si>
    <t>357,2100</t>
  </si>
  <si>
    <t>60</t>
  </si>
  <si>
    <t>292,5</t>
  </si>
  <si>
    <t>329,5305</t>
  </si>
  <si>
    <t>277,5</t>
  </si>
  <si>
    <t>328,3380</t>
  </si>
  <si>
    <t>705,0</t>
  </si>
  <si>
    <t>433,5750</t>
  </si>
  <si>
    <t>652,5</t>
  </si>
  <si>
    <t>415,8383</t>
  </si>
  <si>
    <t>560,0</t>
  </si>
  <si>
    <t>382,3120</t>
  </si>
  <si>
    <t>4</t>
  </si>
  <si>
    <t>Денисова Ульяна</t>
  </si>
  <si>
    <t>Девушки 14-16 (20.12.2009)/12</t>
  </si>
  <si>
    <t>58,70</t>
  </si>
  <si>
    <t>42,5</t>
  </si>
  <si>
    <t>47,5</t>
  </si>
  <si>
    <t>52,5</t>
  </si>
  <si>
    <t xml:space="preserve">Денисов С. </t>
  </si>
  <si>
    <t>Есаков Вадим</t>
  </si>
  <si>
    <t>Юниоры (30.05.2001)/20</t>
  </si>
  <si>
    <t>72,50</t>
  </si>
  <si>
    <t xml:space="preserve">Ряжск/Рязанская область </t>
  </si>
  <si>
    <t>127,5</t>
  </si>
  <si>
    <t xml:space="preserve">Есаков А. </t>
  </si>
  <si>
    <t>Баранов Артём</t>
  </si>
  <si>
    <t>Открытая (03.07.1989)/32</t>
  </si>
  <si>
    <t>Комраков Никита</t>
  </si>
  <si>
    <t>Открытая (23.06.1995)/26</t>
  </si>
  <si>
    <t>88,90</t>
  </si>
  <si>
    <t>Вьюшков Александр</t>
  </si>
  <si>
    <t>Юниоры (21.06.1999)/22</t>
  </si>
  <si>
    <t>100,00</t>
  </si>
  <si>
    <t xml:space="preserve">Ивантеевка/Московская область </t>
  </si>
  <si>
    <t>Чибисов Степан</t>
  </si>
  <si>
    <t>Открытая (06.03.1989)/32</t>
  </si>
  <si>
    <t>99,80</t>
  </si>
  <si>
    <t>Солохин Денис</t>
  </si>
  <si>
    <t>Открытая (25.02.1981)/40</t>
  </si>
  <si>
    <t>100,70</t>
  </si>
  <si>
    <t>Иошин Александр</t>
  </si>
  <si>
    <t>Открытая (11.04.1993)/28</t>
  </si>
  <si>
    <t>109,70</t>
  </si>
  <si>
    <t xml:space="preserve">Торжок/Тверская область </t>
  </si>
  <si>
    <t>Зутиков Геннадий</t>
  </si>
  <si>
    <t>Открытая (20.11.2003)/18</t>
  </si>
  <si>
    <t>107,20</t>
  </si>
  <si>
    <t>ВЕСОВАЯ КАТЕГОРИЯ   125</t>
  </si>
  <si>
    <t>Соловьев Алексей</t>
  </si>
  <si>
    <t>Открытая (01.07.1990)/31</t>
  </si>
  <si>
    <t>112,50</t>
  </si>
  <si>
    <t>265,0</t>
  </si>
  <si>
    <t>Романов Дмитрий</t>
  </si>
  <si>
    <t>Открытая (16.06.1987)/34</t>
  </si>
  <si>
    <t>125,00</t>
  </si>
  <si>
    <t>207,5</t>
  </si>
  <si>
    <t xml:space="preserve">Абдуллин М. </t>
  </si>
  <si>
    <t>Денисов Сергей</t>
  </si>
  <si>
    <t>Открытая (07.05.1982)/39</t>
  </si>
  <si>
    <t>117,20</t>
  </si>
  <si>
    <t xml:space="preserve">Результат </t>
  </si>
  <si>
    <t>125</t>
  </si>
  <si>
    <t>154,9190</t>
  </si>
  <si>
    <t>110</t>
  </si>
  <si>
    <t>130,4835</t>
  </si>
  <si>
    <t>118,2335</t>
  </si>
  <si>
    <t>Результат</t>
  </si>
  <si>
    <t>Артемьева Ирина</t>
  </si>
  <si>
    <t>Открытая (26.09.1985)/36</t>
  </si>
  <si>
    <t>54,80</t>
  </si>
  <si>
    <t xml:space="preserve">Тверь/Тверская область </t>
  </si>
  <si>
    <t xml:space="preserve">Иошин А. </t>
  </si>
  <si>
    <t>Антошкин Павел</t>
  </si>
  <si>
    <t>Открытая (18.05.1996)/25</t>
  </si>
  <si>
    <t>57,60</t>
  </si>
  <si>
    <t>Боровков Вадим</t>
  </si>
  <si>
    <t>Открытая (11.09.1986)/35</t>
  </si>
  <si>
    <t>66,70</t>
  </si>
  <si>
    <t xml:space="preserve">Солохин Д. </t>
  </si>
  <si>
    <t>Добрый Иван</t>
  </si>
  <si>
    <t>Открытая (08.05.1996)/25</t>
  </si>
  <si>
    <t>73,60</t>
  </si>
  <si>
    <t xml:space="preserve">Тула/Тульская область </t>
  </si>
  <si>
    <t>Ильин Сергей</t>
  </si>
  <si>
    <t>Открытая (20.08.1982)/39</t>
  </si>
  <si>
    <t>73,70</t>
  </si>
  <si>
    <t xml:space="preserve">Михайлов А. </t>
  </si>
  <si>
    <t>Самойлов Максим</t>
  </si>
  <si>
    <t>Открытая (04.05.1996)/25</t>
  </si>
  <si>
    <t>80,50</t>
  </si>
  <si>
    <t>132,5</t>
  </si>
  <si>
    <t>Рудаков Максим</t>
  </si>
  <si>
    <t>Открытая (12.03.1991)/30</t>
  </si>
  <si>
    <t>82,50</t>
  </si>
  <si>
    <t xml:space="preserve">Воскресенск/Московская область </t>
  </si>
  <si>
    <t xml:space="preserve">Сенькин В. </t>
  </si>
  <si>
    <t>Сиротюк Андрей</t>
  </si>
  <si>
    <t>Открытая (12.09.1976)/45</t>
  </si>
  <si>
    <t>90,00</t>
  </si>
  <si>
    <t>Дудкин Андрей</t>
  </si>
  <si>
    <t>Открытая (30.09.1988)/33</t>
  </si>
  <si>
    <t>Лейнвебер Роман</t>
  </si>
  <si>
    <t>Юниоры (05.12.1998)/23</t>
  </si>
  <si>
    <t xml:space="preserve">Омск/Омская область </t>
  </si>
  <si>
    <t>118,3875</t>
  </si>
  <si>
    <t>95,7600</t>
  </si>
  <si>
    <t>95,2000</t>
  </si>
  <si>
    <t>-</t>
  </si>
  <si>
    <t>Калинина Наталия</t>
  </si>
  <si>
    <t>Мастера 50-59 (10.05.1963)/58</t>
  </si>
  <si>
    <t>58,50</t>
  </si>
  <si>
    <t>40,0</t>
  </si>
  <si>
    <t>82,5</t>
  </si>
  <si>
    <t>Лапин Даниил</t>
  </si>
  <si>
    <t>Юноши 14-16 (15.04.2010)/11</t>
  </si>
  <si>
    <t>45,40</t>
  </si>
  <si>
    <t xml:space="preserve">Люберцы/Московская область </t>
  </si>
  <si>
    <t>Минаев Александр</t>
  </si>
  <si>
    <t>Открытая (01.08.1993)/28</t>
  </si>
  <si>
    <t>74,50</t>
  </si>
  <si>
    <t>240,0</t>
  </si>
  <si>
    <t>Митин Андрей</t>
  </si>
  <si>
    <t>Мастера 50-59 (04.04.1970)/51</t>
  </si>
  <si>
    <t>73,80</t>
  </si>
  <si>
    <t>Журавлев Роман</t>
  </si>
  <si>
    <t>Открытая (22.02.1979)/42</t>
  </si>
  <si>
    <t>87,90</t>
  </si>
  <si>
    <t>Харыбин Лев</t>
  </si>
  <si>
    <t>Юноши 17-19 (13.08.2004)/17</t>
  </si>
  <si>
    <t>96,60</t>
  </si>
  <si>
    <t>ВЕСОВАЯ КАТЕГОРИЯ   48</t>
  </si>
  <si>
    <t>Кравченко Екатерина</t>
  </si>
  <si>
    <t>Открытая (07.11.1987)/34</t>
  </si>
  <si>
    <t>47,90</t>
  </si>
  <si>
    <t xml:space="preserve">Кравченко Е. </t>
  </si>
  <si>
    <t>Харламова Елизавета</t>
  </si>
  <si>
    <t>Открытая (09.07.1990)/31</t>
  </si>
  <si>
    <t>54,20</t>
  </si>
  <si>
    <t>Шишкина Кира</t>
  </si>
  <si>
    <t>Открытая (23.08.1982)/39</t>
  </si>
  <si>
    <t>54,90</t>
  </si>
  <si>
    <t>85,0</t>
  </si>
  <si>
    <t>Лапина Ксения</t>
  </si>
  <si>
    <t>Девушки 14-16 (07.12.2006)/15</t>
  </si>
  <si>
    <t>56,50</t>
  </si>
  <si>
    <t>77,5</t>
  </si>
  <si>
    <t>Чигилейчик София</t>
  </si>
  <si>
    <t>Юниорки (11.05.2000)/21</t>
  </si>
  <si>
    <t>62,50</t>
  </si>
  <si>
    <t xml:space="preserve">Этезов В. </t>
  </si>
  <si>
    <t>Лапин Артем</t>
  </si>
  <si>
    <t>Юноши 14-16 (28.08.2008)/13</t>
  </si>
  <si>
    <t>60,70</t>
  </si>
  <si>
    <t>Ефанов Артем</t>
  </si>
  <si>
    <t>Открытая (17.07.1992)/29</t>
  </si>
  <si>
    <t>Пронин Евгений</t>
  </si>
  <si>
    <t>Юниоры (03.02.2002)/20</t>
  </si>
  <si>
    <t>68,30</t>
  </si>
  <si>
    <t xml:space="preserve">Луховицы/Московская область </t>
  </si>
  <si>
    <t>Открытая (03.02.2002)/20</t>
  </si>
  <si>
    <t>Этезов Вадим</t>
  </si>
  <si>
    <t>Открытая (03.03.1979)/42</t>
  </si>
  <si>
    <t xml:space="preserve">Самойлов М. </t>
  </si>
  <si>
    <t>Мотов Дмитрий</t>
  </si>
  <si>
    <t>Открытая (06.12.1983)/38</t>
  </si>
  <si>
    <t>85,10</t>
  </si>
  <si>
    <t xml:space="preserve">Раменское/Московская область </t>
  </si>
  <si>
    <t>Мастера 40-49 (03.03.1979)/42</t>
  </si>
  <si>
    <t>Мастера 40-49 (14.10.1974)/47</t>
  </si>
  <si>
    <t>ВЕСОВАЯ КАТЕГОРИЯ   140+</t>
  </si>
  <si>
    <t>200,00</t>
  </si>
  <si>
    <t>152,7600</t>
  </si>
  <si>
    <t>164,0360</t>
  </si>
  <si>
    <t>156,9470</t>
  </si>
  <si>
    <t>Алёхина Маргарита</t>
  </si>
  <si>
    <t>Открытая (15.12.1997)/24</t>
  </si>
  <si>
    <t>46,60</t>
  </si>
  <si>
    <t>35,0</t>
  </si>
  <si>
    <t>ВЕСОВАЯ КАТЕГОРИЯ   90+</t>
  </si>
  <si>
    <t>Князева Анастасия</t>
  </si>
  <si>
    <t>Юниорки (14.06.2000)/21</t>
  </si>
  <si>
    <t>114,70</t>
  </si>
  <si>
    <t>Михайлов Александр</t>
  </si>
  <si>
    <t>Открытая (08.02.1991)/31</t>
  </si>
  <si>
    <t>82,10</t>
  </si>
  <si>
    <t xml:space="preserve">Санкт-Петербург </t>
  </si>
  <si>
    <t>Горелов Федор</t>
  </si>
  <si>
    <t>70,00</t>
  </si>
  <si>
    <t>Кувшинов Роман</t>
  </si>
  <si>
    <t>Открытая (25.01.1990)/32</t>
  </si>
  <si>
    <t>81,00</t>
  </si>
  <si>
    <t xml:space="preserve">Михнево/Московская область </t>
  </si>
  <si>
    <t>Сербин Анатолий</t>
  </si>
  <si>
    <t>Открытая (26.07.1990)/31</t>
  </si>
  <si>
    <t>120,40</t>
  </si>
  <si>
    <t>92,5</t>
  </si>
  <si>
    <t>ВЕСОВАЯ КАТЕГОРИЯ   44</t>
  </si>
  <si>
    <t>Лукина Ксения</t>
  </si>
  <si>
    <t>30,00</t>
  </si>
  <si>
    <t>22,5</t>
  </si>
  <si>
    <t>23,0</t>
  </si>
  <si>
    <t>24,0</t>
  </si>
  <si>
    <t xml:space="preserve">Лукин М. </t>
  </si>
  <si>
    <t>Селиверстов Максим</t>
  </si>
  <si>
    <t>Открытая (27.08.1988)/33</t>
  </si>
  <si>
    <t>74,10</t>
  </si>
  <si>
    <t xml:space="preserve">Михннево/Московская </t>
  </si>
  <si>
    <t>Филатов Василий</t>
  </si>
  <si>
    <t xml:space="preserve">Острогожск/Воронежская область </t>
  </si>
  <si>
    <t>Открытый мастерский турнир “Рязань Косопузая”
WRPF любители Пауэрлифтинг без экипировки ДК
Рязань/Рязанская область, 19 февраля 2022 года</t>
  </si>
  <si>
    <t>Открытый мастерский турнир “Рязань Косопузая”
WRPF любители Пауэрлифтинг без экипировки
Рязань/Рязанская область, 19 февраля 2022 года</t>
  </si>
  <si>
    <t>Открытый мастерский турнир “Рязань Косопузая”
WRPF любители Пауэрлифтинг классический в бинтах ДК
Рязань/Рязанская область, 19 февраля 2022 года</t>
  </si>
  <si>
    <t>Открытый мастерский турнир “Рязань Косопузая”
WRPF любители Пауэрлифтинг классический в бинтах
Рязань/Рязанская область, 19 февраля 2022 года</t>
  </si>
  <si>
    <t>Открытый мастерский турнир “Рязань Косопузая”
WRPF любители Силовое двоеборье без экипировки ДК
Рязань/Рязанская область, 19 февраля 2022 года</t>
  </si>
  <si>
    <t>Открытый мастерский турнир “Рязань Косопузая”
WRPF любители Силовое двоеборье без экипировки
Рязань/Рязанская область, 19 февраля 2022 года</t>
  </si>
  <si>
    <t>Открытый мастерский турнир “Рязань Косопузая”
WRPF любители Жим лежа без экипировки ДК
Рязань/Рязанская область, 19 февраля 2022 года</t>
  </si>
  <si>
    <t>Открытый мастерский турнир “Рязань Косопузая”
WRPF любители Жим лежа без экипировки
Рязань/Рязанская область, 19 февраля 2022 года</t>
  </si>
  <si>
    <t>Открытый мастерский турнир “Рязань Косопузая”
WRPF любители Становая тяга без экипировки ДК
Рязань/Рязанская область, 19 февраля 2022 года</t>
  </si>
  <si>
    <t>Открытый мастерский турнир “Рязань Косопузая”
WRPF любители Становая тяга без экипировки
Рязань/Рязанская область, 19 февраля 2022 года</t>
  </si>
  <si>
    <t>Открытый мастерский турнир “Рязань Косопузая”
WRPF Строгий подъем штанги на бицепс ДК
Рязань/Рязанская область, 19 февраля 2022 года</t>
  </si>
  <si>
    <t>Открытый мастерский турнир “Рязань Косопузая”
WRPF Строгий подъем штанги на бицепс
Рязань/Рязанская область, 19 февраля 2022 года</t>
  </si>
  <si>
    <t>Весовая категория</t>
  </si>
  <si>
    <t xml:space="preserve">Казань/Республика Татарстан </t>
  </si>
  <si>
    <t xml:space="preserve">Александро-Невский/Рязанская область </t>
  </si>
  <si>
    <t xml:space="preserve">Старожилово/Рязанская область </t>
  </si>
  <si>
    <t xml:space="preserve">Кольчугино/Владимирская область </t>
  </si>
  <si>
    <t>Мастера 40-49 (03.08.1977)/44</t>
  </si>
  <si>
    <t>Девушки 13-19 (28.04.2012)/9</t>
  </si>
  <si>
    <t>Юниоры 20-23 (08.07.1998)/23</t>
  </si>
  <si>
    <t>Славгород/Беларусь</t>
  </si>
  <si>
    <t>Тырныауз/Республика Кабардино-Балкария</t>
  </si>
  <si>
    <t>Жим</t>
  </si>
  <si>
    <t>№</t>
  </si>
  <si>
    <t xml:space="preserve"> </t>
  </si>
  <si>
    <t xml:space="preserve">
Дата рождения/Возраст</t>
  </si>
  <si>
    <t>Возрастная группа</t>
  </si>
  <si>
    <t>T</t>
  </si>
  <si>
    <t>O</t>
  </si>
  <si>
    <t>J</t>
  </si>
  <si>
    <t>M1</t>
  </si>
  <si>
    <t>M2</t>
  </si>
  <si>
    <t>T1</t>
  </si>
  <si>
    <t>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</si>
</sst>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A0AA1-9157-461F-B8C7-7504F58E35E8}">
  <dimension ref="A1:U59"/>
  <sheetViews>
    <sheetView tabSelected="1" topLeftCell="A17" workbookViewId="0">
      <selection activeCell="E42" sqref="E42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3.66406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9.83203125" style="5" customWidth="1"/>
    <col min="22" max="16384" width="9.1640625" style="3"/>
  </cols>
  <sheetData>
    <row r="1" spans="1:21" s="2" customFormat="1" ht="29" customHeight="1">
      <c r="A1" s="42" t="s">
        <v>435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458</v>
      </c>
      <c r="B3" s="34" t="s">
        <v>0</v>
      </c>
      <c r="C3" s="52" t="s">
        <v>460</v>
      </c>
      <c r="D3" s="52" t="s">
        <v>6</v>
      </c>
      <c r="E3" s="36" t="s">
        <v>461</v>
      </c>
      <c r="F3" s="36" t="s">
        <v>5</v>
      </c>
      <c r="G3" s="36" t="s">
        <v>7</v>
      </c>
      <c r="H3" s="36"/>
      <c r="I3" s="36"/>
      <c r="J3" s="36"/>
      <c r="K3" s="36" t="s">
        <v>8</v>
      </c>
      <c r="L3" s="36"/>
      <c r="M3" s="36"/>
      <c r="N3" s="36"/>
      <c r="O3" s="36" t="s">
        <v>9</v>
      </c>
      <c r="P3" s="36"/>
      <c r="Q3" s="36"/>
      <c r="R3" s="36"/>
      <c r="S3" s="36" t="s">
        <v>1</v>
      </c>
      <c r="T3" s="36" t="s">
        <v>3</v>
      </c>
      <c r="U3" s="38" t="s">
        <v>2</v>
      </c>
    </row>
    <row r="4" spans="1:21" s="1" customFormat="1" ht="21" customHeight="1" thickBot="1">
      <c r="A4" s="51"/>
      <c r="B4" s="3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7"/>
      <c r="T4" s="37"/>
      <c r="U4" s="39"/>
    </row>
    <row r="5" spans="1:21" ht="16">
      <c r="A5" s="40" t="s">
        <v>117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8" t="s">
        <v>60</v>
      </c>
      <c r="B6" s="7" t="s">
        <v>118</v>
      </c>
      <c r="C6" s="7" t="s">
        <v>119</v>
      </c>
      <c r="D6" s="7" t="s">
        <v>120</v>
      </c>
      <c r="E6" s="7" t="s">
        <v>463</v>
      </c>
      <c r="F6" s="7" t="s">
        <v>449</v>
      </c>
      <c r="G6" s="14" t="s">
        <v>69</v>
      </c>
      <c r="H6" s="14" t="s">
        <v>121</v>
      </c>
      <c r="I6" s="15" t="s">
        <v>73</v>
      </c>
      <c r="J6" s="8"/>
      <c r="K6" s="14" t="s">
        <v>122</v>
      </c>
      <c r="L6" s="14" t="s">
        <v>67</v>
      </c>
      <c r="M6" s="15" t="s">
        <v>123</v>
      </c>
      <c r="N6" s="8"/>
      <c r="O6" s="14" t="s">
        <v>124</v>
      </c>
      <c r="P6" s="14" t="s">
        <v>125</v>
      </c>
      <c r="Q6" s="14" t="s">
        <v>126</v>
      </c>
      <c r="R6" s="8"/>
      <c r="S6" s="8" t="str">
        <f>"230,0"</f>
        <v>230,0</v>
      </c>
      <c r="T6" s="8" t="str">
        <f>"292,7900"</f>
        <v>292,7900</v>
      </c>
      <c r="U6" s="7" t="s">
        <v>127</v>
      </c>
    </row>
    <row r="7" spans="1:21">
      <c r="B7" s="5" t="s">
        <v>61</v>
      </c>
    </row>
    <row r="8" spans="1:21" ht="16">
      <c r="A8" s="32" t="s">
        <v>63</v>
      </c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1">
      <c r="A9" s="17" t="s">
        <v>60</v>
      </c>
      <c r="B9" s="16" t="s">
        <v>128</v>
      </c>
      <c r="C9" s="16" t="s">
        <v>129</v>
      </c>
      <c r="D9" s="16" t="s">
        <v>130</v>
      </c>
      <c r="E9" s="16" t="s">
        <v>463</v>
      </c>
      <c r="F9" s="16" t="s">
        <v>14</v>
      </c>
      <c r="G9" s="23" t="s">
        <v>125</v>
      </c>
      <c r="H9" s="23" t="s">
        <v>131</v>
      </c>
      <c r="I9" s="23" t="s">
        <v>19</v>
      </c>
      <c r="J9" s="17"/>
      <c r="K9" s="23" t="s">
        <v>68</v>
      </c>
      <c r="L9" s="23" t="s">
        <v>72</v>
      </c>
      <c r="M9" s="23" t="s">
        <v>121</v>
      </c>
      <c r="N9" s="17"/>
      <c r="O9" s="23" t="s">
        <v>132</v>
      </c>
      <c r="P9" s="23" t="s">
        <v>18</v>
      </c>
      <c r="Q9" s="22" t="s">
        <v>131</v>
      </c>
      <c r="R9" s="17"/>
      <c r="S9" s="17" t="str">
        <f>"277,5"</f>
        <v>277,5</v>
      </c>
      <c r="T9" s="17" t="str">
        <f>"328,3380"</f>
        <v>328,3380</v>
      </c>
      <c r="U9" s="16" t="s">
        <v>133</v>
      </c>
    </row>
    <row r="10" spans="1:21">
      <c r="A10" s="19" t="s">
        <v>115</v>
      </c>
      <c r="B10" s="18" t="s">
        <v>134</v>
      </c>
      <c r="C10" s="18" t="s">
        <v>135</v>
      </c>
      <c r="D10" s="18" t="s">
        <v>130</v>
      </c>
      <c r="E10" s="18" t="s">
        <v>463</v>
      </c>
      <c r="F10" s="18" t="s">
        <v>79</v>
      </c>
      <c r="G10" s="24" t="s">
        <v>125</v>
      </c>
      <c r="H10" s="24" t="s">
        <v>18</v>
      </c>
      <c r="I10" s="25" t="s">
        <v>131</v>
      </c>
      <c r="J10" s="19"/>
      <c r="K10" s="24" t="s">
        <v>136</v>
      </c>
      <c r="L10" s="24" t="s">
        <v>67</v>
      </c>
      <c r="M10" s="25" t="s">
        <v>123</v>
      </c>
      <c r="N10" s="19"/>
      <c r="O10" s="25" t="s">
        <v>32</v>
      </c>
      <c r="P10" s="25" t="s">
        <v>32</v>
      </c>
      <c r="Q10" s="24" t="s">
        <v>32</v>
      </c>
      <c r="R10" s="19"/>
      <c r="S10" s="19" t="str">
        <f>"270,0"</f>
        <v>270,0</v>
      </c>
      <c r="T10" s="19" t="str">
        <f>"319,4640"</f>
        <v>319,4640</v>
      </c>
      <c r="U10" s="18" t="s">
        <v>110</v>
      </c>
    </row>
    <row r="11" spans="1:21">
      <c r="B11" s="5" t="s">
        <v>61</v>
      </c>
    </row>
    <row r="12" spans="1:21" ht="16">
      <c r="A12" s="32" t="s">
        <v>137</v>
      </c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21">
      <c r="A13" s="17" t="s">
        <v>60</v>
      </c>
      <c r="B13" s="16" t="s">
        <v>138</v>
      </c>
      <c r="C13" s="16" t="s">
        <v>139</v>
      </c>
      <c r="D13" s="16" t="s">
        <v>140</v>
      </c>
      <c r="E13" s="16" t="s">
        <v>463</v>
      </c>
      <c r="F13" s="16" t="s">
        <v>141</v>
      </c>
      <c r="G13" s="23" t="s">
        <v>18</v>
      </c>
      <c r="H13" s="23" t="s">
        <v>19</v>
      </c>
      <c r="I13" s="22" t="s">
        <v>80</v>
      </c>
      <c r="J13" s="17"/>
      <c r="K13" s="23" t="s">
        <v>72</v>
      </c>
      <c r="L13" s="23" t="s">
        <v>121</v>
      </c>
      <c r="M13" s="22" t="s">
        <v>73</v>
      </c>
      <c r="N13" s="17"/>
      <c r="O13" s="23" t="s">
        <v>32</v>
      </c>
      <c r="P13" s="23" t="s">
        <v>33</v>
      </c>
      <c r="Q13" s="22" t="s">
        <v>34</v>
      </c>
      <c r="R13" s="17"/>
      <c r="S13" s="17" t="str">
        <f>"292,5"</f>
        <v>292,5</v>
      </c>
      <c r="T13" s="17" t="str">
        <f>"329,5305"</f>
        <v>329,5305</v>
      </c>
      <c r="U13" s="16" t="s">
        <v>142</v>
      </c>
    </row>
    <row r="14" spans="1:21">
      <c r="A14" s="19" t="s">
        <v>115</v>
      </c>
      <c r="B14" s="18" t="s">
        <v>143</v>
      </c>
      <c r="C14" s="18" t="s">
        <v>144</v>
      </c>
      <c r="D14" s="18" t="s">
        <v>145</v>
      </c>
      <c r="E14" s="18" t="s">
        <v>463</v>
      </c>
      <c r="F14" s="18" t="s">
        <v>79</v>
      </c>
      <c r="G14" s="24" t="s">
        <v>136</v>
      </c>
      <c r="H14" s="24" t="s">
        <v>123</v>
      </c>
      <c r="I14" s="24" t="s">
        <v>72</v>
      </c>
      <c r="J14" s="19"/>
      <c r="K14" s="25" t="s">
        <v>71</v>
      </c>
      <c r="L14" s="24" t="s">
        <v>71</v>
      </c>
      <c r="M14" s="25" t="s">
        <v>146</v>
      </c>
      <c r="N14" s="19"/>
      <c r="O14" s="24" t="s">
        <v>67</v>
      </c>
      <c r="P14" s="24" t="s">
        <v>72</v>
      </c>
      <c r="Q14" s="24" t="s">
        <v>73</v>
      </c>
      <c r="R14" s="19"/>
      <c r="S14" s="19" t="str">
        <f>"177,5"</f>
        <v>177,5</v>
      </c>
      <c r="T14" s="19" t="str">
        <f>"202,1015"</f>
        <v>202,1015</v>
      </c>
      <c r="U14" s="18" t="s">
        <v>110</v>
      </c>
    </row>
    <row r="15" spans="1:21">
      <c r="B15" s="5" t="s">
        <v>61</v>
      </c>
    </row>
    <row r="16" spans="1:21" ht="16">
      <c r="A16" s="32" t="s">
        <v>147</v>
      </c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21">
      <c r="A17" s="17" t="s">
        <v>60</v>
      </c>
      <c r="B17" s="16" t="s">
        <v>148</v>
      </c>
      <c r="C17" s="16" t="s">
        <v>149</v>
      </c>
      <c r="D17" s="16" t="s">
        <v>150</v>
      </c>
      <c r="E17" s="16" t="s">
        <v>463</v>
      </c>
      <c r="F17" s="16" t="s">
        <v>151</v>
      </c>
      <c r="G17" s="23" t="s">
        <v>32</v>
      </c>
      <c r="H17" s="23" t="s">
        <v>34</v>
      </c>
      <c r="I17" s="23" t="s">
        <v>85</v>
      </c>
      <c r="J17" s="17"/>
      <c r="K17" s="23" t="s">
        <v>19</v>
      </c>
      <c r="L17" s="22" t="s">
        <v>32</v>
      </c>
      <c r="M17" s="23" t="s">
        <v>32</v>
      </c>
      <c r="N17" s="17"/>
      <c r="O17" s="23" t="s">
        <v>33</v>
      </c>
      <c r="P17" s="22" t="s">
        <v>85</v>
      </c>
      <c r="Q17" s="22" t="s">
        <v>85</v>
      </c>
      <c r="R17" s="17"/>
      <c r="S17" s="17" t="str">
        <f>"350,0"</f>
        <v>350,0</v>
      </c>
      <c r="T17" s="17" t="str">
        <f>"357,2100"</f>
        <v>357,2100</v>
      </c>
      <c r="U17" s="16" t="s">
        <v>152</v>
      </c>
    </row>
    <row r="18" spans="1:21">
      <c r="A18" s="21" t="s">
        <v>115</v>
      </c>
      <c r="B18" s="20" t="s">
        <v>153</v>
      </c>
      <c r="C18" s="20" t="s">
        <v>154</v>
      </c>
      <c r="D18" s="20" t="s">
        <v>155</v>
      </c>
      <c r="E18" s="20" t="s">
        <v>463</v>
      </c>
      <c r="F18" s="20" t="s">
        <v>156</v>
      </c>
      <c r="G18" s="27" t="s">
        <v>18</v>
      </c>
      <c r="H18" s="27" t="s">
        <v>18</v>
      </c>
      <c r="I18" s="26" t="s">
        <v>18</v>
      </c>
      <c r="J18" s="21"/>
      <c r="K18" s="26" t="s">
        <v>67</v>
      </c>
      <c r="L18" s="26" t="s">
        <v>123</v>
      </c>
      <c r="M18" s="27" t="s">
        <v>68</v>
      </c>
      <c r="N18" s="21"/>
      <c r="O18" s="26" t="s">
        <v>32</v>
      </c>
      <c r="P18" s="26" t="s">
        <v>34</v>
      </c>
      <c r="Q18" s="27" t="s">
        <v>85</v>
      </c>
      <c r="R18" s="21"/>
      <c r="S18" s="21" t="str">
        <f>"282,5"</f>
        <v>282,5</v>
      </c>
      <c r="T18" s="21" t="str">
        <f>"300,1563"</f>
        <v>300,1563</v>
      </c>
      <c r="U18" s="20" t="s">
        <v>157</v>
      </c>
    </row>
    <row r="19" spans="1:21">
      <c r="A19" s="19" t="s">
        <v>116</v>
      </c>
      <c r="B19" s="18" t="s">
        <v>158</v>
      </c>
      <c r="C19" s="18" t="s">
        <v>159</v>
      </c>
      <c r="D19" s="18" t="s">
        <v>160</v>
      </c>
      <c r="E19" s="18" t="s">
        <v>463</v>
      </c>
      <c r="F19" s="18" t="s">
        <v>14</v>
      </c>
      <c r="G19" s="24" t="s">
        <v>72</v>
      </c>
      <c r="H19" s="24" t="s">
        <v>74</v>
      </c>
      <c r="I19" s="24" t="s">
        <v>132</v>
      </c>
      <c r="J19" s="19"/>
      <c r="K19" s="24" t="s">
        <v>161</v>
      </c>
      <c r="L19" s="24" t="s">
        <v>162</v>
      </c>
      <c r="M19" s="25" t="s">
        <v>136</v>
      </c>
      <c r="N19" s="19"/>
      <c r="O19" s="24" t="s">
        <v>18</v>
      </c>
      <c r="P19" s="24" t="s">
        <v>32</v>
      </c>
      <c r="Q19" s="25" t="s">
        <v>33</v>
      </c>
      <c r="R19" s="19"/>
      <c r="S19" s="19" t="str">
        <f>"250,0"</f>
        <v>250,0</v>
      </c>
      <c r="T19" s="19" t="str">
        <f>"269,8000"</f>
        <v>269,8000</v>
      </c>
      <c r="U19" s="18" t="s">
        <v>163</v>
      </c>
    </row>
    <row r="20" spans="1:21">
      <c r="B20" s="5" t="s">
        <v>61</v>
      </c>
    </row>
    <row r="21" spans="1:21" ht="16">
      <c r="A21" s="32" t="s">
        <v>10</v>
      </c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21">
      <c r="A22" s="8" t="s">
        <v>60</v>
      </c>
      <c r="B22" s="7" t="s">
        <v>164</v>
      </c>
      <c r="C22" s="7" t="s">
        <v>165</v>
      </c>
      <c r="D22" s="7" t="s">
        <v>166</v>
      </c>
      <c r="E22" s="7" t="s">
        <v>463</v>
      </c>
      <c r="F22" s="7" t="s">
        <v>448</v>
      </c>
      <c r="G22" s="14" t="s">
        <v>113</v>
      </c>
      <c r="H22" s="14" t="s">
        <v>88</v>
      </c>
      <c r="I22" s="15" t="s">
        <v>167</v>
      </c>
      <c r="J22" s="8"/>
      <c r="K22" s="14" t="s">
        <v>19</v>
      </c>
      <c r="L22" s="15" t="s">
        <v>32</v>
      </c>
      <c r="M22" s="14" t="s">
        <v>32</v>
      </c>
      <c r="N22" s="8"/>
      <c r="O22" s="14" t="s">
        <v>168</v>
      </c>
      <c r="P22" s="14" t="s">
        <v>42</v>
      </c>
      <c r="Q22" s="15" t="s">
        <v>169</v>
      </c>
      <c r="R22" s="8"/>
      <c r="S22" s="8" t="str">
        <f>"525,0"</f>
        <v>525,0</v>
      </c>
      <c r="T22" s="8" t="str">
        <f>"374,4300"</f>
        <v>374,4300</v>
      </c>
      <c r="U22" s="7" t="s">
        <v>459</v>
      </c>
    </row>
    <row r="23" spans="1:21">
      <c r="B23" s="5" t="s">
        <v>61</v>
      </c>
    </row>
    <row r="24" spans="1:21" ht="16">
      <c r="A24" s="32" t="s">
        <v>75</v>
      </c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21">
      <c r="A25" s="17" t="s">
        <v>60</v>
      </c>
      <c r="B25" s="16" t="s">
        <v>170</v>
      </c>
      <c r="C25" s="16" t="s">
        <v>171</v>
      </c>
      <c r="D25" s="16" t="s">
        <v>172</v>
      </c>
      <c r="E25" s="16" t="s">
        <v>464</v>
      </c>
      <c r="F25" s="16" t="s">
        <v>173</v>
      </c>
      <c r="G25" s="22" t="s">
        <v>45</v>
      </c>
      <c r="H25" s="23" t="s">
        <v>45</v>
      </c>
      <c r="I25" s="23" t="s">
        <v>47</v>
      </c>
      <c r="J25" s="17"/>
      <c r="K25" s="23" t="s">
        <v>32</v>
      </c>
      <c r="L25" s="23" t="s">
        <v>174</v>
      </c>
      <c r="M25" s="23" t="s">
        <v>175</v>
      </c>
      <c r="N25" s="17"/>
      <c r="O25" s="23" t="s">
        <v>46</v>
      </c>
      <c r="P25" s="22" t="s">
        <v>176</v>
      </c>
      <c r="Q25" s="22" t="s">
        <v>176</v>
      </c>
      <c r="R25" s="17"/>
      <c r="S25" s="17" t="str">
        <f>"427,5"</f>
        <v>427,5</v>
      </c>
      <c r="T25" s="17" t="str">
        <f>"291,3840"</f>
        <v>291,3840</v>
      </c>
      <c r="U25" s="16" t="s">
        <v>459</v>
      </c>
    </row>
    <row r="26" spans="1:21">
      <c r="A26" s="21" t="s">
        <v>60</v>
      </c>
      <c r="B26" s="20" t="s">
        <v>177</v>
      </c>
      <c r="C26" s="20" t="s">
        <v>178</v>
      </c>
      <c r="D26" s="20" t="s">
        <v>179</v>
      </c>
      <c r="E26" s="20" t="s">
        <v>463</v>
      </c>
      <c r="F26" s="20" t="s">
        <v>180</v>
      </c>
      <c r="G26" s="26" t="s">
        <v>20</v>
      </c>
      <c r="H26" s="26" t="s">
        <v>96</v>
      </c>
      <c r="I26" s="26" t="s">
        <v>21</v>
      </c>
      <c r="J26" s="21"/>
      <c r="K26" s="26" t="s">
        <v>92</v>
      </c>
      <c r="L26" s="26" t="s">
        <v>86</v>
      </c>
      <c r="M26" s="27" t="s">
        <v>45</v>
      </c>
      <c r="N26" s="21"/>
      <c r="O26" s="26" t="s">
        <v>98</v>
      </c>
      <c r="P26" s="27" t="s">
        <v>181</v>
      </c>
      <c r="Q26" s="26" t="s">
        <v>43</v>
      </c>
      <c r="R26" s="21"/>
      <c r="S26" s="21" t="str">
        <f>"560,0"</f>
        <v>560,0</v>
      </c>
      <c r="T26" s="21" t="str">
        <f>"382,3120"</f>
        <v>382,3120</v>
      </c>
      <c r="U26" s="20" t="s">
        <v>182</v>
      </c>
    </row>
    <row r="27" spans="1:21">
      <c r="A27" s="19" t="s">
        <v>115</v>
      </c>
      <c r="B27" s="18" t="s">
        <v>183</v>
      </c>
      <c r="C27" s="18" t="s">
        <v>184</v>
      </c>
      <c r="D27" s="18" t="s">
        <v>185</v>
      </c>
      <c r="E27" s="18" t="s">
        <v>463</v>
      </c>
      <c r="F27" s="18" t="s">
        <v>79</v>
      </c>
      <c r="G27" s="24" t="s">
        <v>104</v>
      </c>
      <c r="H27" s="24" t="s">
        <v>47</v>
      </c>
      <c r="I27" s="25" t="s">
        <v>96</v>
      </c>
      <c r="J27" s="19"/>
      <c r="K27" s="24" t="s">
        <v>19</v>
      </c>
      <c r="L27" s="24" t="s">
        <v>32</v>
      </c>
      <c r="M27" s="25" t="s">
        <v>33</v>
      </c>
      <c r="N27" s="19"/>
      <c r="O27" s="24" t="s">
        <v>15</v>
      </c>
      <c r="P27" s="24" t="s">
        <v>96</v>
      </c>
      <c r="Q27" s="24" t="s">
        <v>29</v>
      </c>
      <c r="R27" s="19"/>
      <c r="S27" s="19" t="str">
        <f>"445,0"</f>
        <v>445,0</v>
      </c>
      <c r="T27" s="19" t="str">
        <f>"304,7805"</f>
        <v>304,7805</v>
      </c>
      <c r="U27" s="18" t="s">
        <v>459</v>
      </c>
    </row>
    <row r="28" spans="1:21">
      <c r="B28" s="5" t="s">
        <v>61</v>
      </c>
    </row>
    <row r="29" spans="1:21" ht="16">
      <c r="A29" s="32" t="s">
        <v>24</v>
      </c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21">
      <c r="A30" s="17" t="s">
        <v>60</v>
      </c>
      <c r="B30" s="16" t="s">
        <v>186</v>
      </c>
      <c r="C30" s="16" t="s">
        <v>187</v>
      </c>
      <c r="D30" s="16" t="s">
        <v>188</v>
      </c>
      <c r="E30" s="16" t="s">
        <v>464</v>
      </c>
      <c r="F30" s="16" t="s">
        <v>79</v>
      </c>
      <c r="G30" s="22" t="s">
        <v>18</v>
      </c>
      <c r="H30" s="23" t="s">
        <v>34</v>
      </c>
      <c r="I30" s="23" t="s">
        <v>86</v>
      </c>
      <c r="J30" s="17"/>
      <c r="K30" s="23" t="s">
        <v>132</v>
      </c>
      <c r="L30" s="23" t="s">
        <v>125</v>
      </c>
      <c r="M30" s="22" t="s">
        <v>19</v>
      </c>
      <c r="N30" s="17"/>
      <c r="O30" s="23" t="s">
        <v>15</v>
      </c>
      <c r="P30" s="23" t="s">
        <v>96</v>
      </c>
      <c r="Q30" s="23" t="s">
        <v>113</v>
      </c>
      <c r="R30" s="17"/>
      <c r="S30" s="17" t="str">
        <f>"407,5"</f>
        <v>407,5</v>
      </c>
      <c r="T30" s="17" t="str">
        <f>"269,1945"</f>
        <v>269,1945</v>
      </c>
      <c r="U30" s="16" t="s">
        <v>189</v>
      </c>
    </row>
    <row r="31" spans="1:21">
      <c r="A31" s="19" t="s">
        <v>60</v>
      </c>
      <c r="B31" s="18" t="s">
        <v>190</v>
      </c>
      <c r="C31" s="18" t="s">
        <v>191</v>
      </c>
      <c r="D31" s="18" t="s">
        <v>192</v>
      </c>
      <c r="E31" s="18" t="s">
        <v>463</v>
      </c>
      <c r="F31" s="18" t="s">
        <v>193</v>
      </c>
      <c r="G31" s="24" t="s">
        <v>29</v>
      </c>
      <c r="H31" s="24" t="s">
        <v>194</v>
      </c>
      <c r="I31" s="24" t="s">
        <v>195</v>
      </c>
      <c r="J31" s="19"/>
      <c r="K31" s="24" t="s">
        <v>92</v>
      </c>
      <c r="L31" s="24" t="s">
        <v>86</v>
      </c>
      <c r="M31" s="19"/>
      <c r="N31" s="19"/>
      <c r="O31" s="24" t="s">
        <v>42</v>
      </c>
      <c r="P31" s="24" t="s">
        <v>181</v>
      </c>
      <c r="Q31" s="25" t="s">
        <v>43</v>
      </c>
      <c r="R31" s="19"/>
      <c r="S31" s="19" t="str">
        <f>"577,5"</f>
        <v>577,5</v>
      </c>
      <c r="T31" s="19" t="str">
        <f>"369,9465"</f>
        <v>369,9465</v>
      </c>
      <c r="U31" s="18" t="s">
        <v>196</v>
      </c>
    </row>
    <row r="32" spans="1:21">
      <c r="B32" s="5" t="s">
        <v>61</v>
      </c>
    </row>
    <row r="33" spans="1:21" ht="16">
      <c r="A33" s="32" t="s">
        <v>37</v>
      </c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21">
      <c r="A34" s="17" t="s">
        <v>60</v>
      </c>
      <c r="B34" s="16" t="s">
        <v>197</v>
      </c>
      <c r="C34" s="16" t="s">
        <v>198</v>
      </c>
      <c r="D34" s="16" t="s">
        <v>199</v>
      </c>
      <c r="E34" s="16" t="s">
        <v>463</v>
      </c>
      <c r="F34" s="16" t="s">
        <v>79</v>
      </c>
      <c r="G34" s="23" t="s">
        <v>98</v>
      </c>
      <c r="H34" s="23" t="s">
        <v>181</v>
      </c>
      <c r="I34" s="23" t="s">
        <v>200</v>
      </c>
      <c r="J34" s="17"/>
      <c r="K34" s="23" t="s">
        <v>21</v>
      </c>
      <c r="L34" s="23" t="s">
        <v>88</v>
      </c>
      <c r="M34" s="23" t="s">
        <v>194</v>
      </c>
      <c r="N34" s="17"/>
      <c r="O34" s="23" t="s">
        <v>181</v>
      </c>
      <c r="P34" s="23" t="s">
        <v>201</v>
      </c>
      <c r="Q34" s="23" t="s">
        <v>44</v>
      </c>
      <c r="R34" s="17"/>
      <c r="S34" s="17" t="str">
        <f>"705,0"</f>
        <v>705,0</v>
      </c>
      <c r="T34" s="17" t="str">
        <f>"433,5750"</f>
        <v>433,5750</v>
      </c>
      <c r="U34" s="16" t="s">
        <v>459</v>
      </c>
    </row>
    <row r="35" spans="1:21">
      <c r="A35" s="21" t="s">
        <v>115</v>
      </c>
      <c r="B35" s="20" t="s">
        <v>202</v>
      </c>
      <c r="C35" s="20" t="s">
        <v>203</v>
      </c>
      <c r="D35" s="20" t="s">
        <v>204</v>
      </c>
      <c r="E35" s="20" t="s">
        <v>463</v>
      </c>
      <c r="F35" s="20" t="s">
        <v>205</v>
      </c>
      <c r="G35" s="26" t="s">
        <v>103</v>
      </c>
      <c r="H35" s="26" t="s">
        <v>98</v>
      </c>
      <c r="I35" s="27" t="s">
        <v>181</v>
      </c>
      <c r="J35" s="21"/>
      <c r="K35" s="26" t="s">
        <v>46</v>
      </c>
      <c r="L35" s="26" t="s">
        <v>206</v>
      </c>
      <c r="M35" s="27" t="s">
        <v>20</v>
      </c>
      <c r="N35" s="21"/>
      <c r="O35" s="26" t="s">
        <v>42</v>
      </c>
      <c r="P35" s="26" t="s">
        <v>181</v>
      </c>
      <c r="Q35" s="26" t="s">
        <v>44</v>
      </c>
      <c r="R35" s="21"/>
      <c r="S35" s="21" t="str">
        <f>"652,5"</f>
        <v>652,5</v>
      </c>
      <c r="T35" s="21" t="str">
        <f>"415,8383"</f>
        <v>415,8383</v>
      </c>
      <c r="U35" s="20" t="s">
        <v>207</v>
      </c>
    </row>
    <row r="36" spans="1:21">
      <c r="A36" s="21" t="s">
        <v>116</v>
      </c>
      <c r="B36" s="20" t="s">
        <v>208</v>
      </c>
      <c r="C36" s="20" t="s">
        <v>209</v>
      </c>
      <c r="D36" s="20" t="s">
        <v>210</v>
      </c>
      <c r="E36" s="20" t="s">
        <v>463</v>
      </c>
      <c r="F36" s="20" t="s">
        <v>79</v>
      </c>
      <c r="G36" s="26" t="s">
        <v>88</v>
      </c>
      <c r="H36" s="26" t="s">
        <v>211</v>
      </c>
      <c r="I36" s="27" t="s">
        <v>31</v>
      </c>
      <c r="J36" s="21"/>
      <c r="K36" s="26" t="s">
        <v>46</v>
      </c>
      <c r="L36" s="26" t="s">
        <v>47</v>
      </c>
      <c r="M36" s="26" t="s">
        <v>15</v>
      </c>
      <c r="N36" s="21"/>
      <c r="O36" s="26" t="s">
        <v>103</v>
      </c>
      <c r="P36" s="27" t="s">
        <v>98</v>
      </c>
      <c r="Q36" s="26" t="s">
        <v>98</v>
      </c>
      <c r="R36" s="21"/>
      <c r="S36" s="21" t="str">
        <f>"590,0"</f>
        <v>590,0</v>
      </c>
      <c r="T36" s="21" t="str">
        <f>"371,5820"</f>
        <v>371,5820</v>
      </c>
      <c r="U36" s="20" t="s">
        <v>212</v>
      </c>
    </row>
    <row r="37" spans="1:21">
      <c r="A37" s="19" t="s">
        <v>237</v>
      </c>
      <c r="B37" s="18" t="s">
        <v>213</v>
      </c>
      <c r="C37" s="18" t="s">
        <v>214</v>
      </c>
      <c r="D37" s="18" t="s">
        <v>215</v>
      </c>
      <c r="E37" s="18" t="s">
        <v>463</v>
      </c>
      <c r="F37" s="18" t="s">
        <v>79</v>
      </c>
      <c r="G37" s="24" t="s">
        <v>47</v>
      </c>
      <c r="H37" s="24" t="s">
        <v>20</v>
      </c>
      <c r="I37" s="24" t="s">
        <v>113</v>
      </c>
      <c r="J37" s="19"/>
      <c r="K37" s="24" t="s">
        <v>85</v>
      </c>
      <c r="L37" s="25" t="s">
        <v>86</v>
      </c>
      <c r="M37" s="25" t="s">
        <v>86</v>
      </c>
      <c r="N37" s="19"/>
      <c r="O37" s="24" t="s">
        <v>31</v>
      </c>
      <c r="P37" s="25" t="s">
        <v>102</v>
      </c>
      <c r="Q37" s="25" t="s">
        <v>168</v>
      </c>
      <c r="R37" s="19"/>
      <c r="S37" s="19" t="str">
        <f>"502,5"</f>
        <v>502,5</v>
      </c>
      <c r="T37" s="19" t="str">
        <f>"311,3993"</f>
        <v>311,3993</v>
      </c>
      <c r="U37" s="18" t="s">
        <v>459</v>
      </c>
    </row>
    <row r="38" spans="1:21">
      <c r="B38" s="5" t="s">
        <v>61</v>
      </c>
    </row>
    <row r="39" spans="1:21" ht="16">
      <c r="A39" s="32" t="s">
        <v>216</v>
      </c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</row>
    <row r="40" spans="1:21">
      <c r="A40" s="17" t="s">
        <v>60</v>
      </c>
      <c r="B40" s="16" t="s">
        <v>217</v>
      </c>
      <c r="C40" s="16" t="s">
        <v>218</v>
      </c>
      <c r="D40" s="16" t="s">
        <v>219</v>
      </c>
      <c r="E40" s="16" t="s">
        <v>463</v>
      </c>
      <c r="F40" s="16" t="s">
        <v>173</v>
      </c>
      <c r="G40" s="23" t="s">
        <v>15</v>
      </c>
      <c r="H40" s="23" t="s">
        <v>96</v>
      </c>
      <c r="I40" s="23" t="s">
        <v>29</v>
      </c>
      <c r="J40" s="17"/>
      <c r="K40" s="23" t="s">
        <v>21</v>
      </c>
      <c r="L40" s="23" t="s">
        <v>88</v>
      </c>
      <c r="M40" s="23" t="s">
        <v>194</v>
      </c>
      <c r="N40" s="17"/>
      <c r="O40" s="23" t="s">
        <v>31</v>
      </c>
      <c r="P40" s="23" t="s">
        <v>35</v>
      </c>
      <c r="Q40" s="22" t="s">
        <v>168</v>
      </c>
      <c r="R40" s="17"/>
      <c r="S40" s="17" t="str">
        <f>"582,5"</f>
        <v>582,5</v>
      </c>
      <c r="T40" s="17" t="str">
        <f>"347,6360"</f>
        <v>347,6360</v>
      </c>
      <c r="U40" s="16" t="s">
        <v>459</v>
      </c>
    </row>
    <row r="41" spans="1:21">
      <c r="A41" s="19" t="s">
        <v>115</v>
      </c>
      <c r="B41" s="18" t="s">
        <v>220</v>
      </c>
      <c r="C41" s="18" t="s">
        <v>221</v>
      </c>
      <c r="D41" s="18" t="s">
        <v>222</v>
      </c>
      <c r="E41" s="18" t="s">
        <v>463</v>
      </c>
      <c r="F41" s="18" t="s">
        <v>450</v>
      </c>
      <c r="G41" s="24" t="s">
        <v>15</v>
      </c>
      <c r="H41" s="24" t="s">
        <v>21</v>
      </c>
      <c r="I41" s="24" t="s">
        <v>29</v>
      </c>
      <c r="J41" s="19"/>
      <c r="K41" s="24" t="s">
        <v>34</v>
      </c>
      <c r="L41" s="24" t="s">
        <v>92</v>
      </c>
      <c r="M41" s="24" t="s">
        <v>86</v>
      </c>
      <c r="N41" s="19"/>
      <c r="O41" s="24" t="s">
        <v>31</v>
      </c>
      <c r="P41" s="24" t="s">
        <v>168</v>
      </c>
      <c r="Q41" s="24" t="s">
        <v>103</v>
      </c>
      <c r="R41" s="19"/>
      <c r="S41" s="19" t="str">
        <f>"540,0"</f>
        <v>540,0</v>
      </c>
      <c r="T41" s="19" t="str">
        <f>"318,2220"</f>
        <v>318,2220</v>
      </c>
      <c r="U41" s="18" t="s">
        <v>459</v>
      </c>
    </row>
    <row r="42" spans="1:21">
      <c r="B42" s="5" t="s">
        <v>61</v>
      </c>
    </row>
    <row r="43" spans="1:21">
      <c r="B43" s="5" t="s">
        <v>61</v>
      </c>
    </row>
    <row r="44" spans="1:21">
      <c r="B44" s="5" t="s">
        <v>61</v>
      </c>
    </row>
    <row r="45" spans="1:21" ht="18">
      <c r="B45" s="9" t="s">
        <v>49</v>
      </c>
      <c r="C45" s="9"/>
      <c r="F45" s="3"/>
    </row>
    <row r="46" spans="1:21" ht="16">
      <c r="B46" s="10" t="s">
        <v>111</v>
      </c>
      <c r="C46" s="10"/>
      <c r="F46" s="3"/>
    </row>
    <row r="47" spans="1:21" ht="14">
      <c r="B47" s="11"/>
      <c r="C47" s="12" t="s">
        <v>57</v>
      </c>
      <c r="F47" s="3"/>
    </row>
    <row r="48" spans="1:21" ht="14">
      <c r="B48" s="13" t="s">
        <v>51</v>
      </c>
      <c r="C48" s="13" t="s">
        <v>52</v>
      </c>
      <c r="D48" s="13" t="s">
        <v>447</v>
      </c>
      <c r="E48" s="13" t="s">
        <v>54</v>
      </c>
      <c r="F48" s="13" t="s">
        <v>55</v>
      </c>
    </row>
    <row r="49" spans="2:6">
      <c r="B49" s="5" t="s">
        <v>148</v>
      </c>
      <c r="C49" s="5" t="s">
        <v>57</v>
      </c>
      <c r="D49" s="6" t="s">
        <v>223</v>
      </c>
      <c r="E49" s="6" t="s">
        <v>224</v>
      </c>
      <c r="F49" s="6" t="s">
        <v>225</v>
      </c>
    </row>
    <row r="50" spans="2:6">
      <c r="B50" s="5" t="s">
        <v>138</v>
      </c>
      <c r="C50" s="5" t="s">
        <v>57</v>
      </c>
      <c r="D50" s="6" t="s">
        <v>226</v>
      </c>
      <c r="E50" s="6" t="s">
        <v>227</v>
      </c>
      <c r="F50" s="6" t="s">
        <v>228</v>
      </c>
    </row>
    <row r="51" spans="2:6">
      <c r="B51" s="5" t="s">
        <v>128</v>
      </c>
      <c r="C51" s="5" t="s">
        <v>57</v>
      </c>
      <c r="D51" s="6" t="s">
        <v>112</v>
      </c>
      <c r="E51" s="6" t="s">
        <v>229</v>
      </c>
      <c r="F51" s="6" t="s">
        <v>230</v>
      </c>
    </row>
    <row r="53" spans="2:6" ht="16">
      <c r="B53" s="10" t="s">
        <v>50</v>
      </c>
      <c r="C53" s="10"/>
    </row>
    <row r="54" spans="2:6" ht="14">
      <c r="B54" s="11"/>
      <c r="C54" s="12" t="s">
        <v>57</v>
      </c>
    </row>
    <row r="55" spans="2:6" ht="14">
      <c r="B55" s="13" t="s">
        <v>51</v>
      </c>
      <c r="C55" s="13" t="s">
        <v>52</v>
      </c>
      <c r="D55" s="13" t="s">
        <v>447</v>
      </c>
      <c r="E55" s="13" t="s">
        <v>54</v>
      </c>
      <c r="F55" s="13" t="s">
        <v>55</v>
      </c>
    </row>
    <row r="56" spans="2:6">
      <c r="B56" s="5" t="s">
        <v>197</v>
      </c>
      <c r="C56" s="5" t="s">
        <v>57</v>
      </c>
      <c r="D56" s="6" t="s">
        <v>56</v>
      </c>
      <c r="E56" s="6" t="s">
        <v>231</v>
      </c>
      <c r="F56" s="6" t="s">
        <v>232</v>
      </c>
    </row>
    <row r="57" spans="2:6">
      <c r="B57" s="5" t="s">
        <v>202</v>
      </c>
      <c r="C57" s="5" t="s">
        <v>57</v>
      </c>
      <c r="D57" s="6" t="s">
        <v>56</v>
      </c>
      <c r="E57" s="6" t="s">
        <v>233</v>
      </c>
      <c r="F57" s="6" t="s">
        <v>234</v>
      </c>
    </row>
    <row r="58" spans="2:6">
      <c r="B58" s="5" t="s">
        <v>177</v>
      </c>
      <c r="C58" s="5" t="s">
        <v>57</v>
      </c>
      <c r="D58" s="6" t="s">
        <v>114</v>
      </c>
      <c r="E58" s="6" t="s">
        <v>235</v>
      </c>
      <c r="F58" s="6" t="s">
        <v>236</v>
      </c>
    </row>
    <row r="59" spans="2:6">
      <c r="B59" s="5" t="s">
        <v>61</v>
      </c>
    </row>
  </sheetData>
  <mergeCells count="22"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33:R33"/>
    <mergeCell ref="A39:R39"/>
    <mergeCell ref="B3:B4"/>
    <mergeCell ref="A8:R8"/>
    <mergeCell ref="A12:R12"/>
    <mergeCell ref="A16:R16"/>
    <mergeCell ref="A21:R21"/>
    <mergeCell ref="A24:R24"/>
    <mergeCell ref="A29:R2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C8E1C-9231-4313-BE66-38504065DC3B}">
  <dimension ref="A1:M20"/>
  <sheetViews>
    <sheetView workbookViewId="0">
      <selection activeCell="E20" sqref="E20"/>
    </sheetView>
  </sheetViews>
  <sheetFormatPr baseColWidth="10" defaultColWidth="9.1640625" defaultRowHeight="13"/>
  <cols>
    <col min="1" max="1" width="7.5" style="5" bestFit="1" customWidth="1"/>
    <col min="2" max="2" width="22.16406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8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42" t="s">
        <v>444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458</v>
      </c>
      <c r="B3" s="34" t="s">
        <v>0</v>
      </c>
      <c r="C3" s="52" t="s">
        <v>460</v>
      </c>
      <c r="D3" s="52" t="s">
        <v>6</v>
      </c>
      <c r="E3" s="36" t="s">
        <v>461</v>
      </c>
      <c r="F3" s="36" t="s">
        <v>5</v>
      </c>
      <c r="G3" s="36" t="s">
        <v>9</v>
      </c>
      <c r="H3" s="36"/>
      <c r="I3" s="36"/>
      <c r="J3" s="36"/>
      <c r="K3" s="36" t="s">
        <v>292</v>
      </c>
      <c r="L3" s="36" t="s">
        <v>3</v>
      </c>
      <c r="M3" s="38" t="s">
        <v>2</v>
      </c>
    </row>
    <row r="4" spans="1:13" s="1" customFormat="1" ht="21" customHeight="1" thickBot="1">
      <c r="A4" s="51"/>
      <c r="B4" s="3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39"/>
    </row>
    <row r="5" spans="1:13" ht="16">
      <c r="A5" s="40" t="s">
        <v>137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8" t="s">
        <v>60</v>
      </c>
      <c r="B6" s="7" t="s">
        <v>334</v>
      </c>
      <c r="C6" s="7" t="s">
        <v>335</v>
      </c>
      <c r="D6" s="7" t="s">
        <v>336</v>
      </c>
      <c r="E6" s="7" t="s">
        <v>466</v>
      </c>
      <c r="F6" s="7" t="s">
        <v>79</v>
      </c>
      <c r="G6" s="14" t="s">
        <v>73</v>
      </c>
      <c r="H6" s="14" t="s">
        <v>338</v>
      </c>
      <c r="I6" s="14" t="s">
        <v>132</v>
      </c>
      <c r="J6" s="8"/>
      <c r="K6" s="8" t="str">
        <f>"90,0"</f>
        <v>90,0</v>
      </c>
      <c r="L6" s="8" t="str">
        <f>"135,2922"</f>
        <v>135,2922</v>
      </c>
      <c r="M6" s="7" t="s">
        <v>110</v>
      </c>
    </row>
    <row r="7" spans="1:13">
      <c r="B7" s="5" t="s">
        <v>61</v>
      </c>
    </row>
    <row r="8" spans="1:13" ht="16">
      <c r="A8" s="32" t="s">
        <v>117</v>
      </c>
      <c r="B8" s="32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60</v>
      </c>
      <c r="B9" s="7" t="s">
        <v>339</v>
      </c>
      <c r="C9" s="7" t="s">
        <v>340</v>
      </c>
      <c r="D9" s="7" t="s">
        <v>341</v>
      </c>
      <c r="E9" s="7" t="s">
        <v>467</v>
      </c>
      <c r="F9" s="7" t="s">
        <v>342</v>
      </c>
      <c r="G9" s="14" t="s">
        <v>162</v>
      </c>
      <c r="H9" s="15" t="s">
        <v>136</v>
      </c>
      <c r="I9" s="14" t="s">
        <v>136</v>
      </c>
      <c r="J9" s="8"/>
      <c r="K9" s="8" t="str">
        <f>"55,0"</f>
        <v>55,0</v>
      </c>
      <c r="L9" s="8" t="str">
        <f>"62,7605"</f>
        <v>62,7605</v>
      </c>
      <c r="M9" s="7" t="s">
        <v>459</v>
      </c>
    </row>
    <row r="10" spans="1:13">
      <c r="B10" s="5" t="s">
        <v>61</v>
      </c>
    </row>
    <row r="11" spans="1:13" ht="16">
      <c r="A11" s="32" t="s">
        <v>10</v>
      </c>
      <c r="B11" s="32"/>
      <c r="C11" s="33"/>
      <c r="D11" s="33"/>
      <c r="E11" s="33"/>
      <c r="F11" s="33"/>
      <c r="G11" s="33"/>
      <c r="H11" s="33"/>
      <c r="I11" s="33"/>
      <c r="J11" s="33"/>
    </row>
    <row r="12" spans="1:13">
      <c r="A12" s="17" t="s">
        <v>60</v>
      </c>
      <c r="B12" s="16" t="s">
        <v>343</v>
      </c>
      <c r="C12" s="16" t="s">
        <v>344</v>
      </c>
      <c r="D12" s="16" t="s">
        <v>345</v>
      </c>
      <c r="E12" s="16" t="s">
        <v>463</v>
      </c>
      <c r="F12" s="16" t="s">
        <v>342</v>
      </c>
      <c r="G12" s="23" t="s">
        <v>346</v>
      </c>
      <c r="H12" s="23" t="s">
        <v>43</v>
      </c>
      <c r="I12" s="23" t="s">
        <v>201</v>
      </c>
      <c r="J12" s="17"/>
      <c r="K12" s="17" t="str">
        <f>"255,0"</f>
        <v>255,0</v>
      </c>
      <c r="L12" s="17" t="str">
        <f>"182,5545"</f>
        <v>182,5545</v>
      </c>
      <c r="M12" s="16" t="s">
        <v>459</v>
      </c>
    </row>
    <row r="13" spans="1:13">
      <c r="A13" s="19" t="s">
        <v>60</v>
      </c>
      <c r="B13" s="18" t="s">
        <v>347</v>
      </c>
      <c r="C13" s="18" t="s">
        <v>348</v>
      </c>
      <c r="D13" s="18" t="s">
        <v>349</v>
      </c>
      <c r="E13" s="18" t="s">
        <v>466</v>
      </c>
      <c r="F13" s="18" t="s">
        <v>342</v>
      </c>
      <c r="G13" s="24" t="s">
        <v>31</v>
      </c>
      <c r="H13" s="24" t="s">
        <v>35</v>
      </c>
      <c r="I13" s="19"/>
      <c r="J13" s="19"/>
      <c r="K13" s="19" t="str">
        <f>"210,0"</f>
        <v>210,0</v>
      </c>
      <c r="L13" s="19" t="str">
        <f>"176,7733"</f>
        <v>176,7733</v>
      </c>
      <c r="M13" s="18" t="s">
        <v>459</v>
      </c>
    </row>
    <row r="14" spans="1:13">
      <c r="B14" s="5" t="s">
        <v>61</v>
      </c>
    </row>
    <row r="15" spans="1:13" ht="16">
      <c r="A15" s="32" t="s">
        <v>24</v>
      </c>
      <c r="B15" s="32"/>
      <c r="C15" s="33"/>
      <c r="D15" s="33"/>
      <c r="E15" s="33"/>
      <c r="F15" s="33"/>
      <c r="G15" s="33"/>
      <c r="H15" s="33"/>
      <c r="I15" s="33"/>
      <c r="J15" s="33"/>
    </row>
    <row r="16" spans="1:13">
      <c r="A16" s="8" t="s">
        <v>60</v>
      </c>
      <c r="B16" s="7" t="s">
        <v>350</v>
      </c>
      <c r="C16" s="7" t="s">
        <v>351</v>
      </c>
      <c r="D16" s="7" t="s">
        <v>352</v>
      </c>
      <c r="E16" s="7" t="s">
        <v>463</v>
      </c>
      <c r="F16" s="7" t="s">
        <v>79</v>
      </c>
      <c r="G16" s="14" t="s">
        <v>88</v>
      </c>
      <c r="H16" s="14" t="s">
        <v>194</v>
      </c>
      <c r="I16" s="14" t="s">
        <v>31</v>
      </c>
      <c r="J16" s="8"/>
      <c r="K16" s="8" t="str">
        <f>"200,0"</f>
        <v>200,0</v>
      </c>
      <c r="L16" s="8" t="str">
        <f>"129,2600"</f>
        <v>129,2600</v>
      </c>
      <c r="M16" s="7" t="s">
        <v>110</v>
      </c>
    </row>
    <row r="17" spans="1:13">
      <c r="B17" s="5" t="s">
        <v>61</v>
      </c>
    </row>
    <row r="18" spans="1:13" ht="16">
      <c r="A18" s="32" t="s">
        <v>37</v>
      </c>
      <c r="B18" s="32"/>
      <c r="C18" s="33"/>
      <c r="D18" s="33"/>
      <c r="E18" s="33"/>
      <c r="F18" s="33"/>
      <c r="G18" s="33"/>
      <c r="H18" s="33"/>
      <c r="I18" s="33"/>
      <c r="J18" s="33"/>
    </row>
    <row r="19" spans="1:13">
      <c r="A19" s="8" t="s">
        <v>60</v>
      </c>
      <c r="B19" s="7" t="s">
        <v>353</v>
      </c>
      <c r="C19" s="7" t="s">
        <v>354</v>
      </c>
      <c r="D19" s="7" t="s">
        <v>355</v>
      </c>
      <c r="E19" s="7" t="s">
        <v>468</v>
      </c>
      <c r="F19" s="7" t="s">
        <v>193</v>
      </c>
      <c r="G19" s="14" t="s">
        <v>32</v>
      </c>
      <c r="H19" s="14" t="s">
        <v>33</v>
      </c>
      <c r="I19" s="14" t="s">
        <v>34</v>
      </c>
      <c r="J19" s="8"/>
      <c r="K19" s="8" t="str">
        <f>"120,0"</f>
        <v>120,0</v>
      </c>
      <c r="L19" s="8" t="str">
        <f>"74,0880"</f>
        <v>74,0880</v>
      </c>
      <c r="M19" s="7" t="s">
        <v>459</v>
      </c>
    </row>
    <row r="20" spans="1:13">
      <c r="B20" s="5" t="s">
        <v>61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5:J15"/>
    <mergeCell ref="A18:J18"/>
    <mergeCell ref="B3:B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F786D-AE4A-4849-B2E6-6633EF4E709F}">
  <dimension ref="A1:M15"/>
  <sheetViews>
    <sheetView workbookViewId="0">
      <selection activeCell="E15" sqref="E15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1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10.6640625" style="6" customWidth="1"/>
    <col min="13" max="13" width="17.5" style="5" customWidth="1"/>
    <col min="14" max="16384" width="9.1640625" style="3"/>
  </cols>
  <sheetData>
    <row r="1" spans="1:13" s="2" customFormat="1" ht="29" customHeight="1">
      <c r="A1" s="42" t="s">
        <v>445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458</v>
      </c>
      <c r="B3" s="34" t="s">
        <v>0</v>
      </c>
      <c r="C3" s="52" t="s">
        <v>460</v>
      </c>
      <c r="D3" s="52" t="s">
        <v>6</v>
      </c>
      <c r="E3" s="36" t="s">
        <v>461</v>
      </c>
      <c r="F3" s="36" t="s">
        <v>5</v>
      </c>
      <c r="G3" s="36" t="s">
        <v>457</v>
      </c>
      <c r="H3" s="36"/>
      <c r="I3" s="36"/>
      <c r="J3" s="36"/>
      <c r="K3" s="36" t="s">
        <v>292</v>
      </c>
      <c r="L3" s="36" t="s">
        <v>3</v>
      </c>
      <c r="M3" s="38" t="s">
        <v>2</v>
      </c>
    </row>
    <row r="4" spans="1:13" s="1" customFormat="1" ht="21" customHeight="1" thickBot="1">
      <c r="A4" s="51"/>
      <c r="B4" s="3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39"/>
    </row>
    <row r="5" spans="1:13" ht="16">
      <c r="A5" s="40" t="s">
        <v>422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8" t="s">
        <v>60</v>
      </c>
      <c r="B6" s="7" t="s">
        <v>423</v>
      </c>
      <c r="C6" s="7" t="s">
        <v>453</v>
      </c>
      <c r="D6" s="7" t="s">
        <v>424</v>
      </c>
      <c r="E6" s="7" t="s">
        <v>462</v>
      </c>
      <c r="F6" s="7" t="s">
        <v>342</v>
      </c>
      <c r="G6" s="14" t="s">
        <v>425</v>
      </c>
      <c r="H6" s="14" t="s">
        <v>426</v>
      </c>
      <c r="I6" s="15" t="s">
        <v>427</v>
      </c>
      <c r="J6" s="8"/>
      <c r="K6" s="8" t="str">
        <f>"23,0"</f>
        <v>23,0</v>
      </c>
      <c r="L6" s="8" t="str">
        <f>"30,9051"</f>
        <v>30,9051</v>
      </c>
      <c r="M6" s="7" t="s">
        <v>428</v>
      </c>
    </row>
    <row r="7" spans="1:13">
      <c r="B7" s="5" t="s">
        <v>61</v>
      </c>
    </row>
    <row r="8" spans="1:13" ht="16">
      <c r="A8" s="32" t="s">
        <v>10</v>
      </c>
      <c r="B8" s="32"/>
      <c r="C8" s="33"/>
      <c r="D8" s="33"/>
      <c r="E8" s="33"/>
      <c r="F8" s="33"/>
      <c r="G8" s="33"/>
      <c r="H8" s="33"/>
      <c r="I8" s="33"/>
      <c r="J8" s="33"/>
    </row>
    <row r="9" spans="1:13">
      <c r="A9" s="17" t="s">
        <v>60</v>
      </c>
      <c r="B9" s="16" t="s">
        <v>305</v>
      </c>
      <c r="C9" s="16" t="s">
        <v>306</v>
      </c>
      <c r="D9" s="16" t="s">
        <v>307</v>
      </c>
      <c r="E9" s="16" t="s">
        <v>463</v>
      </c>
      <c r="F9" s="16" t="s">
        <v>308</v>
      </c>
      <c r="G9" s="23" t="s">
        <v>161</v>
      </c>
      <c r="H9" s="23" t="s">
        <v>243</v>
      </c>
      <c r="I9" s="23" t="s">
        <v>136</v>
      </c>
      <c r="J9" s="17"/>
      <c r="K9" s="17" t="str">
        <f>"55,0"</f>
        <v>55,0</v>
      </c>
      <c r="L9" s="17" t="str">
        <f>"38,4065"</f>
        <v>38,4065</v>
      </c>
      <c r="M9" s="16" t="s">
        <v>459</v>
      </c>
    </row>
    <row r="10" spans="1:13">
      <c r="A10" s="21" t="s">
        <v>115</v>
      </c>
      <c r="B10" s="20" t="s">
        <v>429</v>
      </c>
      <c r="C10" s="20" t="s">
        <v>430</v>
      </c>
      <c r="D10" s="20" t="s">
        <v>431</v>
      </c>
      <c r="E10" s="20" t="s">
        <v>463</v>
      </c>
      <c r="F10" s="20" t="s">
        <v>432</v>
      </c>
      <c r="G10" s="27" t="s">
        <v>242</v>
      </c>
      <c r="H10" s="26" t="s">
        <v>242</v>
      </c>
      <c r="I10" s="26" t="s">
        <v>243</v>
      </c>
      <c r="J10" s="21"/>
      <c r="K10" s="21" t="str">
        <f>"52,5"</f>
        <v>52,5</v>
      </c>
      <c r="L10" s="21" t="str">
        <f>"36,4718"</f>
        <v>36,4718</v>
      </c>
      <c r="M10" s="20" t="s">
        <v>459</v>
      </c>
    </row>
    <row r="11" spans="1:13">
      <c r="A11" s="19" t="s">
        <v>116</v>
      </c>
      <c r="B11" s="18" t="s">
        <v>309</v>
      </c>
      <c r="C11" s="18" t="s">
        <v>310</v>
      </c>
      <c r="D11" s="18" t="s">
        <v>311</v>
      </c>
      <c r="E11" s="18" t="s">
        <v>463</v>
      </c>
      <c r="F11" s="18" t="s">
        <v>193</v>
      </c>
      <c r="G11" s="24" t="s">
        <v>241</v>
      </c>
      <c r="H11" s="24" t="s">
        <v>161</v>
      </c>
      <c r="I11" s="25" t="s">
        <v>242</v>
      </c>
      <c r="J11" s="19"/>
      <c r="K11" s="19" t="str">
        <f>"45,0"</f>
        <v>45,0</v>
      </c>
      <c r="L11" s="19" t="str">
        <f>"31,3897"</f>
        <v>31,3897</v>
      </c>
      <c r="M11" s="18" t="s">
        <v>312</v>
      </c>
    </row>
    <row r="12" spans="1:13">
      <c r="B12" s="5" t="s">
        <v>61</v>
      </c>
    </row>
    <row r="13" spans="1:13" ht="16">
      <c r="A13" s="32" t="s">
        <v>37</v>
      </c>
      <c r="B13" s="32"/>
      <c r="C13" s="33"/>
      <c r="D13" s="33"/>
      <c r="E13" s="33"/>
      <c r="F13" s="33"/>
      <c r="G13" s="33"/>
      <c r="H13" s="33"/>
      <c r="I13" s="33"/>
      <c r="J13" s="33"/>
    </row>
    <row r="14" spans="1:13">
      <c r="A14" s="8" t="s">
        <v>60</v>
      </c>
      <c r="B14" s="7" t="s">
        <v>433</v>
      </c>
      <c r="C14" s="7" t="s">
        <v>454</v>
      </c>
      <c r="D14" s="7" t="s">
        <v>199</v>
      </c>
      <c r="E14" s="7" t="s">
        <v>464</v>
      </c>
      <c r="F14" s="7" t="s">
        <v>434</v>
      </c>
      <c r="G14" s="14" t="s">
        <v>68</v>
      </c>
      <c r="H14" s="14" t="s">
        <v>72</v>
      </c>
      <c r="I14" s="14" t="s">
        <v>121</v>
      </c>
      <c r="J14" s="8"/>
      <c r="K14" s="8" t="str">
        <f>"72,5"</f>
        <v>72,5</v>
      </c>
      <c r="L14" s="8" t="str">
        <f>"42,6119"</f>
        <v>42,6119</v>
      </c>
      <c r="M14" s="7" t="s">
        <v>459</v>
      </c>
    </row>
    <row r="15" spans="1:13">
      <c r="B15" s="5" t="s">
        <v>61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3:J13"/>
    <mergeCell ref="B3:B4"/>
    <mergeCell ref="K3:K4"/>
    <mergeCell ref="L3:L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49766-8A5E-481A-A92F-B6872A51B5FD}">
  <dimension ref="A1:M24"/>
  <sheetViews>
    <sheetView workbookViewId="0">
      <selection activeCell="E24" sqref="E24"/>
    </sheetView>
  </sheetViews>
  <sheetFormatPr baseColWidth="10" defaultColWidth="9.1640625" defaultRowHeight="13"/>
  <cols>
    <col min="1" max="1" width="7.5" style="5" bestFit="1" customWidth="1"/>
    <col min="2" max="2" width="16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8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9.83203125" style="6" customWidth="1"/>
    <col min="13" max="13" width="20.1640625" style="5" customWidth="1"/>
    <col min="14" max="16384" width="9.1640625" style="3"/>
  </cols>
  <sheetData>
    <row r="1" spans="1:13" s="2" customFormat="1" ht="29" customHeight="1">
      <c r="A1" s="42" t="s">
        <v>446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458</v>
      </c>
      <c r="B3" s="34" t="s">
        <v>0</v>
      </c>
      <c r="C3" s="52" t="s">
        <v>460</v>
      </c>
      <c r="D3" s="52" t="s">
        <v>6</v>
      </c>
      <c r="E3" s="36" t="s">
        <v>461</v>
      </c>
      <c r="F3" s="36" t="s">
        <v>5</v>
      </c>
      <c r="G3" s="36" t="s">
        <v>457</v>
      </c>
      <c r="H3" s="36"/>
      <c r="I3" s="36"/>
      <c r="J3" s="36"/>
      <c r="K3" s="36" t="s">
        <v>292</v>
      </c>
      <c r="L3" s="36" t="s">
        <v>3</v>
      </c>
      <c r="M3" s="38" t="s">
        <v>2</v>
      </c>
    </row>
    <row r="4" spans="1:13" s="1" customFormat="1" ht="21" customHeight="1" thickBot="1">
      <c r="A4" s="51"/>
      <c r="B4" s="3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39"/>
    </row>
    <row r="5" spans="1:13" ht="16">
      <c r="A5" s="40" t="s">
        <v>10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8" t="s">
        <v>60</v>
      </c>
      <c r="B6" s="7" t="s">
        <v>412</v>
      </c>
      <c r="C6" s="7" t="s">
        <v>452</v>
      </c>
      <c r="D6" s="7" t="s">
        <v>413</v>
      </c>
      <c r="E6" s="7" t="s">
        <v>465</v>
      </c>
      <c r="F6" s="7" t="s">
        <v>193</v>
      </c>
      <c r="G6" s="14" t="s">
        <v>337</v>
      </c>
      <c r="H6" s="14" t="s">
        <v>241</v>
      </c>
      <c r="I6" s="14" t="s">
        <v>161</v>
      </c>
      <c r="J6" s="8"/>
      <c r="K6" s="8" t="str">
        <f>"45,0"</f>
        <v>45,0</v>
      </c>
      <c r="L6" s="8" t="str">
        <f>"34,0865"</f>
        <v>34,0865</v>
      </c>
      <c r="M6" s="7" t="s">
        <v>459</v>
      </c>
    </row>
    <row r="7" spans="1:13">
      <c r="B7" s="5" t="s">
        <v>61</v>
      </c>
    </row>
    <row r="8" spans="1:13" ht="16">
      <c r="A8" s="32" t="s">
        <v>75</v>
      </c>
      <c r="B8" s="32"/>
      <c r="C8" s="33"/>
      <c r="D8" s="33"/>
      <c r="E8" s="33"/>
      <c r="F8" s="33"/>
      <c r="G8" s="33"/>
      <c r="H8" s="33"/>
      <c r="I8" s="33"/>
      <c r="J8" s="33"/>
    </row>
    <row r="9" spans="1:13">
      <c r="A9" s="17" t="s">
        <v>60</v>
      </c>
      <c r="B9" s="16" t="s">
        <v>414</v>
      </c>
      <c r="C9" s="16" t="s">
        <v>415</v>
      </c>
      <c r="D9" s="16" t="s">
        <v>416</v>
      </c>
      <c r="E9" s="16" t="s">
        <v>463</v>
      </c>
      <c r="F9" s="16" t="s">
        <v>417</v>
      </c>
      <c r="G9" s="22" t="s">
        <v>121</v>
      </c>
      <c r="H9" s="23" t="s">
        <v>121</v>
      </c>
      <c r="I9" s="22" t="s">
        <v>371</v>
      </c>
      <c r="J9" s="17"/>
      <c r="K9" s="17" t="str">
        <f>"72,5"</f>
        <v>72,5</v>
      </c>
      <c r="L9" s="17" t="str">
        <f>"47,2954"</f>
        <v>47,2954</v>
      </c>
      <c r="M9" s="16" t="s">
        <v>459</v>
      </c>
    </row>
    <row r="10" spans="1:13">
      <c r="A10" s="19" t="s">
        <v>115</v>
      </c>
      <c r="B10" s="18" t="s">
        <v>251</v>
      </c>
      <c r="C10" s="18" t="s">
        <v>252</v>
      </c>
      <c r="D10" s="18" t="s">
        <v>179</v>
      </c>
      <c r="E10" s="18" t="s">
        <v>463</v>
      </c>
      <c r="F10" s="18" t="s">
        <v>79</v>
      </c>
      <c r="G10" s="24" t="s">
        <v>337</v>
      </c>
      <c r="H10" s="24" t="s">
        <v>162</v>
      </c>
      <c r="I10" s="25" t="s">
        <v>67</v>
      </c>
      <c r="J10" s="19"/>
      <c r="K10" s="19" t="str">
        <f>"50,0"</f>
        <v>50,0</v>
      </c>
      <c r="L10" s="19" t="str">
        <f>"32,8900"</f>
        <v>32,8900</v>
      </c>
      <c r="M10" s="18" t="s">
        <v>459</v>
      </c>
    </row>
    <row r="11" spans="1:13">
      <c r="B11" s="5" t="s">
        <v>61</v>
      </c>
    </row>
    <row r="12" spans="1:13" ht="16">
      <c r="A12" s="32" t="s">
        <v>24</v>
      </c>
      <c r="B12" s="32"/>
      <c r="C12" s="33"/>
      <c r="D12" s="33"/>
      <c r="E12" s="33"/>
      <c r="F12" s="33"/>
      <c r="G12" s="33"/>
      <c r="H12" s="33"/>
      <c r="I12" s="33"/>
      <c r="J12" s="33"/>
    </row>
    <row r="13" spans="1:13">
      <c r="A13" s="8" t="s">
        <v>60</v>
      </c>
      <c r="B13" s="7" t="s">
        <v>253</v>
      </c>
      <c r="C13" s="7" t="s">
        <v>254</v>
      </c>
      <c r="D13" s="7" t="s">
        <v>255</v>
      </c>
      <c r="E13" s="7" t="s">
        <v>463</v>
      </c>
      <c r="F13" s="7" t="s">
        <v>79</v>
      </c>
      <c r="G13" s="14" t="s">
        <v>121</v>
      </c>
      <c r="H13" s="15" t="s">
        <v>74</v>
      </c>
      <c r="I13" s="15" t="s">
        <v>74</v>
      </c>
      <c r="J13" s="8"/>
      <c r="K13" s="8" t="str">
        <f>"72,5"</f>
        <v>72,5</v>
      </c>
      <c r="L13" s="8" t="str">
        <f>"44,6636"</f>
        <v>44,6636</v>
      </c>
      <c r="M13" s="7" t="s">
        <v>459</v>
      </c>
    </row>
    <row r="14" spans="1:13">
      <c r="B14" s="5" t="s">
        <v>61</v>
      </c>
    </row>
    <row r="15" spans="1:13" ht="16">
      <c r="A15" s="32" t="s">
        <v>37</v>
      </c>
      <c r="B15" s="32"/>
      <c r="C15" s="33"/>
      <c r="D15" s="33"/>
      <c r="E15" s="33"/>
      <c r="F15" s="33"/>
      <c r="G15" s="33"/>
      <c r="H15" s="33"/>
      <c r="I15" s="33"/>
      <c r="J15" s="33"/>
    </row>
    <row r="16" spans="1:13">
      <c r="A16" s="8" t="s">
        <v>60</v>
      </c>
      <c r="B16" s="7" t="s">
        <v>260</v>
      </c>
      <c r="C16" s="7" t="s">
        <v>261</v>
      </c>
      <c r="D16" s="7" t="s">
        <v>262</v>
      </c>
      <c r="E16" s="7" t="s">
        <v>463</v>
      </c>
      <c r="F16" s="7" t="s">
        <v>193</v>
      </c>
      <c r="G16" s="15" t="s">
        <v>74</v>
      </c>
      <c r="H16" s="14" t="s">
        <v>74</v>
      </c>
      <c r="I16" s="15" t="s">
        <v>338</v>
      </c>
      <c r="J16" s="8"/>
      <c r="K16" s="8" t="str">
        <f>"80,0"</f>
        <v>80,0</v>
      </c>
      <c r="L16" s="8" t="str">
        <f>"46,5440"</f>
        <v>46,5440</v>
      </c>
      <c r="M16" s="7" t="s">
        <v>459</v>
      </c>
    </row>
    <row r="17" spans="1:13">
      <c r="B17" s="5" t="s">
        <v>61</v>
      </c>
    </row>
    <row r="18" spans="1:13" ht="16">
      <c r="A18" s="32" t="s">
        <v>216</v>
      </c>
      <c r="B18" s="32"/>
      <c r="C18" s="33"/>
      <c r="D18" s="33"/>
      <c r="E18" s="33"/>
      <c r="F18" s="33"/>
      <c r="G18" s="33"/>
      <c r="H18" s="33"/>
      <c r="I18" s="33"/>
      <c r="J18" s="33"/>
    </row>
    <row r="19" spans="1:13">
      <c r="A19" s="8" t="s">
        <v>60</v>
      </c>
      <c r="B19" s="7" t="s">
        <v>266</v>
      </c>
      <c r="C19" s="7" t="s">
        <v>267</v>
      </c>
      <c r="D19" s="7" t="s">
        <v>268</v>
      </c>
      <c r="E19" s="7" t="s">
        <v>463</v>
      </c>
      <c r="F19" s="7" t="s">
        <v>269</v>
      </c>
      <c r="G19" s="14" t="s">
        <v>72</v>
      </c>
      <c r="H19" s="15" t="s">
        <v>73</v>
      </c>
      <c r="I19" s="15" t="s">
        <v>338</v>
      </c>
      <c r="J19" s="8"/>
      <c r="K19" s="8" t="str">
        <f>"70,0"</f>
        <v>70,0</v>
      </c>
      <c r="L19" s="8" t="str">
        <f>"39,4030"</f>
        <v>39,4030</v>
      </c>
      <c r="M19" s="7" t="s">
        <v>459</v>
      </c>
    </row>
    <row r="20" spans="1:13">
      <c r="B20" s="5" t="s">
        <v>61</v>
      </c>
    </row>
    <row r="21" spans="1:13" ht="16">
      <c r="A21" s="32" t="s">
        <v>273</v>
      </c>
      <c r="B21" s="32"/>
      <c r="C21" s="33"/>
      <c r="D21" s="33"/>
      <c r="E21" s="33"/>
      <c r="F21" s="33"/>
      <c r="G21" s="33"/>
      <c r="H21" s="33"/>
      <c r="I21" s="33"/>
      <c r="J21" s="33"/>
    </row>
    <row r="22" spans="1:13">
      <c r="A22" s="17" t="s">
        <v>60</v>
      </c>
      <c r="B22" s="16" t="s">
        <v>418</v>
      </c>
      <c r="C22" s="16" t="s">
        <v>419</v>
      </c>
      <c r="D22" s="16" t="s">
        <v>420</v>
      </c>
      <c r="E22" s="16" t="s">
        <v>463</v>
      </c>
      <c r="F22" s="16" t="s">
        <v>342</v>
      </c>
      <c r="G22" s="23" t="s">
        <v>132</v>
      </c>
      <c r="H22" s="23" t="s">
        <v>125</v>
      </c>
      <c r="I22" s="23" t="s">
        <v>126</v>
      </c>
      <c r="J22" s="17"/>
      <c r="K22" s="17" t="str">
        <f>"97,5"</f>
        <v>97,5</v>
      </c>
      <c r="L22" s="17" t="str">
        <f>"53,6786"</f>
        <v>53,6786</v>
      </c>
      <c r="M22" s="16" t="s">
        <v>459</v>
      </c>
    </row>
    <row r="23" spans="1:13">
      <c r="A23" s="19" t="s">
        <v>115</v>
      </c>
      <c r="B23" s="18" t="s">
        <v>278</v>
      </c>
      <c r="C23" s="18" t="s">
        <v>279</v>
      </c>
      <c r="D23" s="18" t="s">
        <v>280</v>
      </c>
      <c r="E23" s="18" t="s">
        <v>463</v>
      </c>
      <c r="F23" s="18" t="s">
        <v>79</v>
      </c>
      <c r="G23" s="24" t="s">
        <v>124</v>
      </c>
      <c r="H23" s="24" t="s">
        <v>421</v>
      </c>
      <c r="I23" s="25" t="s">
        <v>125</v>
      </c>
      <c r="J23" s="19"/>
      <c r="K23" s="19" t="str">
        <f>"92,5"</f>
        <v>92,5</v>
      </c>
      <c r="L23" s="19" t="str">
        <f>"50,4495"</f>
        <v>50,4495</v>
      </c>
      <c r="M23" s="18" t="s">
        <v>282</v>
      </c>
    </row>
    <row r="24" spans="1:13">
      <c r="B24" s="5" t="s">
        <v>61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1:J21"/>
    <mergeCell ref="A5:J5"/>
    <mergeCell ref="A8:J8"/>
    <mergeCell ref="A12:J12"/>
    <mergeCell ref="A15:J15"/>
    <mergeCell ref="A18:J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4D4D6-7381-4BC7-8E21-7A74F3EF2E05}">
  <dimension ref="A1:U19"/>
  <sheetViews>
    <sheetView workbookViewId="0">
      <selection activeCell="E19" sqref="E19"/>
    </sheetView>
  </sheetViews>
  <sheetFormatPr baseColWidth="10" defaultColWidth="9.1640625" defaultRowHeight="13"/>
  <cols>
    <col min="1" max="1" width="7.5" style="5" bestFit="1" customWidth="1"/>
    <col min="2" max="2" width="21.832031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9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0.83203125" style="5" customWidth="1"/>
    <col min="22" max="16384" width="9.1640625" style="3"/>
  </cols>
  <sheetData>
    <row r="1" spans="1:21" s="2" customFormat="1" ht="29" customHeight="1">
      <c r="A1" s="42" t="s">
        <v>436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458</v>
      </c>
      <c r="B3" s="34" t="s">
        <v>0</v>
      </c>
      <c r="C3" s="52" t="s">
        <v>460</v>
      </c>
      <c r="D3" s="52" t="s">
        <v>6</v>
      </c>
      <c r="E3" s="36" t="s">
        <v>461</v>
      </c>
      <c r="F3" s="36" t="s">
        <v>5</v>
      </c>
      <c r="G3" s="36" t="s">
        <v>7</v>
      </c>
      <c r="H3" s="36"/>
      <c r="I3" s="36"/>
      <c r="J3" s="36"/>
      <c r="K3" s="36" t="s">
        <v>8</v>
      </c>
      <c r="L3" s="36"/>
      <c r="M3" s="36"/>
      <c r="N3" s="36"/>
      <c r="O3" s="36" t="s">
        <v>9</v>
      </c>
      <c r="P3" s="36"/>
      <c r="Q3" s="36"/>
      <c r="R3" s="36"/>
      <c r="S3" s="36" t="s">
        <v>1</v>
      </c>
      <c r="T3" s="36" t="s">
        <v>3</v>
      </c>
      <c r="U3" s="38" t="s">
        <v>2</v>
      </c>
    </row>
    <row r="4" spans="1:21" s="1" customFormat="1" ht="21" customHeight="1" thickBot="1">
      <c r="A4" s="51"/>
      <c r="B4" s="3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7"/>
      <c r="T4" s="37"/>
      <c r="U4" s="39"/>
    </row>
    <row r="5" spans="1:21" ht="16">
      <c r="A5" s="40" t="s">
        <v>63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8" t="s">
        <v>60</v>
      </c>
      <c r="B6" s="7" t="s">
        <v>64</v>
      </c>
      <c r="C6" s="7" t="s">
        <v>65</v>
      </c>
      <c r="D6" s="7" t="s">
        <v>66</v>
      </c>
      <c r="E6" s="7" t="s">
        <v>467</v>
      </c>
      <c r="F6" s="7" t="s">
        <v>14</v>
      </c>
      <c r="G6" s="14" t="s">
        <v>67</v>
      </c>
      <c r="H6" s="14" t="s">
        <v>68</v>
      </c>
      <c r="I6" s="15" t="s">
        <v>69</v>
      </c>
      <c r="J6" s="8"/>
      <c r="K6" s="14" t="s">
        <v>70</v>
      </c>
      <c r="L6" s="14" t="s">
        <v>71</v>
      </c>
      <c r="M6" s="8"/>
      <c r="N6" s="8"/>
      <c r="O6" s="14" t="s">
        <v>72</v>
      </c>
      <c r="P6" s="14" t="s">
        <v>73</v>
      </c>
      <c r="Q6" s="14" t="s">
        <v>74</v>
      </c>
      <c r="R6" s="8"/>
      <c r="S6" s="8" t="str">
        <f>"177,5"</f>
        <v>177,5</v>
      </c>
      <c r="T6" s="8" t="str">
        <f>"215,8222"</f>
        <v>215,8222</v>
      </c>
      <c r="U6" s="7" t="s">
        <v>23</v>
      </c>
    </row>
    <row r="7" spans="1:21">
      <c r="B7" s="5" t="s">
        <v>61</v>
      </c>
    </row>
    <row r="8" spans="1:21" ht="16">
      <c r="A8" s="32" t="s">
        <v>75</v>
      </c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1">
      <c r="A9" s="8" t="s">
        <v>60</v>
      </c>
      <c r="B9" s="7" t="s">
        <v>76</v>
      </c>
      <c r="C9" s="7" t="s">
        <v>77</v>
      </c>
      <c r="D9" s="7" t="s">
        <v>78</v>
      </c>
      <c r="E9" s="7" t="s">
        <v>464</v>
      </c>
      <c r="F9" s="7" t="s">
        <v>79</v>
      </c>
      <c r="G9" s="14" t="s">
        <v>19</v>
      </c>
      <c r="H9" s="14" t="s">
        <v>32</v>
      </c>
      <c r="I9" s="14" t="s">
        <v>33</v>
      </c>
      <c r="J9" s="8"/>
      <c r="K9" s="14" t="s">
        <v>18</v>
      </c>
      <c r="L9" s="14" t="s">
        <v>80</v>
      </c>
      <c r="M9" s="15" t="s">
        <v>33</v>
      </c>
      <c r="N9" s="8"/>
      <c r="O9" s="14" t="s">
        <v>46</v>
      </c>
      <c r="P9" s="14" t="s">
        <v>15</v>
      </c>
      <c r="Q9" s="14" t="s">
        <v>20</v>
      </c>
      <c r="R9" s="8"/>
      <c r="S9" s="8" t="str">
        <f>"387,5"</f>
        <v>387,5</v>
      </c>
      <c r="T9" s="8" t="str">
        <f>"264,9725"</f>
        <v>264,9725</v>
      </c>
      <c r="U9" s="7" t="s">
        <v>81</v>
      </c>
    </row>
    <row r="10" spans="1:21">
      <c r="B10" s="5" t="s">
        <v>61</v>
      </c>
    </row>
    <row r="11" spans="1:21" ht="16">
      <c r="A11" s="32" t="s">
        <v>24</v>
      </c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21">
      <c r="A12" s="17" t="s">
        <v>60</v>
      </c>
      <c r="B12" s="16" t="s">
        <v>82</v>
      </c>
      <c r="C12" s="16" t="s">
        <v>83</v>
      </c>
      <c r="D12" s="16" t="s">
        <v>84</v>
      </c>
      <c r="E12" s="16" t="s">
        <v>463</v>
      </c>
      <c r="F12" s="16" t="s">
        <v>79</v>
      </c>
      <c r="G12" s="22" t="s">
        <v>45</v>
      </c>
      <c r="H12" s="23" t="s">
        <v>45</v>
      </c>
      <c r="I12" s="22" t="s">
        <v>46</v>
      </c>
      <c r="J12" s="17"/>
      <c r="K12" s="23" t="s">
        <v>85</v>
      </c>
      <c r="L12" s="23" t="s">
        <v>86</v>
      </c>
      <c r="M12" s="23" t="s">
        <v>87</v>
      </c>
      <c r="N12" s="17"/>
      <c r="O12" s="23" t="s">
        <v>20</v>
      </c>
      <c r="P12" s="23" t="s">
        <v>21</v>
      </c>
      <c r="Q12" s="23" t="s">
        <v>88</v>
      </c>
      <c r="R12" s="17"/>
      <c r="S12" s="17" t="str">
        <f>"467,5"</f>
        <v>467,5</v>
      </c>
      <c r="T12" s="17" t="str">
        <f>"303,4543"</f>
        <v>303,4543</v>
      </c>
      <c r="U12" s="16" t="s">
        <v>459</v>
      </c>
    </row>
    <row r="13" spans="1:21">
      <c r="A13" s="19" t="s">
        <v>115</v>
      </c>
      <c r="B13" s="18" t="s">
        <v>89</v>
      </c>
      <c r="C13" s="18" t="s">
        <v>90</v>
      </c>
      <c r="D13" s="18" t="s">
        <v>91</v>
      </c>
      <c r="E13" s="18" t="s">
        <v>463</v>
      </c>
      <c r="F13" s="18" t="s">
        <v>79</v>
      </c>
      <c r="G13" s="24" t="s">
        <v>86</v>
      </c>
      <c r="H13" s="25" t="s">
        <v>45</v>
      </c>
      <c r="I13" s="24" t="s">
        <v>45</v>
      </c>
      <c r="J13" s="19"/>
      <c r="K13" s="24" t="s">
        <v>19</v>
      </c>
      <c r="L13" s="25" t="s">
        <v>33</v>
      </c>
      <c r="M13" s="25" t="s">
        <v>33</v>
      </c>
      <c r="N13" s="19"/>
      <c r="O13" s="24" t="s">
        <v>34</v>
      </c>
      <c r="P13" s="24" t="s">
        <v>92</v>
      </c>
      <c r="Q13" s="25" t="s">
        <v>45</v>
      </c>
      <c r="R13" s="19"/>
      <c r="S13" s="19" t="str">
        <f>"375,0"</f>
        <v>375,0</v>
      </c>
      <c r="T13" s="19" t="str">
        <f>"241,5000"</f>
        <v>241,5000</v>
      </c>
      <c r="U13" s="18" t="s">
        <v>81</v>
      </c>
    </row>
    <row r="14" spans="1:21">
      <c r="B14" s="5" t="s">
        <v>61</v>
      </c>
    </row>
    <row r="15" spans="1:21" ht="16">
      <c r="A15" s="32" t="s">
        <v>37</v>
      </c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21">
      <c r="A16" s="17" t="s">
        <v>60</v>
      </c>
      <c r="B16" s="16" t="s">
        <v>93</v>
      </c>
      <c r="C16" s="16" t="s">
        <v>94</v>
      </c>
      <c r="D16" s="16" t="s">
        <v>95</v>
      </c>
      <c r="E16" s="16" t="s">
        <v>463</v>
      </c>
      <c r="F16" s="16" t="s">
        <v>28</v>
      </c>
      <c r="G16" s="23" t="s">
        <v>30</v>
      </c>
      <c r="H16" s="23" t="s">
        <v>31</v>
      </c>
      <c r="I16" s="23" t="s">
        <v>35</v>
      </c>
      <c r="J16" s="17"/>
      <c r="K16" s="23" t="s">
        <v>15</v>
      </c>
      <c r="L16" s="23" t="s">
        <v>20</v>
      </c>
      <c r="M16" s="23" t="s">
        <v>96</v>
      </c>
      <c r="N16" s="17"/>
      <c r="O16" s="23" t="s">
        <v>35</v>
      </c>
      <c r="P16" s="23" t="s">
        <v>97</v>
      </c>
      <c r="Q16" s="23" t="s">
        <v>98</v>
      </c>
      <c r="R16" s="17"/>
      <c r="S16" s="17" t="str">
        <f>"615,0"</f>
        <v>615,0</v>
      </c>
      <c r="T16" s="17" t="str">
        <f>"376,7490"</f>
        <v>376,7490</v>
      </c>
      <c r="U16" s="16" t="s">
        <v>36</v>
      </c>
    </row>
    <row r="17" spans="1:21">
      <c r="A17" s="21" t="s">
        <v>115</v>
      </c>
      <c r="B17" s="20" t="s">
        <v>99</v>
      </c>
      <c r="C17" s="20" t="s">
        <v>100</v>
      </c>
      <c r="D17" s="20" t="s">
        <v>101</v>
      </c>
      <c r="E17" s="20" t="s">
        <v>463</v>
      </c>
      <c r="F17" s="20" t="s">
        <v>79</v>
      </c>
      <c r="G17" s="26" t="s">
        <v>102</v>
      </c>
      <c r="H17" s="26" t="s">
        <v>103</v>
      </c>
      <c r="I17" s="26" t="s">
        <v>42</v>
      </c>
      <c r="J17" s="21"/>
      <c r="K17" s="26" t="s">
        <v>86</v>
      </c>
      <c r="L17" s="26" t="s">
        <v>104</v>
      </c>
      <c r="M17" s="26" t="s">
        <v>46</v>
      </c>
      <c r="N17" s="21"/>
      <c r="O17" s="26" t="s">
        <v>31</v>
      </c>
      <c r="P17" s="26" t="s">
        <v>35</v>
      </c>
      <c r="Q17" s="26" t="s">
        <v>103</v>
      </c>
      <c r="R17" s="21"/>
      <c r="S17" s="21" t="str">
        <f>"605,0"</f>
        <v>605,0</v>
      </c>
      <c r="T17" s="21" t="str">
        <f>"378,7300"</f>
        <v>378,7300</v>
      </c>
      <c r="U17" s="20" t="s">
        <v>105</v>
      </c>
    </row>
    <row r="18" spans="1:21">
      <c r="A18" s="19" t="s">
        <v>116</v>
      </c>
      <c r="B18" s="18" t="s">
        <v>106</v>
      </c>
      <c r="C18" s="18" t="s">
        <v>107</v>
      </c>
      <c r="D18" s="18" t="s">
        <v>108</v>
      </c>
      <c r="E18" s="18" t="s">
        <v>463</v>
      </c>
      <c r="F18" s="18" t="s">
        <v>79</v>
      </c>
      <c r="G18" s="25" t="s">
        <v>21</v>
      </c>
      <c r="H18" s="25" t="s">
        <v>21</v>
      </c>
      <c r="I18" s="24" t="s">
        <v>21</v>
      </c>
      <c r="J18" s="19"/>
      <c r="K18" s="24" t="s">
        <v>92</v>
      </c>
      <c r="L18" s="24" t="s">
        <v>86</v>
      </c>
      <c r="M18" s="25" t="s">
        <v>45</v>
      </c>
      <c r="N18" s="19"/>
      <c r="O18" s="24" t="s">
        <v>30</v>
      </c>
      <c r="P18" s="24" t="s">
        <v>31</v>
      </c>
      <c r="Q18" s="24" t="s">
        <v>109</v>
      </c>
      <c r="R18" s="19"/>
      <c r="S18" s="19" t="str">
        <f>"515,0"</f>
        <v>515,0</v>
      </c>
      <c r="T18" s="19" t="str">
        <f>"316,5705"</f>
        <v>316,5705</v>
      </c>
      <c r="U18" s="18" t="s">
        <v>110</v>
      </c>
    </row>
    <row r="19" spans="1:21">
      <c r="B19" s="5" t="s">
        <v>61</v>
      </c>
    </row>
  </sheetData>
  <mergeCells count="17"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5:R15"/>
    <mergeCell ref="B3:B4"/>
    <mergeCell ref="S3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D98E4-CAFA-4A88-BFCE-66A771C89C3F}">
  <dimension ref="A1:U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9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0.1640625" style="5" customWidth="1"/>
    <col min="22" max="16384" width="9.1640625" style="3"/>
  </cols>
  <sheetData>
    <row r="1" spans="1:21" s="2" customFormat="1" ht="29" customHeight="1">
      <c r="A1" s="42" t="s">
        <v>437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458</v>
      </c>
      <c r="B3" s="34" t="s">
        <v>0</v>
      </c>
      <c r="C3" s="52" t="s">
        <v>460</v>
      </c>
      <c r="D3" s="52" t="s">
        <v>6</v>
      </c>
      <c r="E3" s="36" t="s">
        <v>461</v>
      </c>
      <c r="F3" s="36" t="s">
        <v>5</v>
      </c>
      <c r="G3" s="36" t="s">
        <v>7</v>
      </c>
      <c r="H3" s="36"/>
      <c r="I3" s="36"/>
      <c r="J3" s="36"/>
      <c r="K3" s="36" t="s">
        <v>8</v>
      </c>
      <c r="L3" s="36"/>
      <c r="M3" s="36"/>
      <c r="N3" s="36"/>
      <c r="O3" s="36" t="s">
        <v>9</v>
      </c>
      <c r="P3" s="36"/>
      <c r="Q3" s="36"/>
      <c r="R3" s="36"/>
      <c r="S3" s="36" t="s">
        <v>1</v>
      </c>
      <c r="T3" s="36" t="s">
        <v>3</v>
      </c>
      <c r="U3" s="38" t="s">
        <v>2</v>
      </c>
    </row>
    <row r="4" spans="1:21" s="1" customFormat="1" ht="21" customHeight="1" thickBot="1">
      <c r="A4" s="51"/>
      <c r="B4" s="3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7"/>
      <c r="T4" s="37"/>
      <c r="U4" s="39"/>
    </row>
    <row r="5" spans="1:21" ht="16">
      <c r="A5" s="40" t="s">
        <v>10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8" t="s">
        <v>60</v>
      </c>
      <c r="B6" s="7" t="s">
        <v>11</v>
      </c>
      <c r="C6" s="7" t="s">
        <v>62</v>
      </c>
      <c r="D6" s="7" t="s">
        <v>13</v>
      </c>
      <c r="E6" s="7" t="s">
        <v>464</v>
      </c>
      <c r="F6" s="7" t="s">
        <v>14</v>
      </c>
      <c r="G6" s="14" t="s">
        <v>15</v>
      </c>
      <c r="H6" s="14" t="s">
        <v>16</v>
      </c>
      <c r="I6" s="14" t="s">
        <v>17</v>
      </c>
      <c r="J6" s="8"/>
      <c r="K6" s="14" t="s">
        <v>18</v>
      </c>
      <c r="L6" s="15" t="s">
        <v>19</v>
      </c>
      <c r="M6" s="15" t="s">
        <v>19</v>
      </c>
      <c r="N6" s="8"/>
      <c r="O6" s="14" t="s">
        <v>20</v>
      </c>
      <c r="P6" s="14" t="s">
        <v>21</v>
      </c>
      <c r="Q6" s="15" t="s">
        <v>22</v>
      </c>
      <c r="R6" s="8"/>
      <c r="S6" s="8" t="str">
        <f>"447,5"</f>
        <v>447,5</v>
      </c>
      <c r="T6" s="8" t="str">
        <f>"320,9917"</f>
        <v>320,9917</v>
      </c>
      <c r="U6" s="7" t="s">
        <v>23</v>
      </c>
    </row>
    <row r="7" spans="1:21">
      <c r="B7" s="5" t="s">
        <v>61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U13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9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2.1640625" style="5" customWidth="1"/>
    <col min="22" max="16384" width="9.1640625" style="3"/>
  </cols>
  <sheetData>
    <row r="1" spans="1:21" s="2" customFormat="1" ht="29" customHeight="1">
      <c r="A1" s="42" t="s">
        <v>438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458</v>
      </c>
      <c r="B3" s="34" t="s">
        <v>0</v>
      </c>
      <c r="C3" s="52" t="s">
        <v>460</v>
      </c>
      <c r="D3" s="52" t="s">
        <v>6</v>
      </c>
      <c r="E3" s="36" t="s">
        <v>461</v>
      </c>
      <c r="F3" s="36" t="s">
        <v>5</v>
      </c>
      <c r="G3" s="36" t="s">
        <v>7</v>
      </c>
      <c r="H3" s="36"/>
      <c r="I3" s="36"/>
      <c r="J3" s="36"/>
      <c r="K3" s="36" t="s">
        <v>8</v>
      </c>
      <c r="L3" s="36"/>
      <c r="M3" s="36"/>
      <c r="N3" s="36"/>
      <c r="O3" s="36" t="s">
        <v>9</v>
      </c>
      <c r="P3" s="36"/>
      <c r="Q3" s="36"/>
      <c r="R3" s="36"/>
      <c r="S3" s="36" t="s">
        <v>1</v>
      </c>
      <c r="T3" s="36" t="s">
        <v>3</v>
      </c>
      <c r="U3" s="38" t="s">
        <v>2</v>
      </c>
    </row>
    <row r="4" spans="1:21" s="1" customFormat="1" ht="21" customHeight="1" thickBot="1">
      <c r="A4" s="51"/>
      <c r="B4" s="3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37"/>
      <c r="T4" s="37"/>
      <c r="U4" s="39"/>
    </row>
    <row r="5" spans="1:21" ht="16">
      <c r="A5" s="40" t="s">
        <v>10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8" t="s">
        <v>60</v>
      </c>
      <c r="B6" s="7" t="s">
        <v>11</v>
      </c>
      <c r="C6" s="7" t="s">
        <v>12</v>
      </c>
      <c r="D6" s="7" t="s">
        <v>13</v>
      </c>
      <c r="E6" s="7" t="s">
        <v>463</v>
      </c>
      <c r="F6" s="7" t="s">
        <v>14</v>
      </c>
      <c r="G6" s="14" t="s">
        <v>15</v>
      </c>
      <c r="H6" s="14" t="s">
        <v>16</v>
      </c>
      <c r="I6" s="14" t="s">
        <v>17</v>
      </c>
      <c r="J6" s="8"/>
      <c r="K6" s="14" t="s">
        <v>18</v>
      </c>
      <c r="L6" s="15" t="s">
        <v>19</v>
      </c>
      <c r="M6" s="15" t="s">
        <v>19</v>
      </c>
      <c r="N6" s="8"/>
      <c r="O6" s="14" t="s">
        <v>20</v>
      </c>
      <c r="P6" s="14" t="s">
        <v>21</v>
      </c>
      <c r="Q6" s="15" t="s">
        <v>22</v>
      </c>
      <c r="R6" s="8"/>
      <c r="S6" s="8" t="str">
        <f>"447,5"</f>
        <v>447,5</v>
      </c>
      <c r="T6" s="8" t="str">
        <f>"320,9917"</f>
        <v>320,9917</v>
      </c>
      <c r="U6" s="7" t="s">
        <v>23</v>
      </c>
    </row>
    <row r="7" spans="1:21">
      <c r="B7" s="5" t="s">
        <v>61</v>
      </c>
    </row>
    <row r="8" spans="1:21" ht="16">
      <c r="A8" s="32" t="s">
        <v>24</v>
      </c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1">
      <c r="A9" s="8" t="s">
        <v>60</v>
      </c>
      <c r="B9" s="7" t="s">
        <v>25</v>
      </c>
      <c r="C9" s="7" t="s">
        <v>26</v>
      </c>
      <c r="D9" s="7" t="s">
        <v>27</v>
      </c>
      <c r="E9" s="7" t="s">
        <v>463</v>
      </c>
      <c r="F9" s="7" t="s">
        <v>28</v>
      </c>
      <c r="G9" s="14" t="s">
        <v>29</v>
      </c>
      <c r="H9" s="14" t="s">
        <v>30</v>
      </c>
      <c r="I9" s="14" t="s">
        <v>31</v>
      </c>
      <c r="J9" s="8"/>
      <c r="K9" s="14" t="s">
        <v>32</v>
      </c>
      <c r="L9" s="14" t="s">
        <v>33</v>
      </c>
      <c r="M9" s="15" t="s">
        <v>34</v>
      </c>
      <c r="N9" s="8"/>
      <c r="O9" s="14" t="s">
        <v>31</v>
      </c>
      <c r="P9" s="14" t="s">
        <v>35</v>
      </c>
      <c r="Q9" s="8"/>
      <c r="R9" s="8"/>
      <c r="S9" s="8" t="str">
        <f>"525,0"</f>
        <v>525,0</v>
      </c>
      <c r="T9" s="8" t="str">
        <f>"336,5250"</f>
        <v>336,5250</v>
      </c>
      <c r="U9" s="7" t="s">
        <v>36</v>
      </c>
    </row>
    <row r="10" spans="1:21">
      <c r="B10" s="5" t="s">
        <v>61</v>
      </c>
    </row>
    <row r="11" spans="1:21" ht="16">
      <c r="A11" s="32" t="s">
        <v>37</v>
      </c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21">
      <c r="A12" s="8" t="s">
        <v>60</v>
      </c>
      <c r="B12" s="7" t="s">
        <v>38</v>
      </c>
      <c r="C12" s="7" t="s">
        <v>39</v>
      </c>
      <c r="D12" s="7" t="s">
        <v>40</v>
      </c>
      <c r="E12" s="7" t="s">
        <v>464</v>
      </c>
      <c r="F12" s="7" t="s">
        <v>41</v>
      </c>
      <c r="G12" s="14" t="s">
        <v>42</v>
      </c>
      <c r="H12" s="14" t="s">
        <v>43</v>
      </c>
      <c r="I12" s="14" t="s">
        <v>44</v>
      </c>
      <c r="J12" s="8"/>
      <c r="K12" s="14" t="s">
        <v>45</v>
      </c>
      <c r="L12" s="14" t="s">
        <v>46</v>
      </c>
      <c r="M12" s="15" t="s">
        <v>47</v>
      </c>
      <c r="N12" s="8"/>
      <c r="O12" s="14" t="s">
        <v>42</v>
      </c>
      <c r="P12" s="14" t="s">
        <v>43</v>
      </c>
      <c r="Q12" s="8"/>
      <c r="R12" s="8"/>
      <c r="S12" s="8" t="str">
        <f>"660,0"</f>
        <v>660,0</v>
      </c>
      <c r="T12" s="8" t="str">
        <f>"406,2300"</f>
        <v>406,2300</v>
      </c>
      <c r="U12" s="7" t="s">
        <v>48</v>
      </c>
    </row>
    <row r="13" spans="1:21">
      <c r="B13" s="5" t="s">
        <v>61</v>
      </c>
    </row>
  </sheetData>
  <mergeCells count="16"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A5:R5"/>
    <mergeCell ref="A8:R8"/>
    <mergeCell ref="A11:R11"/>
    <mergeCell ref="B3:B4"/>
    <mergeCell ref="E3:E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C744A-453F-4764-A698-8B6A239B4325}">
  <dimension ref="A1:Q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9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7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9.83203125" style="5" customWidth="1"/>
    <col min="18" max="16384" width="9.1640625" style="3"/>
  </cols>
  <sheetData>
    <row r="1" spans="1:17" s="2" customFormat="1" ht="29" customHeight="1">
      <c r="A1" s="42" t="s">
        <v>439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>
      <c r="A3" s="50" t="s">
        <v>458</v>
      </c>
      <c r="B3" s="34" t="s">
        <v>0</v>
      </c>
      <c r="C3" s="52" t="s">
        <v>460</v>
      </c>
      <c r="D3" s="52" t="s">
        <v>6</v>
      </c>
      <c r="E3" s="36" t="s">
        <v>461</v>
      </c>
      <c r="F3" s="36" t="s">
        <v>5</v>
      </c>
      <c r="G3" s="36" t="s">
        <v>8</v>
      </c>
      <c r="H3" s="36"/>
      <c r="I3" s="36"/>
      <c r="J3" s="36"/>
      <c r="K3" s="36" t="s">
        <v>9</v>
      </c>
      <c r="L3" s="36"/>
      <c r="M3" s="36"/>
      <c r="N3" s="36"/>
      <c r="O3" s="36" t="s">
        <v>1</v>
      </c>
      <c r="P3" s="36" t="s">
        <v>3</v>
      </c>
      <c r="Q3" s="38" t="s">
        <v>2</v>
      </c>
    </row>
    <row r="4" spans="1:17" s="1" customFormat="1" ht="21" customHeight="1" thickBot="1">
      <c r="A4" s="51"/>
      <c r="B4" s="3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7"/>
      <c r="P4" s="37"/>
      <c r="Q4" s="39"/>
    </row>
    <row r="5" spans="1:17" ht="16">
      <c r="A5" s="40" t="s">
        <v>75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7">
      <c r="A6" s="8" t="s">
        <v>60</v>
      </c>
      <c r="B6" s="7" t="s">
        <v>408</v>
      </c>
      <c r="C6" s="7" t="s">
        <v>409</v>
      </c>
      <c r="D6" s="7" t="s">
        <v>410</v>
      </c>
      <c r="E6" s="7" t="s">
        <v>463</v>
      </c>
      <c r="F6" s="7" t="s">
        <v>411</v>
      </c>
      <c r="G6" s="14" t="s">
        <v>33</v>
      </c>
      <c r="H6" s="14" t="s">
        <v>34</v>
      </c>
      <c r="I6" s="15" t="s">
        <v>85</v>
      </c>
      <c r="J6" s="8"/>
      <c r="K6" s="14" t="s">
        <v>29</v>
      </c>
      <c r="L6" s="14" t="s">
        <v>211</v>
      </c>
      <c r="M6" s="14" t="s">
        <v>31</v>
      </c>
      <c r="N6" s="8"/>
      <c r="O6" s="8" t="str">
        <f>"320,0"</f>
        <v>320,0</v>
      </c>
      <c r="P6" s="8" t="str">
        <f>"215,0080"</f>
        <v>215,0080</v>
      </c>
      <c r="Q6" s="7" t="s">
        <v>459</v>
      </c>
    </row>
    <row r="7" spans="1:17">
      <c r="B7" s="5" t="s">
        <v>61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2553A-ABAE-402E-BD9B-A358F78A23BA}">
  <dimension ref="A1:Q13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1.1640625" style="5" customWidth="1"/>
    <col min="18" max="16384" width="9.1640625" style="3"/>
  </cols>
  <sheetData>
    <row r="1" spans="1:17" s="2" customFormat="1" ht="29" customHeight="1">
      <c r="A1" s="42" t="s">
        <v>440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>
      <c r="A3" s="50" t="s">
        <v>458</v>
      </c>
      <c r="B3" s="34" t="s">
        <v>0</v>
      </c>
      <c r="C3" s="52" t="s">
        <v>460</v>
      </c>
      <c r="D3" s="52" t="s">
        <v>6</v>
      </c>
      <c r="E3" s="36" t="s">
        <v>461</v>
      </c>
      <c r="F3" s="36" t="s">
        <v>5</v>
      </c>
      <c r="G3" s="36" t="s">
        <v>8</v>
      </c>
      <c r="H3" s="36"/>
      <c r="I3" s="36"/>
      <c r="J3" s="36"/>
      <c r="K3" s="36" t="s">
        <v>9</v>
      </c>
      <c r="L3" s="36"/>
      <c r="M3" s="36"/>
      <c r="N3" s="36"/>
      <c r="O3" s="36" t="s">
        <v>1</v>
      </c>
      <c r="P3" s="36" t="s">
        <v>3</v>
      </c>
      <c r="Q3" s="38" t="s">
        <v>2</v>
      </c>
    </row>
    <row r="4" spans="1:17" s="1" customFormat="1" ht="21" customHeight="1" thickBot="1">
      <c r="A4" s="51"/>
      <c r="B4" s="3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37"/>
      <c r="P4" s="37"/>
      <c r="Q4" s="39"/>
    </row>
    <row r="5" spans="1:17" ht="16">
      <c r="A5" s="40" t="s">
        <v>356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7">
      <c r="A6" s="8" t="s">
        <v>60</v>
      </c>
      <c r="B6" s="7" t="s">
        <v>400</v>
      </c>
      <c r="C6" s="7" t="s">
        <v>401</v>
      </c>
      <c r="D6" s="7" t="s">
        <v>402</v>
      </c>
      <c r="E6" s="7" t="s">
        <v>463</v>
      </c>
      <c r="F6" s="7" t="s">
        <v>79</v>
      </c>
      <c r="G6" s="14" t="s">
        <v>71</v>
      </c>
      <c r="H6" s="14" t="s">
        <v>403</v>
      </c>
      <c r="I6" s="15" t="s">
        <v>146</v>
      </c>
      <c r="J6" s="8"/>
      <c r="K6" s="15" t="s">
        <v>72</v>
      </c>
      <c r="L6" s="14" t="s">
        <v>72</v>
      </c>
      <c r="M6" s="14" t="s">
        <v>73</v>
      </c>
      <c r="N6" s="8"/>
      <c r="O6" s="8" t="str">
        <f>"110,0"</f>
        <v>110,0</v>
      </c>
      <c r="P6" s="8" t="str">
        <f>"148,8520"</f>
        <v>148,8520</v>
      </c>
      <c r="Q6" s="7" t="s">
        <v>110</v>
      </c>
    </row>
    <row r="7" spans="1:17">
      <c r="B7" s="5" t="s">
        <v>61</v>
      </c>
    </row>
    <row r="8" spans="1:17" ht="16">
      <c r="A8" s="32" t="s">
        <v>137</v>
      </c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7">
      <c r="A9" s="8" t="s">
        <v>60</v>
      </c>
      <c r="B9" s="7" t="s">
        <v>334</v>
      </c>
      <c r="C9" s="7" t="s">
        <v>335</v>
      </c>
      <c r="D9" s="7" t="s">
        <v>336</v>
      </c>
      <c r="E9" s="7" t="s">
        <v>466</v>
      </c>
      <c r="F9" s="7" t="s">
        <v>79</v>
      </c>
      <c r="G9" s="14" t="s">
        <v>71</v>
      </c>
      <c r="H9" s="14" t="s">
        <v>146</v>
      </c>
      <c r="I9" s="15" t="s">
        <v>337</v>
      </c>
      <c r="J9" s="8"/>
      <c r="K9" s="14" t="s">
        <v>73</v>
      </c>
      <c r="L9" s="14" t="s">
        <v>338</v>
      </c>
      <c r="M9" s="14" t="s">
        <v>132</v>
      </c>
      <c r="N9" s="8"/>
      <c r="O9" s="8" t="str">
        <f>"127,5"</f>
        <v>127,5</v>
      </c>
      <c r="P9" s="8" t="str">
        <f>"191,6639"</f>
        <v>191,6639</v>
      </c>
      <c r="Q9" s="7" t="s">
        <v>110</v>
      </c>
    </row>
    <row r="10" spans="1:17">
      <c r="B10" s="5" t="s">
        <v>61</v>
      </c>
    </row>
    <row r="11" spans="1:17" ht="16">
      <c r="A11" s="32" t="s">
        <v>404</v>
      </c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7">
      <c r="A12" s="8" t="s">
        <v>60</v>
      </c>
      <c r="B12" s="7" t="s">
        <v>405</v>
      </c>
      <c r="C12" s="7" t="s">
        <v>406</v>
      </c>
      <c r="D12" s="7" t="s">
        <v>407</v>
      </c>
      <c r="E12" s="7" t="s">
        <v>464</v>
      </c>
      <c r="F12" s="7" t="s">
        <v>79</v>
      </c>
      <c r="G12" s="14" t="s">
        <v>136</v>
      </c>
      <c r="H12" s="14" t="s">
        <v>67</v>
      </c>
      <c r="I12" s="14" t="s">
        <v>68</v>
      </c>
      <c r="J12" s="8"/>
      <c r="K12" s="14" t="s">
        <v>132</v>
      </c>
      <c r="L12" s="15" t="s">
        <v>18</v>
      </c>
      <c r="M12" s="15" t="s">
        <v>18</v>
      </c>
      <c r="N12" s="8"/>
      <c r="O12" s="8" t="str">
        <f>"155,0"</f>
        <v>155,0</v>
      </c>
      <c r="P12" s="8" t="str">
        <f>"124,9765"</f>
        <v>124,9765</v>
      </c>
      <c r="Q12" s="7" t="s">
        <v>212</v>
      </c>
    </row>
    <row r="13" spans="1:17">
      <c r="B13" s="5" t="s">
        <v>61</v>
      </c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B3:B4"/>
    <mergeCell ref="O3:O4"/>
    <mergeCell ref="P3:P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96000-5403-4512-A85E-8A8A7B8D7C1B}">
  <dimension ref="A1:M47"/>
  <sheetViews>
    <sheetView topLeftCell="A12" workbookViewId="0">
      <selection activeCell="F38" sqref="F38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33.6640625" style="5" bestFit="1" customWidth="1"/>
    <col min="7" max="9" width="5.5" style="6" customWidth="1"/>
    <col min="10" max="10" width="4.83203125" style="6" customWidth="1"/>
    <col min="11" max="11" width="10.5" style="29" bestFit="1" customWidth="1"/>
    <col min="12" max="12" width="8.5" style="6" bestFit="1" customWidth="1"/>
    <col min="13" max="13" width="23.6640625" style="5" customWidth="1"/>
    <col min="14" max="16384" width="9.1640625" style="3"/>
  </cols>
  <sheetData>
    <row r="1" spans="1:13" s="2" customFormat="1" ht="29" customHeight="1">
      <c r="A1" s="42" t="s">
        <v>441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458</v>
      </c>
      <c r="B3" s="34" t="s">
        <v>0</v>
      </c>
      <c r="C3" s="52" t="s">
        <v>460</v>
      </c>
      <c r="D3" s="52" t="s">
        <v>6</v>
      </c>
      <c r="E3" s="36" t="s">
        <v>461</v>
      </c>
      <c r="F3" s="36" t="s">
        <v>5</v>
      </c>
      <c r="G3" s="36" t="s">
        <v>8</v>
      </c>
      <c r="H3" s="36"/>
      <c r="I3" s="36"/>
      <c r="J3" s="36"/>
      <c r="K3" s="53" t="s">
        <v>292</v>
      </c>
      <c r="L3" s="36" t="s">
        <v>3</v>
      </c>
      <c r="M3" s="38" t="s">
        <v>2</v>
      </c>
    </row>
    <row r="4" spans="1:13" s="1" customFormat="1" ht="21" customHeight="1" thickBot="1">
      <c r="A4" s="51"/>
      <c r="B4" s="3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54"/>
      <c r="L4" s="37"/>
      <c r="M4" s="39"/>
    </row>
    <row r="5" spans="1:13" ht="16">
      <c r="A5" s="40" t="s">
        <v>117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8" t="s">
        <v>60</v>
      </c>
      <c r="B6" s="7" t="s">
        <v>118</v>
      </c>
      <c r="C6" s="7" t="s">
        <v>119</v>
      </c>
      <c r="D6" s="7" t="s">
        <v>120</v>
      </c>
      <c r="E6" s="7" t="s">
        <v>463</v>
      </c>
      <c r="F6" s="7" t="s">
        <v>449</v>
      </c>
      <c r="G6" s="14" t="s">
        <v>122</v>
      </c>
      <c r="H6" s="14" t="s">
        <v>67</v>
      </c>
      <c r="I6" s="15" t="s">
        <v>123</v>
      </c>
      <c r="J6" s="8"/>
      <c r="K6" s="28" t="str">
        <f>"60,0"</f>
        <v>60,0</v>
      </c>
      <c r="L6" s="8" t="str">
        <f>"76,3800"</f>
        <v>76,3800</v>
      </c>
      <c r="M6" s="7" t="s">
        <v>127</v>
      </c>
    </row>
    <row r="7" spans="1:13">
      <c r="B7" s="5" t="s">
        <v>61</v>
      </c>
    </row>
    <row r="8" spans="1:13" ht="16">
      <c r="A8" s="32" t="s">
        <v>63</v>
      </c>
      <c r="B8" s="32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60</v>
      </c>
      <c r="B9" s="7" t="s">
        <v>293</v>
      </c>
      <c r="C9" s="7" t="s">
        <v>294</v>
      </c>
      <c r="D9" s="7" t="s">
        <v>295</v>
      </c>
      <c r="E9" s="7" t="s">
        <v>463</v>
      </c>
      <c r="F9" s="7" t="s">
        <v>296</v>
      </c>
      <c r="G9" s="14" t="s">
        <v>243</v>
      </c>
      <c r="H9" s="14" t="s">
        <v>136</v>
      </c>
      <c r="I9" s="15" t="s">
        <v>122</v>
      </c>
      <c r="J9" s="8"/>
      <c r="K9" s="28" t="str">
        <f>"55,0"</f>
        <v>55,0</v>
      </c>
      <c r="L9" s="8" t="str">
        <f>"65,8185"</f>
        <v>65,8185</v>
      </c>
      <c r="M9" s="7" t="s">
        <v>297</v>
      </c>
    </row>
    <row r="10" spans="1:13">
      <c r="B10" s="5" t="s">
        <v>61</v>
      </c>
    </row>
    <row r="11" spans="1:13" ht="16">
      <c r="A11" s="32" t="s">
        <v>147</v>
      </c>
      <c r="B11" s="32"/>
      <c r="C11" s="33"/>
      <c r="D11" s="33"/>
      <c r="E11" s="33"/>
      <c r="F11" s="33"/>
      <c r="G11" s="33"/>
      <c r="H11" s="33"/>
      <c r="I11" s="33"/>
      <c r="J11" s="33"/>
    </row>
    <row r="12" spans="1:13">
      <c r="A12" s="8" t="s">
        <v>60</v>
      </c>
      <c r="B12" s="7" t="s">
        <v>148</v>
      </c>
      <c r="C12" s="7" t="s">
        <v>149</v>
      </c>
      <c r="D12" s="7" t="s">
        <v>150</v>
      </c>
      <c r="E12" s="7" t="s">
        <v>463</v>
      </c>
      <c r="F12" s="7" t="s">
        <v>151</v>
      </c>
      <c r="G12" s="14" t="s">
        <v>19</v>
      </c>
      <c r="H12" s="15" t="s">
        <v>32</v>
      </c>
      <c r="I12" s="14" t="s">
        <v>32</v>
      </c>
      <c r="J12" s="8"/>
      <c r="K12" s="28" t="str">
        <f>"110,0"</f>
        <v>110,0</v>
      </c>
      <c r="L12" s="8" t="str">
        <f>"112,2660"</f>
        <v>112,2660</v>
      </c>
      <c r="M12" s="7" t="s">
        <v>152</v>
      </c>
    </row>
    <row r="13" spans="1:13">
      <c r="B13" s="5" t="s">
        <v>61</v>
      </c>
    </row>
    <row r="14" spans="1:13" ht="16">
      <c r="A14" s="32" t="s">
        <v>137</v>
      </c>
      <c r="B14" s="32"/>
      <c r="C14" s="33"/>
      <c r="D14" s="33"/>
      <c r="E14" s="33"/>
      <c r="F14" s="33"/>
      <c r="G14" s="33"/>
      <c r="H14" s="33"/>
      <c r="I14" s="33"/>
      <c r="J14" s="33"/>
    </row>
    <row r="15" spans="1:13">
      <c r="A15" s="8" t="s">
        <v>60</v>
      </c>
      <c r="B15" s="7" t="s">
        <v>298</v>
      </c>
      <c r="C15" s="7" t="s">
        <v>299</v>
      </c>
      <c r="D15" s="7" t="s">
        <v>300</v>
      </c>
      <c r="E15" s="7" t="s">
        <v>463</v>
      </c>
      <c r="F15" s="7" t="s">
        <v>79</v>
      </c>
      <c r="G15" s="14" t="s">
        <v>132</v>
      </c>
      <c r="H15" s="14" t="s">
        <v>126</v>
      </c>
      <c r="I15" s="14" t="s">
        <v>131</v>
      </c>
      <c r="J15" s="8"/>
      <c r="K15" s="28" t="str">
        <f>"102,5"</f>
        <v>102,5</v>
      </c>
      <c r="L15" s="8" t="str">
        <f>"90,8048"</f>
        <v>90,8048</v>
      </c>
      <c r="M15" s="7" t="s">
        <v>81</v>
      </c>
    </row>
    <row r="16" spans="1:13">
      <c r="B16" s="5" t="s">
        <v>61</v>
      </c>
    </row>
    <row r="17" spans="1:13" ht="16">
      <c r="A17" s="32" t="s">
        <v>147</v>
      </c>
      <c r="B17" s="32"/>
      <c r="C17" s="33"/>
      <c r="D17" s="33"/>
      <c r="E17" s="33"/>
      <c r="F17" s="33"/>
      <c r="G17" s="33"/>
      <c r="H17" s="33"/>
      <c r="I17" s="33"/>
      <c r="J17" s="33"/>
    </row>
    <row r="18" spans="1:13">
      <c r="A18" s="8" t="s">
        <v>60</v>
      </c>
      <c r="B18" s="7" t="s">
        <v>301</v>
      </c>
      <c r="C18" s="7" t="s">
        <v>302</v>
      </c>
      <c r="D18" s="7" t="s">
        <v>303</v>
      </c>
      <c r="E18" s="7" t="s">
        <v>463</v>
      </c>
      <c r="F18" s="7" t="s">
        <v>193</v>
      </c>
      <c r="G18" s="14" t="s">
        <v>18</v>
      </c>
      <c r="H18" s="14" t="s">
        <v>19</v>
      </c>
      <c r="I18" s="15" t="s">
        <v>32</v>
      </c>
      <c r="J18" s="8"/>
      <c r="K18" s="28" t="str">
        <f>"105,0"</f>
        <v>105,0</v>
      </c>
      <c r="L18" s="8" t="str">
        <f>"81,7425"</f>
        <v>81,7425</v>
      </c>
      <c r="M18" s="7" t="s">
        <v>304</v>
      </c>
    </row>
    <row r="19" spans="1:13">
      <c r="B19" s="5" t="s">
        <v>61</v>
      </c>
    </row>
    <row r="20" spans="1:13" ht="16">
      <c r="A20" s="32" t="s">
        <v>10</v>
      </c>
      <c r="B20" s="32"/>
      <c r="C20" s="33"/>
      <c r="D20" s="33"/>
      <c r="E20" s="33"/>
      <c r="F20" s="33"/>
      <c r="G20" s="33"/>
      <c r="H20" s="33"/>
      <c r="I20" s="33"/>
      <c r="J20" s="33"/>
    </row>
    <row r="21" spans="1:13">
      <c r="A21" s="17" t="s">
        <v>60</v>
      </c>
      <c r="B21" s="16" t="s">
        <v>305</v>
      </c>
      <c r="C21" s="16" t="s">
        <v>306</v>
      </c>
      <c r="D21" s="16" t="s">
        <v>307</v>
      </c>
      <c r="E21" s="16" t="s">
        <v>463</v>
      </c>
      <c r="F21" s="16" t="s">
        <v>308</v>
      </c>
      <c r="G21" s="22" t="s">
        <v>85</v>
      </c>
      <c r="H21" s="23" t="s">
        <v>85</v>
      </c>
      <c r="I21" s="22" t="s">
        <v>86</v>
      </c>
      <c r="J21" s="17"/>
      <c r="K21" s="30" t="str">
        <f>"125,0"</f>
        <v>125,0</v>
      </c>
      <c r="L21" s="17" t="str">
        <f>"90,2625"</f>
        <v>90,2625</v>
      </c>
      <c r="M21" s="16" t="s">
        <v>459</v>
      </c>
    </row>
    <row r="22" spans="1:13">
      <c r="A22" s="19" t="s">
        <v>115</v>
      </c>
      <c r="B22" s="18" t="s">
        <v>309</v>
      </c>
      <c r="C22" s="18" t="s">
        <v>310</v>
      </c>
      <c r="D22" s="18" t="s">
        <v>311</v>
      </c>
      <c r="E22" s="18" t="s">
        <v>463</v>
      </c>
      <c r="F22" s="18" t="s">
        <v>193</v>
      </c>
      <c r="G22" s="25" t="s">
        <v>32</v>
      </c>
      <c r="H22" s="24" t="s">
        <v>32</v>
      </c>
      <c r="I22" s="25" t="s">
        <v>174</v>
      </c>
      <c r="J22" s="19"/>
      <c r="K22" s="31" t="str">
        <f>"110,0"</f>
        <v>110,0</v>
      </c>
      <c r="L22" s="19" t="str">
        <f>"79,3540"</f>
        <v>79,3540</v>
      </c>
      <c r="M22" s="18" t="s">
        <v>312</v>
      </c>
    </row>
    <row r="23" spans="1:13">
      <c r="B23" s="5" t="s">
        <v>61</v>
      </c>
    </row>
    <row r="24" spans="1:13" ht="16">
      <c r="A24" s="32" t="s">
        <v>75</v>
      </c>
      <c r="B24" s="32"/>
      <c r="C24" s="33"/>
      <c r="D24" s="33"/>
      <c r="E24" s="33"/>
      <c r="F24" s="33"/>
      <c r="G24" s="33"/>
      <c r="H24" s="33"/>
      <c r="I24" s="33"/>
      <c r="J24" s="33"/>
    </row>
    <row r="25" spans="1:13">
      <c r="A25" s="17" t="s">
        <v>60</v>
      </c>
      <c r="B25" s="16" t="s">
        <v>313</v>
      </c>
      <c r="C25" s="16" t="s">
        <v>314</v>
      </c>
      <c r="D25" s="16" t="s">
        <v>315</v>
      </c>
      <c r="E25" s="16" t="s">
        <v>463</v>
      </c>
      <c r="F25" s="16" t="s">
        <v>193</v>
      </c>
      <c r="G25" s="23" t="s">
        <v>316</v>
      </c>
      <c r="H25" s="23" t="s">
        <v>45</v>
      </c>
      <c r="I25" s="22" t="s">
        <v>104</v>
      </c>
      <c r="J25" s="17"/>
      <c r="K25" s="30" t="str">
        <f>"140,0"</f>
        <v>140,0</v>
      </c>
      <c r="L25" s="17" t="str">
        <f>"95,2000"</f>
        <v>95,2000</v>
      </c>
      <c r="M25" s="16" t="s">
        <v>142</v>
      </c>
    </row>
    <row r="26" spans="1:13">
      <c r="A26" s="19" t="s">
        <v>333</v>
      </c>
      <c r="B26" s="18" t="s">
        <v>317</v>
      </c>
      <c r="C26" s="18" t="s">
        <v>318</v>
      </c>
      <c r="D26" s="18" t="s">
        <v>319</v>
      </c>
      <c r="E26" s="18" t="s">
        <v>463</v>
      </c>
      <c r="F26" s="18" t="s">
        <v>320</v>
      </c>
      <c r="G26" s="25" t="s">
        <v>176</v>
      </c>
      <c r="H26" s="25" t="s">
        <v>176</v>
      </c>
      <c r="I26" s="25" t="s">
        <v>176</v>
      </c>
      <c r="J26" s="19"/>
      <c r="K26" s="31">
        <v>0</v>
      </c>
      <c r="L26" s="19" t="str">
        <f>"0,0000"</f>
        <v>0,0000</v>
      </c>
      <c r="M26" s="18" t="s">
        <v>321</v>
      </c>
    </row>
    <row r="27" spans="1:13">
      <c r="B27" s="5" t="s">
        <v>61</v>
      </c>
    </row>
    <row r="28" spans="1:13" ht="16">
      <c r="A28" s="32" t="s">
        <v>24</v>
      </c>
      <c r="B28" s="32"/>
      <c r="C28" s="33"/>
      <c r="D28" s="33"/>
      <c r="E28" s="33"/>
      <c r="F28" s="33"/>
      <c r="G28" s="33"/>
      <c r="H28" s="33"/>
      <c r="I28" s="33"/>
      <c r="J28" s="33"/>
    </row>
    <row r="29" spans="1:13">
      <c r="A29" s="8" t="s">
        <v>60</v>
      </c>
      <c r="B29" s="7" t="s">
        <v>322</v>
      </c>
      <c r="C29" s="7" t="s">
        <v>323</v>
      </c>
      <c r="D29" s="7" t="s">
        <v>324</v>
      </c>
      <c r="E29" s="7" t="s">
        <v>463</v>
      </c>
      <c r="F29" s="7" t="s">
        <v>156</v>
      </c>
      <c r="G29" s="14" t="s">
        <v>104</v>
      </c>
      <c r="H29" s="14" t="s">
        <v>46</v>
      </c>
      <c r="I29" s="15" t="s">
        <v>47</v>
      </c>
      <c r="J29" s="8"/>
      <c r="K29" s="28" t="str">
        <f>"150,0"</f>
        <v>150,0</v>
      </c>
      <c r="L29" s="8" t="str">
        <f>"95,7600"</f>
        <v>95,7600</v>
      </c>
      <c r="M29" s="7" t="s">
        <v>459</v>
      </c>
    </row>
    <row r="30" spans="1:13">
      <c r="B30" s="5" t="s">
        <v>61</v>
      </c>
    </row>
    <row r="31" spans="1:13" ht="16">
      <c r="A31" s="32" t="s">
        <v>37</v>
      </c>
      <c r="B31" s="32"/>
      <c r="C31" s="33"/>
      <c r="D31" s="33"/>
      <c r="E31" s="33"/>
      <c r="F31" s="33"/>
      <c r="G31" s="33"/>
      <c r="H31" s="33"/>
      <c r="I31" s="33"/>
      <c r="J31" s="33"/>
    </row>
    <row r="32" spans="1:13">
      <c r="A32" s="17" t="s">
        <v>60</v>
      </c>
      <c r="B32" s="16" t="s">
        <v>197</v>
      </c>
      <c r="C32" s="16" t="s">
        <v>198</v>
      </c>
      <c r="D32" s="16" t="s">
        <v>199</v>
      </c>
      <c r="E32" s="16" t="s">
        <v>463</v>
      </c>
      <c r="F32" s="16" t="s">
        <v>79</v>
      </c>
      <c r="G32" s="23" t="s">
        <v>21</v>
      </c>
      <c r="H32" s="23" t="s">
        <v>88</v>
      </c>
      <c r="I32" s="23" t="s">
        <v>194</v>
      </c>
      <c r="J32" s="17"/>
      <c r="K32" s="30" t="str">
        <f>"192,5"</f>
        <v>192,5</v>
      </c>
      <c r="L32" s="17" t="str">
        <f>"118,3875"</f>
        <v>118,3875</v>
      </c>
      <c r="M32" s="16" t="s">
        <v>459</v>
      </c>
    </row>
    <row r="33" spans="1:13">
      <c r="A33" s="19" t="s">
        <v>115</v>
      </c>
      <c r="B33" s="18" t="s">
        <v>325</v>
      </c>
      <c r="C33" s="18" t="s">
        <v>326</v>
      </c>
      <c r="D33" s="18" t="s">
        <v>199</v>
      </c>
      <c r="E33" s="18" t="s">
        <v>463</v>
      </c>
      <c r="F33" s="18" t="s">
        <v>79</v>
      </c>
      <c r="G33" s="25" t="s">
        <v>45</v>
      </c>
      <c r="H33" s="24" t="s">
        <v>45</v>
      </c>
      <c r="I33" s="24" t="s">
        <v>46</v>
      </c>
      <c r="J33" s="19"/>
      <c r="K33" s="31" t="str">
        <f>"150,0"</f>
        <v>150,0</v>
      </c>
      <c r="L33" s="19" t="str">
        <f>"92,2500"</f>
        <v>92,2500</v>
      </c>
      <c r="M33" s="18" t="s">
        <v>81</v>
      </c>
    </row>
    <row r="34" spans="1:13">
      <c r="B34" s="5" t="s">
        <v>61</v>
      </c>
    </row>
    <row r="35" spans="1:13" ht="16">
      <c r="A35" s="32" t="s">
        <v>216</v>
      </c>
      <c r="B35" s="32"/>
      <c r="C35" s="33"/>
      <c r="D35" s="33"/>
      <c r="E35" s="33"/>
      <c r="F35" s="33"/>
      <c r="G35" s="33"/>
      <c r="H35" s="33"/>
      <c r="I35" s="33"/>
      <c r="J35" s="33"/>
    </row>
    <row r="36" spans="1:13">
      <c r="A36" s="8" t="s">
        <v>60</v>
      </c>
      <c r="B36" s="7" t="s">
        <v>327</v>
      </c>
      <c r="C36" s="7" t="s">
        <v>328</v>
      </c>
      <c r="D36" s="7" t="s">
        <v>272</v>
      </c>
      <c r="E36" s="7" t="s">
        <v>464</v>
      </c>
      <c r="F36" s="7" t="s">
        <v>329</v>
      </c>
      <c r="G36" s="14" t="s">
        <v>45</v>
      </c>
      <c r="H36" s="14" t="s">
        <v>46</v>
      </c>
      <c r="I36" s="15" t="s">
        <v>16</v>
      </c>
      <c r="J36" s="8"/>
      <c r="K36" s="28" t="str">
        <f>"150,0"</f>
        <v>150,0</v>
      </c>
      <c r="L36" s="8" t="str">
        <f>"88,9950"</f>
        <v>88,9950</v>
      </c>
      <c r="M36" s="7" t="s">
        <v>459</v>
      </c>
    </row>
    <row r="37" spans="1:13">
      <c r="B37" s="5" t="s">
        <v>61</v>
      </c>
    </row>
    <row r="38" spans="1:13">
      <c r="B38" s="5" t="s">
        <v>61</v>
      </c>
    </row>
    <row r="39" spans="1:13">
      <c r="B39" s="5" t="s">
        <v>61</v>
      </c>
    </row>
    <row r="40" spans="1:13" ht="18">
      <c r="B40" s="9" t="s">
        <v>49</v>
      </c>
      <c r="C40" s="9"/>
      <c r="F40" s="3"/>
    </row>
    <row r="41" spans="1:13" ht="16">
      <c r="B41" s="10" t="s">
        <v>50</v>
      </c>
      <c r="C41" s="10"/>
      <c r="F41" s="3"/>
    </row>
    <row r="42" spans="1:13" ht="14">
      <c r="B42" s="11"/>
      <c r="C42" s="12" t="s">
        <v>57</v>
      </c>
      <c r="F42" s="3"/>
    </row>
    <row r="43" spans="1:13" ht="14">
      <c r="B43" s="13" t="s">
        <v>51</v>
      </c>
      <c r="C43" s="13" t="s">
        <v>52</v>
      </c>
      <c r="D43" s="13" t="s">
        <v>447</v>
      </c>
      <c r="E43" s="13" t="s">
        <v>286</v>
      </c>
      <c r="F43" s="13" t="s">
        <v>55</v>
      </c>
    </row>
    <row r="44" spans="1:13">
      <c r="B44" s="5" t="s">
        <v>197</v>
      </c>
      <c r="C44" s="5" t="s">
        <v>57</v>
      </c>
      <c r="D44" s="6" t="s">
        <v>56</v>
      </c>
      <c r="E44" s="6" t="s">
        <v>194</v>
      </c>
      <c r="F44" s="6" t="s">
        <v>330</v>
      </c>
    </row>
    <row r="45" spans="1:13">
      <c r="B45" s="5" t="s">
        <v>322</v>
      </c>
      <c r="C45" s="5" t="s">
        <v>57</v>
      </c>
      <c r="D45" s="6" t="s">
        <v>58</v>
      </c>
      <c r="E45" s="6" t="s">
        <v>46</v>
      </c>
      <c r="F45" s="6" t="s">
        <v>331</v>
      </c>
    </row>
    <row r="46" spans="1:13">
      <c r="B46" s="5" t="s">
        <v>313</v>
      </c>
      <c r="C46" s="5" t="s">
        <v>57</v>
      </c>
      <c r="D46" s="6" t="s">
        <v>114</v>
      </c>
      <c r="E46" s="6" t="s">
        <v>45</v>
      </c>
      <c r="F46" s="6" t="s">
        <v>332</v>
      </c>
    </row>
    <row r="47" spans="1:13">
      <c r="B47" s="5" t="s">
        <v>61</v>
      </c>
    </row>
  </sheetData>
  <mergeCells count="21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28:J28"/>
    <mergeCell ref="A31:J31"/>
    <mergeCell ref="A35:J35"/>
    <mergeCell ref="B3:B4"/>
    <mergeCell ref="A8:J8"/>
    <mergeCell ref="A11:J11"/>
    <mergeCell ref="A14:J14"/>
    <mergeCell ref="A17:J17"/>
    <mergeCell ref="A20:J20"/>
    <mergeCell ref="A24:J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FD364-01BE-459E-972E-C28E674C0662}">
  <dimension ref="A1:M41"/>
  <sheetViews>
    <sheetView workbookViewId="0">
      <selection activeCell="E26" sqref="E26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31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" style="5" customWidth="1"/>
    <col min="14" max="16384" width="9.1640625" style="3"/>
  </cols>
  <sheetData>
    <row r="1" spans="1:13" s="2" customFormat="1" ht="29" customHeight="1">
      <c r="A1" s="42" t="s">
        <v>442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458</v>
      </c>
      <c r="B3" s="34" t="s">
        <v>0</v>
      </c>
      <c r="C3" s="52" t="s">
        <v>460</v>
      </c>
      <c r="D3" s="52" t="s">
        <v>6</v>
      </c>
      <c r="E3" s="36" t="s">
        <v>461</v>
      </c>
      <c r="F3" s="36" t="s">
        <v>5</v>
      </c>
      <c r="G3" s="36" t="s">
        <v>8</v>
      </c>
      <c r="H3" s="36"/>
      <c r="I3" s="36"/>
      <c r="J3" s="36"/>
      <c r="K3" s="36" t="s">
        <v>292</v>
      </c>
      <c r="L3" s="36" t="s">
        <v>3</v>
      </c>
      <c r="M3" s="38" t="s">
        <v>2</v>
      </c>
    </row>
    <row r="4" spans="1:13" s="1" customFormat="1" ht="21" customHeight="1" thickBot="1">
      <c r="A4" s="51"/>
      <c r="B4" s="3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39"/>
    </row>
    <row r="5" spans="1:13" ht="16">
      <c r="A5" s="40" t="s">
        <v>137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8" t="s">
        <v>60</v>
      </c>
      <c r="B6" s="7" t="s">
        <v>238</v>
      </c>
      <c r="C6" s="7" t="s">
        <v>239</v>
      </c>
      <c r="D6" s="7" t="s">
        <v>240</v>
      </c>
      <c r="E6" s="7" t="s">
        <v>467</v>
      </c>
      <c r="F6" s="7" t="s">
        <v>79</v>
      </c>
      <c r="G6" s="14" t="s">
        <v>241</v>
      </c>
      <c r="H6" s="14" t="s">
        <v>242</v>
      </c>
      <c r="I6" s="15" t="s">
        <v>243</v>
      </c>
      <c r="J6" s="8"/>
      <c r="K6" s="8" t="str">
        <f>"47,5"</f>
        <v>47,5</v>
      </c>
      <c r="L6" s="8" t="str">
        <f>"53,8650"</f>
        <v>53,8650</v>
      </c>
      <c r="M6" s="7" t="s">
        <v>244</v>
      </c>
    </row>
    <row r="7" spans="1:13">
      <c r="B7" s="5" t="s">
        <v>61</v>
      </c>
    </row>
    <row r="8" spans="1:13" ht="16">
      <c r="A8" s="32" t="s">
        <v>10</v>
      </c>
      <c r="B8" s="32"/>
      <c r="C8" s="33"/>
      <c r="D8" s="33"/>
      <c r="E8" s="33"/>
      <c r="F8" s="33"/>
      <c r="G8" s="33"/>
      <c r="H8" s="33"/>
      <c r="I8" s="33"/>
      <c r="J8" s="33"/>
    </row>
    <row r="9" spans="1:13">
      <c r="A9" s="8" t="s">
        <v>60</v>
      </c>
      <c r="B9" s="7" t="s">
        <v>245</v>
      </c>
      <c r="C9" s="7" t="s">
        <v>246</v>
      </c>
      <c r="D9" s="7" t="s">
        <v>247</v>
      </c>
      <c r="E9" s="7" t="s">
        <v>464</v>
      </c>
      <c r="F9" s="7" t="s">
        <v>248</v>
      </c>
      <c r="G9" s="14" t="s">
        <v>34</v>
      </c>
      <c r="H9" s="14" t="s">
        <v>85</v>
      </c>
      <c r="I9" s="15" t="s">
        <v>249</v>
      </c>
      <c r="J9" s="8"/>
      <c r="K9" s="8" t="str">
        <f>"125,0"</f>
        <v>125,0</v>
      </c>
      <c r="L9" s="8" t="str">
        <f>"91,2500"</f>
        <v>91,2500</v>
      </c>
      <c r="M9" s="7" t="s">
        <v>250</v>
      </c>
    </row>
    <row r="10" spans="1:13">
      <c r="B10" s="5" t="s">
        <v>61</v>
      </c>
    </row>
    <row r="11" spans="1:13" ht="16">
      <c r="A11" s="32" t="s">
        <v>75</v>
      </c>
      <c r="B11" s="32"/>
      <c r="C11" s="33"/>
      <c r="D11" s="33"/>
      <c r="E11" s="33"/>
      <c r="F11" s="33"/>
      <c r="G11" s="33"/>
      <c r="H11" s="33"/>
      <c r="I11" s="33"/>
      <c r="J11" s="33"/>
    </row>
    <row r="12" spans="1:13">
      <c r="A12" s="8" t="s">
        <v>60</v>
      </c>
      <c r="B12" s="7" t="s">
        <v>251</v>
      </c>
      <c r="C12" s="7" t="s">
        <v>252</v>
      </c>
      <c r="D12" s="7" t="s">
        <v>179</v>
      </c>
      <c r="E12" s="7" t="s">
        <v>463</v>
      </c>
      <c r="F12" s="7" t="s">
        <v>79</v>
      </c>
      <c r="G12" s="14" t="s">
        <v>45</v>
      </c>
      <c r="H12" s="15" t="s">
        <v>46</v>
      </c>
      <c r="I12" s="15" t="s">
        <v>46</v>
      </c>
      <c r="J12" s="8"/>
      <c r="K12" s="8" t="str">
        <f>"140,0"</f>
        <v>140,0</v>
      </c>
      <c r="L12" s="8" t="str">
        <f>"95,5780"</f>
        <v>95,5780</v>
      </c>
      <c r="M12" s="7" t="s">
        <v>459</v>
      </c>
    </row>
    <row r="13" spans="1:13">
      <c r="B13" s="5" t="s">
        <v>61</v>
      </c>
    </row>
    <row r="14" spans="1:13" ht="16">
      <c r="A14" s="32" t="s">
        <v>24</v>
      </c>
      <c r="B14" s="32"/>
      <c r="C14" s="33"/>
      <c r="D14" s="33"/>
      <c r="E14" s="33"/>
      <c r="F14" s="33"/>
      <c r="G14" s="33"/>
      <c r="H14" s="33"/>
      <c r="I14" s="33"/>
      <c r="J14" s="33"/>
    </row>
    <row r="15" spans="1:13">
      <c r="A15" s="8" t="s">
        <v>60</v>
      </c>
      <c r="B15" s="7" t="s">
        <v>253</v>
      </c>
      <c r="C15" s="7" t="s">
        <v>254</v>
      </c>
      <c r="D15" s="7" t="s">
        <v>255</v>
      </c>
      <c r="E15" s="7" t="s">
        <v>463</v>
      </c>
      <c r="F15" s="7" t="s">
        <v>79</v>
      </c>
      <c r="G15" s="15" t="s">
        <v>21</v>
      </c>
      <c r="H15" s="14" t="s">
        <v>29</v>
      </c>
      <c r="I15" s="15" t="s">
        <v>30</v>
      </c>
      <c r="J15" s="8"/>
      <c r="K15" s="8" t="str">
        <f>"180,0"</f>
        <v>180,0</v>
      </c>
      <c r="L15" s="8" t="str">
        <f>"115,6320"</f>
        <v>115,6320</v>
      </c>
      <c r="M15" s="7" t="s">
        <v>459</v>
      </c>
    </row>
    <row r="16" spans="1:13">
      <c r="B16" s="5" t="s">
        <v>61</v>
      </c>
    </row>
    <row r="17" spans="1:13" ht="16">
      <c r="A17" s="32" t="s">
        <v>37</v>
      </c>
      <c r="B17" s="32"/>
      <c r="C17" s="33"/>
      <c r="D17" s="33"/>
      <c r="E17" s="33"/>
      <c r="F17" s="33"/>
      <c r="G17" s="33"/>
      <c r="H17" s="33"/>
      <c r="I17" s="33"/>
      <c r="J17" s="33"/>
    </row>
    <row r="18" spans="1:13">
      <c r="A18" s="17" t="s">
        <v>60</v>
      </c>
      <c r="B18" s="16" t="s">
        <v>256</v>
      </c>
      <c r="C18" s="16" t="s">
        <v>257</v>
      </c>
      <c r="D18" s="16" t="s">
        <v>258</v>
      </c>
      <c r="E18" s="16" t="s">
        <v>464</v>
      </c>
      <c r="F18" s="16" t="s">
        <v>259</v>
      </c>
      <c r="G18" s="23" t="s">
        <v>96</v>
      </c>
      <c r="H18" s="23" t="s">
        <v>88</v>
      </c>
      <c r="I18" s="22" t="s">
        <v>195</v>
      </c>
      <c r="J18" s="17"/>
      <c r="K18" s="17" t="str">
        <f>"185,0"</f>
        <v>185,0</v>
      </c>
      <c r="L18" s="17" t="str">
        <f>"112,5910"</f>
        <v>112,5910</v>
      </c>
      <c r="M18" s="16" t="s">
        <v>459</v>
      </c>
    </row>
    <row r="19" spans="1:13">
      <c r="A19" s="21" t="s">
        <v>60</v>
      </c>
      <c r="B19" s="20" t="s">
        <v>93</v>
      </c>
      <c r="C19" s="20" t="s">
        <v>94</v>
      </c>
      <c r="D19" s="20" t="s">
        <v>95</v>
      </c>
      <c r="E19" s="20" t="s">
        <v>463</v>
      </c>
      <c r="F19" s="20" t="s">
        <v>28</v>
      </c>
      <c r="G19" s="26" t="s">
        <v>15</v>
      </c>
      <c r="H19" s="26" t="s">
        <v>20</v>
      </c>
      <c r="I19" s="26" t="s">
        <v>96</v>
      </c>
      <c r="J19" s="21"/>
      <c r="K19" s="21" t="str">
        <f>"170,0"</f>
        <v>170,0</v>
      </c>
      <c r="L19" s="21" t="str">
        <f>"104,1420"</f>
        <v>104,1420</v>
      </c>
      <c r="M19" s="20" t="s">
        <v>36</v>
      </c>
    </row>
    <row r="20" spans="1:13">
      <c r="A20" s="19" t="s">
        <v>115</v>
      </c>
      <c r="B20" s="18" t="s">
        <v>260</v>
      </c>
      <c r="C20" s="18" t="s">
        <v>261</v>
      </c>
      <c r="D20" s="18" t="s">
        <v>262</v>
      </c>
      <c r="E20" s="18" t="s">
        <v>463</v>
      </c>
      <c r="F20" s="18" t="s">
        <v>193</v>
      </c>
      <c r="G20" s="24" t="s">
        <v>20</v>
      </c>
      <c r="H20" s="25" t="s">
        <v>96</v>
      </c>
      <c r="I20" s="25" t="s">
        <v>96</v>
      </c>
      <c r="J20" s="19"/>
      <c r="K20" s="19" t="str">
        <f>"165,0"</f>
        <v>165,0</v>
      </c>
      <c r="L20" s="19" t="str">
        <f>"100,5015"</f>
        <v>100,5015</v>
      </c>
      <c r="M20" s="18" t="s">
        <v>459</v>
      </c>
    </row>
    <row r="21" spans="1:13">
      <c r="B21" s="5" t="s">
        <v>61</v>
      </c>
    </row>
    <row r="22" spans="1:13" ht="16">
      <c r="A22" s="32" t="s">
        <v>216</v>
      </c>
      <c r="B22" s="32"/>
      <c r="C22" s="33"/>
      <c r="D22" s="33"/>
      <c r="E22" s="33"/>
      <c r="F22" s="33"/>
      <c r="G22" s="33"/>
      <c r="H22" s="33"/>
      <c r="I22" s="33"/>
      <c r="J22" s="33"/>
    </row>
    <row r="23" spans="1:13">
      <c r="A23" s="17" t="s">
        <v>60</v>
      </c>
      <c r="B23" s="16" t="s">
        <v>263</v>
      </c>
      <c r="C23" s="16" t="s">
        <v>264</v>
      </c>
      <c r="D23" s="16" t="s">
        <v>265</v>
      </c>
      <c r="E23" s="16" t="s">
        <v>463</v>
      </c>
      <c r="F23" s="16" t="s">
        <v>193</v>
      </c>
      <c r="G23" s="23" t="s">
        <v>31</v>
      </c>
      <c r="H23" s="23" t="s">
        <v>35</v>
      </c>
      <c r="I23" s="23" t="s">
        <v>102</v>
      </c>
      <c r="J23" s="17"/>
      <c r="K23" s="17" t="str">
        <f>"215,0"</f>
        <v>215,0</v>
      </c>
      <c r="L23" s="17" t="str">
        <f>"130,4835"</f>
        <v>130,4835</v>
      </c>
      <c r="M23" s="16" t="s">
        <v>459</v>
      </c>
    </row>
    <row r="24" spans="1:13">
      <c r="A24" s="21" t="s">
        <v>115</v>
      </c>
      <c r="B24" s="20" t="s">
        <v>266</v>
      </c>
      <c r="C24" s="20" t="s">
        <v>267</v>
      </c>
      <c r="D24" s="20" t="s">
        <v>268</v>
      </c>
      <c r="E24" s="20" t="s">
        <v>463</v>
      </c>
      <c r="F24" s="20" t="s">
        <v>269</v>
      </c>
      <c r="G24" s="26" t="s">
        <v>30</v>
      </c>
      <c r="H24" s="26" t="s">
        <v>194</v>
      </c>
      <c r="I24" s="26" t="s">
        <v>211</v>
      </c>
      <c r="J24" s="21"/>
      <c r="K24" s="21" t="str">
        <f>"195,0"</f>
        <v>195,0</v>
      </c>
      <c r="L24" s="21" t="str">
        <f>"114,8550"</f>
        <v>114,8550</v>
      </c>
      <c r="M24" s="20" t="s">
        <v>459</v>
      </c>
    </row>
    <row r="25" spans="1:13">
      <c r="A25" s="19" t="s">
        <v>116</v>
      </c>
      <c r="B25" s="18" t="s">
        <v>270</v>
      </c>
      <c r="C25" s="18" t="s">
        <v>271</v>
      </c>
      <c r="D25" s="18" t="s">
        <v>272</v>
      </c>
      <c r="E25" s="18" t="s">
        <v>463</v>
      </c>
      <c r="F25" s="18" t="s">
        <v>14</v>
      </c>
      <c r="G25" s="25" t="s">
        <v>15</v>
      </c>
      <c r="H25" s="25" t="s">
        <v>16</v>
      </c>
      <c r="I25" s="24" t="s">
        <v>16</v>
      </c>
      <c r="J25" s="19"/>
      <c r="K25" s="19" t="str">
        <f>"167,5"</f>
        <v>167,5</v>
      </c>
      <c r="L25" s="19" t="str">
        <f>"99,3777"</f>
        <v>99,3777</v>
      </c>
      <c r="M25" s="18" t="s">
        <v>23</v>
      </c>
    </row>
    <row r="26" spans="1:13">
      <c r="B26" s="5" t="s">
        <v>61</v>
      </c>
    </row>
    <row r="27" spans="1:13" ht="16">
      <c r="A27" s="32" t="s">
        <v>273</v>
      </c>
      <c r="B27" s="32"/>
      <c r="C27" s="33"/>
      <c r="D27" s="33"/>
      <c r="E27" s="33"/>
      <c r="F27" s="33"/>
      <c r="G27" s="33"/>
      <c r="H27" s="33"/>
      <c r="I27" s="33"/>
      <c r="J27" s="33"/>
    </row>
    <row r="28" spans="1:13">
      <c r="A28" s="17" t="s">
        <v>60</v>
      </c>
      <c r="B28" s="16" t="s">
        <v>274</v>
      </c>
      <c r="C28" s="16" t="s">
        <v>275</v>
      </c>
      <c r="D28" s="16" t="s">
        <v>276</v>
      </c>
      <c r="E28" s="16" t="s">
        <v>463</v>
      </c>
      <c r="F28" s="16" t="s">
        <v>451</v>
      </c>
      <c r="G28" s="23" t="s">
        <v>43</v>
      </c>
      <c r="H28" s="23" t="s">
        <v>44</v>
      </c>
      <c r="I28" s="23" t="s">
        <v>277</v>
      </c>
      <c r="J28" s="17"/>
      <c r="K28" s="17" t="str">
        <f>"265,0"</f>
        <v>265,0</v>
      </c>
      <c r="L28" s="17" t="str">
        <f>"154,9190"</f>
        <v>154,9190</v>
      </c>
      <c r="M28" s="16" t="s">
        <v>459</v>
      </c>
    </row>
    <row r="29" spans="1:13">
      <c r="A29" s="21" t="s">
        <v>115</v>
      </c>
      <c r="B29" s="20" t="s">
        <v>278</v>
      </c>
      <c r="C29" s="20" t="s">
        <v>279</v>
      </c>
      <c r="D29" s="20" t="s">
        <v>280</v>
      </c>
      <c r="E29" s="20" t="s">
        <v>463</v>
      </c>
      <c r="F29" s="20" t="s">
        <v>79</v>
      </c>
      <c r="G29" s="26" t="s">
        <v>281</v>
      </c>
      <c r="H29" s="27" t="s">
        <v>102</v>
      </c>
      <c r="I29" s="21"/>
      <c r="J29" s="21"/>
      <c r="K29" s="21" t="str">
        <f>"207,5"</f>
        <v>207,5</v>
      </c>
      <c r="L29" s="21" t="str">
        <f>"118,2335"</f>
        <v>118,2335</v>
      </c>
      <c r="M29" s="20" t="s">
        <v>282</v>
      </c>
    </row>
    <row r="30" spans="1:13">
      <c r="A30" s="19" t="s">
        <v>116</v>
      </c>
      <c r="B30" s="18" t="s">
        <v>283</v>
      </c>
      <c r="C30" s="18" t="s">
        <v>284</v>
      </c>
      <c r="D30" s="18" t="s">
        <v>285</v>
      </c>
      <c r="E30" s="18" t="s">
        <v>463</v>
      </c>
      <c r="F30" s="18" t="s">
        <v>79</v>
      </c>
      <c r="G30" s="24" t="s">
        <v>167</v>
      </c>
      <c r="H30" s="25" t="s">
        <v>211</v>
      </c>
      <c r="I30" s="25" t="s">
        <v>211</v>
      </c>
      <c r="J30" s="19"/>
      <c r="K30" s="19" t="str">
        <f>"187,5"</f>
        <v>187,5</v>
      </c>
      <c r="L30" s="19" t="str">
        <f>"108,4125"</f>
        <v>108,4125</v>
      </c>
      <c r="M30" s="18" t="s">
        <v>459</v>
      </c>
    </row>
    <row r="31" spans="1:13">
      <c r="B31" s="5" t="s">
        <v>61</v>
      </c>
    </row>
    <row r="32" spans="1:13">
      <c r="B32" s="5" t="s">
        <v>61</v>
      </c>
    </row>
    <row r="33" spans="2:6">
      <c r="B33" s="5" t="s">
        <v>61</v>
      </c>
    </row>
    <row r="34" spans="2:6" ht="18">
      <c r="B34" s="9" t="s">
        <v>49</v>
      </c>
      <c r="C34" s="9"/>
      <c r="F34" s="3"/>
    </row>
    <row r="35" spans="2:6" ht="16">
      <c r="B35" s="10" t="s">
        <v>50</v>
      </c>
      <c r="C35" s="10"/>
      <c r="F35" s="3"/>
    </row>
    <row r="36" spans="2:6" ht="14">
      <c r="B36" s="11"/>
      <c r="C36" s="12" t="s">
        <v>57</v>
      </c>
      <c r="F36" s="3"/>
    </row>
    <row r="37" spans="2:6" ht="14">
      <c r="B37" s="13" t="s">
        <v>51</v>
      </c>
      <c r="C37" s="13" t="s">
        <v>52</v>
      </c>
      <c r="D37" s="13" t="s">
        <v>53</v>
      </c>
      <c r="E37" s="13" t="s">
        <v>286</v>
      </c>
      <c r="F37" s="13" t="s">
        <v>55</v>
      </c>
    </row>
    <row r="38" spans="2:6">
      <c r="B38" s="5" t="s">
        <v>274</v>
      </c>
      <c r="C38" s="5" t="s">
        <v>57</v>
      </c>
      <c r="D38" s="6" t="s">
        <v>287</v>
      </c>
      <c r="E38" s="6" t="s">
        <v>277</v>
      </c>
      <c r="F38" s="6" t="s">
        <v>288</v>
      </c>
    </row>
    <row r="39" spans="2:6">
      <c r="B39" s="5" t="s">
        <v>263</v>
      </c>
      <c r="C39" s="5" t="s">
        <v>57</v>
      </c>
      <c r="D39" s="6" t="s">
        <v>289</v>
      </c>
      <c r="E39" s="6" t="s">
        <v>102</v>
      </c>
      <c r="F39" s="6" t="s">
        <v>290</v>
      </c>
    </row>
    <row r="40" spans="2:6">
      <c r="B40" s="5" t="s">
        <v>278</v>
      </c>
      <c r="C40" s="5" t="s">
        <v>57</v>
      </c>
      <c r="D40" s="6" t="s">
        <v>287</v>
      </c>
      <c r="E40" s="6" t="s">
        <v>281</v>
      </c>
      <c r="F40" s="6" t="s">
        <v>291</v>
      </c>
    </row>
    <row r="41" spans="2:6">
      <c r="B41" s="5" t="s">
        <v>61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27:J27"/>
    <mergeCell ref="K3:K4"/>
    <mergeCell ref="L3:L4"/>
    <mergeCell ref="M3:M4"/>
    <mergeCell ref="A5:J5"/>
    <mergeCell ref="B3:B4"/>
    <mergeCell ref="A8:J8"/>
    <mergeCell ref="A11:J11"/>
    <mergeCell ref="A14:J14"/>
    <mergeCell ref="A17:J17"/>
    <mergeCell ref="A22:J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11B37-B12B-41AA-AD81-927F22070439}">
  <dimension ref="A1:M47"/>
  <sheetViews>
    <sheetView topLeftCell="A8" workbookViewId="0">
      <selection activeCell="E38" sqref="E38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40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3" style="5" customWidth="1"/>
    <col min="14" max="16384" width="9.1640625" style="3"/>
  </cols>
  <sheetData>
    <row r="1" spans="1:13" s="2" customFormat="1" ht="29" customHeight="1">
      <c r="A1" s="42" t="s">
        <v>443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458</v>
      </c>
      <c r="B3" s="34" t="s">
        <v>0</v>
      </c>
      <c r="C3" s="52" t="s">
        <v>460</v>
      </c>
      <c r="D3" s="52" t="s">
        <v>6</v>
      </c>
      <c r="E3" s="36" t="s">
        <v>461</v>
      </c>
      <c r="F3" s="36" t="s">
        <v>5</v>
      </c>
      <c r="G3" s="36" t="s">
        <v>9</v>
      </c>
      <c r="H3" s="36"/>
      <c r="I3" s="36"/>
      <c r="J3" s="36"/>
      <c r="K3" s="36" t="s">
        <v>292</v>
      </c>
      <c r="L3" s="36" t="s">
        <v>3</v>
      </c>
      <c r="M3" s="38" t="s">
        <v>2</v>
      </c>
    </row>
    <row r="4" spans="1:13" s="1" customFormat="1" ht="21" customHeight="1" thickBot="1">
      <c r="A4" s="51"/>
      <c r="B4" s="35"/>
      <c r="C4" s="37"/>
      <c r="D4" s="37"/>
      <c r="E4" s="37"/>
      <c r="F4" s="37"/>
      <c r="G4" s="4">
        <v>1</v>
      </c>
      <c r="H4" s="4">
        <v>2</v>
      </c>
      <c r="I4" s="4">
        <v>3</v>
      </c>
      <c r="J4" s="4" t="s">
        <v>4</v>
      </c>
      <c r="K4" s="37"/>
      <c r="L4" s="37"/>
      <c r="M4" s="39"/>
    </row>
    <row r="5" spans="1:13" ht="16">
      <c r="A5" s="40" t="s">
        <v>356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8" t="s">
        <v>60</v>
      </c>
      <c r="B6" s="7" t="s">
        <v>357</v>
      </c>
      <c r="C6" s="7" t="s">
        <v>358</v>
      </c>
      <c r="D6" s="7" t="s">
        <v>359</v>
      </c>
      <c r="E6" s="7" t="s">
        <v>463</v>
      </c>
      <c r="F6" s="7" t="s">
        <v>193</v>
      </c>
      <c r="G6" s="14" t="s">
        <v>34</v>
      </c>
      <c r="H6" s="15" t="s">
        <v>85</v>
      </c>
      <c r="I6" s="15" t="s">
        <v>85</v>
      </c>
      <c r="J6" s="8"/>
      <c r="K6" s="8" t="str">
        <f>"120,0"</f>
        <v>120,0</v>
      </c>
      <c r="L6" s="8" t="str">
        <f>"159,1800"</f>
        <v>159,1800</v>
      </c>
      <c r="M6" s="7" t="s">
        <v>360</v>
      </c>
    </row>
    <row r="7" spans="1:13">
      <c r="B7" s="5" t="s">
        <v>61</v>
      </c>
    </row>
    <row r="8" spans="1:13" ht="16">
      <c r="A8" s="32" t="s">
        <v>63</v>
      </c>
      <c r="B8" s="32"/>
      <c r="C8" s="33"/>
      <c r="D8" s="33"/>
      <c r="E8" s="33"/>
      <c r="F8" s="33"/>
      <c r="G8" s="33"/>
      <c r="H8" s="33"/>
      <c r="I8" s="33"/>
      <c r="J8" s="33"/>
    </row>
    <row r="9" spans="1:13">
      <c r="A9" s="17" t="s">
        <v>60</v>
      </c>
      <c r="B9" s="16" t="s">
        <v>361</v>
      </c>
      <c r="C9" s="16" t="s">
        <v>362</v>
      </c>
      <c r="D9" s="16" t="s">
        <v>363</v>
      </c>
      <c r="E9" s="16" t="s">
        <v>463</v>
      </c>
      <c r="F9" s="16" t="s">
        <v>193</v>
      </c>
      <c r="G9" s="23" t="s">
        <v>175</v>
      </c>
      <c r="H9" s="22" t="s">
        <v>249</v>
      </c>
      <c r="I9" s="22" t="s">
        <v>92</v>
      </c>
      <c r="J9" s="17"/>
      <c r="K9" s="17" t="str">
        <f>"122,5"</f>
        <v>122,5</v>
      </c>
      <c r="L9" s="17" t="str">
        <f>"147,8698"</f>
        <v>147,8698</v>
      </c>
      <c r="M9" s="16" t="s">
        <v>304</v>
      </c>
    </row>
    <row r="10" spans="1:13">
      <c r="A10" s="19" t="s">
        <v>115</v>
      </c>
      <c r="B10" s="18" t="s">
        <v>364</v>
      </c>
      <c r="C10" s="18" t="s">
        <v>365</v>
      </c>
      <c r="D10" s="18" t="s">
        <v>366</v>
      </c>
      <c r="E10" s="18" t="s">
        <v>463</v>
      </c>
      <c r="F10" s="18" t="s">
        <v>193</v>
      </c>
      <c r="G10" s="24" t="s">
        <v>73</v>
      </c>
      <c r="H10" s="25" t="s">
        <v>367</v>
      </c>
      <c r="I10" s="24" t="s">
        <v>367</v>
      </c>
      <c r="J10" s="19"/>
      <c r="K10" s="19" t="str">
        <f>"85,0"</f>
        <v>85,0</v>
      </c>
      <c r="L10" s="19" t="str">
        <f>"101,5750"</f>
        <v>101,5750</v>
      </c>
      <c r="M10" s="18" t="s">
        <v>459</v>
      </c>
    </row>
    <row r="11" spans="1:13">
      <c r="B11" s="5" t="s">
        <v>61</v>
      </c>
    </row>
    <row r="12" spans="1:13" ht="16">
      <c r="A12" s="32" t="s">
        <v>137</v>
      </c>
      <c r="B12" s="32"/>
      <c r="C12" s="33"/>
      <c r="D12" s="33"/>
      <c r="E12" s="33"/>
      <c r="F12" s="33"/>
      <c r="G12" s="33"/>
      <c r="H12" s="33"/>
      <c r="I12" s="33"/>
      <c r="J12" s="33"/>
    </row>
    <row r="13" spans="1:13">
      <c r="A13" s="8" t="s">
        <v>60</v>
      </c>
      <c r="B13" s="7" t="s">
        <v>368</v>
      </c>
      <c r="C13" s="7" t="s">
        <v>369</v>
      </c>
      <c r="D13" s="7" t="s">
        <v>370</v>
      </c>
      <c r="E13" s="7" t="s">
        <v>467</v>
      </c>
      <c r="F13" s="7" t="s">
        <v>342</v>
      </c>
      <c r="G13" s="14" t="s">
        <v>72</v>
      </c>
      <c r="H13" s="14" t="s">
        <v>371</v>
      </c>
      <c r="I13" s="15" t="s">
        <v>367</v>
      </c>
      <c r="J13" s="8"/>
      <c r="K13" s="8" t="str">
        <f>"77,5"</f>
        <v>77,5</v>
      </c>
      <c r="L13" s="8" t="str">
        <f>"90,5510"</f>
        <v>90,5510</v>
      </c>
      <c r="M13" s="7" t="s">
        <v>459</v>
      </c>
    </row>
    <row r="14" spans="1:13">
      <c r="B14" s="5" t="s">
        <v>61</v>
      </c>
    </row>
    <row r="15" spans="1:13" ht="16">
      <c r="A15" s="32" t="s">
        <v>147</v>
      </c>
      <c r="B15" s="32"/>
      <c r="C15" s="33"/>
      <c r="D15" s="33"/>
      <c r="E15" s="33"/>
      <c r="F15" s="33"/>
      <c r="G15" s="33"/>
      <c r="H15" s="33"/>
      <c r="I15" s="33"/>
      <c r="J15" s="33"/>
    </row>
    <row r="16" spans="1:13">
      <c r="A16" s="8" t="s">
        <v>60</v>
      </c>
      <c r="B16" s="7" t="s">
        <v>372</v>
      </c>
      <c r="C16" s="7" t="s">
        <v>373</v>
      </c>
      <c r="D16" s="7" t="s">
        <v>374</v>
      </c>
      <c r="E16" s="7" t="s">
        <v>464</v>
      </c>
      <c r="F16" s="7" t="s">
        <v>193</v>
      </c>
      <c r="G16" s="15" t="s">
        <v>19</v>
      </c>
      <c r="H16" s="14" t="s">
        <v>32</v>
      </c>
      <c r="I16" s="15" t="s">
        <v>175</v>
      </c>
      <c r="J16" s="8"/>
      <c r="K16" s="8" t="str">
        <f>"110,0"</f>
        <v>110,0</v>
      </c>
      <c r="L16" s="8" t="str">
        <f>"118,8550"</f>
        <v>118,8550</v>
      </c>
      <c r="M16" s="7" t="s">
        <v>375</v>
      </c>
    </row>
    <row r="17" spans="1:13">
      <c r="B17" s="5" t="s">
        <v>61</v>
      </c>
    </row>
    <row r="18" spans="1:13" ht="16">
      <c r="A18" s="32" t="s">
        <v>147</v>
      </c>
      <c r="B18" s="32"/>
      <c r="C18" s="33"/>
      <c r="D18" s="33"/>
      <c r="E18" s="33"/>
      <c r="F18" s="33"/>
      <c r="G18" s="33"/>
      <c r="H18" s="33"/>
      <c r="I18" s="33"/>
      <c r="J18" s="33"/>
    </row>
    <row r="19" spans="1:13">
      <c r="A19" s="17" t="s">
        <v>60</v>
      </c>
      <c r="B19" s="16" t="s">
        <v>376</v>
      </c>
      <c r="C19" s="16" t="s">
        <v>377</v>
      </c>
      <c r="D19" s="16" t="s">
        <v>378</v>
      </c>
      <c r="E19" s="16" t="s">
        <v>467</v>
      </c>
      <c r="F19" s="16" t="s">
        <v>342</v>
      </c>
      <c r="G19" s="23" t="s">
        <v>18</v>
      </c>
      <c r="H19" s="23" t="s">
        <v>32</v>
      </c>
      <c r="I19" s="22" t="s">
        <v>34</v>
      </c>
      <c r="J19" s="17"/>
      <c r="K19" s="17" t="str">
        <f>"110,0"</f>
        <v>110,0</v>
      </c>
      <c r="L19" s="17" t="str">
        <f>"92,8290"</f>
        <v>92,8290</v>
      </c>
      <c r="M19" s="16" t="s">
        <v>459</v>
      </c>
    </row>
    <row r="20" spans="1:13">
      <c r="A20" s="19" t="s">
        <v>60</v>
      </c>
      <c r="B20" s="18" t="s">
        <v>379</v>
      </c>
      <c r="C20" s="18" t="s">
        <v>380</v>
      </c>
      <c r="D20" s="18" t="s">
        <v>303</v>
      </c>
      <c r="E20" s="18" t="s">
        <v>463</v>
      </c>
      <c r="F20" s="18" t="s">
        <v>455</v>
      </c>
      <c r="G20" s="24" t="s">
        <v>15</v>
      </c>
      <c r="H20" s="24" t="s">
        <v>96</v>
      </c>
      <c r="I20" s="24" t="s">
        <v>29</v>
      </c>
      <c r="J20" s="19"/>
      <c r="K20" s="19" t="str">
        <f>"180,0"</f>
        <v>180,0</v>
      </c>
      <c r="L20" s="19" t="str">
        <f>"140,1300"</f>
        <v>140,1300</v>
      </c>
      <c r="M20" s="18" t="s">
        <v>459</v>
      </c>
    </row>
    <row r="21" spans="1:13">
      <c r="B21" s="5" t="s">
        <v>61</v>
      </c>
    </row>
    <row r="22" spans="1:13" ht="16">
      <c r="A22" s="32" t="s">
        <v>10</v>
      </c>
      <c r="B22" s="32"/>
      <c r="C22" s="33"/>
      <c r="D22" s="33"/>
      <c r="E22" s="33"/>
      <c r="F22" s="33"/>
      <c r="G22" s="33"/>
      <c r="H22" s="33"/>
      <c r="I22" s="33"/>
      <c r="J22" s="33"/>
    </row>
    <row r="23" spans="1:13">
      <c r="A23" s="17" t="s">
        <v>60</v>
      </c>
      <c r="B23" s="16" t="s">
        <v>381</v>
      </c>
      <c r="C23" s="16" t="s">
        <v>382</v>
      </c>
      <c r="D23" s="16" t="s">
        <v>383</v>
      </c>
      <c r="E23" s="16" t="s">
        <v>464</v>
      </c>
      <c r="F23" s="16" t="s">
        <v>384</v>
      </c>
      <c r="G23" s="23" t="s">
        <v>31</v>
      </c>
      <c r="H23" s="22" t="s">
        <v>109</v>
      </c>
      <c r="I23" s="22" t="s">
        <v>281</v>
      </c>
      <c r="J23" s="17"/>
      <c r="K23" s="17" t="str">
        <f>"200,0"</f>
        <v>200,0</v>
      </c>
      <c r="L23" s="17" t="str">
        <f>"152,7600"</f>
        <v>152,7600</v>
      </c>
      <c r="M23" s="16" t="s">
        <v>250</v>
      </c>
    </row>
    <row r="24" spans="1:13">
      <c r="A24" s="21" t="s">
        <v>60</v>
      </c>
      <c r="B24" s="20" t="s">
        <v>164</v>
      </c>
      <c r="C24" s="20" t="s">
        <v>165</v>
      </c>
      <c r="D24" s="20" t="s">
        <v>166</v>
      </c>
      <c r="E24" s="20" t="s">
        <v>463</v>
      </c>
      <c r="F24" s="20" t="s">
        <v>448</v>
      </c>
      <c r="G24" s="26" t="s">
        <v>168</v>
      </c>
      <c r="H24" s="26" t="s">
        <v>42</v>
      </c>
      <c r="I24" s="27" t="s">
        <v>169</v>
      </c>
      <c r="J24" s="21"/>
      <c r="K24" s="21" t="str">
        <f>"230,0"</f>
        <v>230,0</v>
      </c>
      <c r="L24" s="21" t="str">
        <f>"164,0360"</f>
        <v>164,0360</v>
      </c>
      <c r="M24" s="20" t="s">
        <v>459</v>
      </c>
    </row>
    <row r="25" spans="1:13">
      <c r="A25" s="19" t="s">
        <v>115</v>
      </c>
      <c r="B25" s="18" t="s">
        <v>381</v>
      </c>
      <c r="C25" s="18" t="s">
        <v>385</v>
      </c>
      <c r="D25" s="18" t="s">
        <v>383</v>
      </c>
      <c r="E25" s="18" t="s">
        <v>463</v>
      </c>
      <c r="F25" s="18" t="s">
        <v>384</v>
      </c>
      <c r="G25" s="24" t="s">
        <v>31</v>
      </c>
      <c r="H25" s="25" t="s">
        <v>109</v>
      </c>
      <c r="I25" s="25" t="s">
        <v>281</v>
      </c>
      <c r="J25" s="19"/>
      <c r="K25" s="19" t="str">
        <f>"200,0"</f>
        <v>200,0</v>
      </c>
      <c r="L25" s="19" t="str">
        <f>"152,7600"</f>
        <v>152,7600</v>
      </c>
      <c r="M25" s="18" t="s">
        <v>250</v>
      </c>
    </row>
    <row r="26" spans="1:13">
      <c r="B26" s="5" t="s">
        <v>61</v>
      </c>
    </row>
    <row r="27" spans="1:13" ht="16">
      <c r="A27" s="32" t="s">
        <v>24</v>
      </c>
      <c r="B27" s="32"/>
      <c r="C27" s="33"/>
      <c r="D27" s="33"/>
      <c r="E27" s="33"/>
      <c r="F27" s="33"/>
      <c r="G27" s="33"/>
      <c r="H27" s="33"/>
      <c r="I27" s="33"/>
      <c r="J27" s="33"/>
    </row>
    <row r="28" spans="1:13">
      <c r="A28" s="17" t="s">
        <v>60</v>
      </c>
      <c r="B28" s="16" t="s">
        <v>190</v>
      </c>
      <c r="C28" s="16" t="s">
        <v>191</v>
      </c>
      <c r="D28" s="16" t="s">
        <v>192</v>
      </c>
      <c r="E28" s="16" t="s">
        <v>463</v>
      </c>
      <c r="F28" s="16" t="s">
        <v>193</v>
      </c>
      <c r="G28" s="23" t="s">
        <v>42</v>
      </c>
      <c r="H28" s="23" t="s">
        <v>181</v>
      </c>
      <c r="I28" s="22" t="s">
        <v>43</v>
      </c>
      <c r="J28" s="17"/>
      <c r="K28" s="17" t="str">
        <f>"245,0"</f>
        <v>245,0</v>
      </c>
      <c r="L28" s="17" t="str">
        <f>"156,9470"</f>
        <v>156,9470</v>
      </c>
      <c r="M28" s="16" t="s">
        <v>196</v>
      </c>
    </row>
    <row r="29" spans="1:13">
      <c r="A29" s="21" t="s">
        <v>115</v>
      </c>
      <c r="B29" s="20" t="s">
        <v>386</v>
      </c>
      <c r="C29" s="20" t="s">
        <v>387</v>
      </c>
      <c r="D29" s="20" t="s">
        <v>324</v>
      </c>
      <c r="E29" s="20" t="s">
        <v>463</v>
      </c>
      <c r="F29" s="20" t="s">
        <v>456</v>
      </c>
      <c r="G29" s="26" t="s">
        <v>102</v>
      </c>
      <c r="H29" s="27" t="s">
        <v>42</v>
      </c>
      <c r="I29" s="27" t="s">
        <v>42</v>
      </c>
      <c r="J29" s="21"/>
      <c r="K29" s="21" t="str">
        <f>"215,0"</f>
        <v>215,0</v>
      </c>
      <c r="L29" s="21" t="str">
        <f>"137,2560"</f>
        <v>137,2560</v>
      </c>
      <c r="M29" s="20" t="s">
        <v>388</v>
      </c>
    </row>
    <row r="30" spans="1:13">
      <c r="A30" s="21" t="s">
        <v>116</v>
      </c>
      <c r="B30" s="20" t="s">
        <v>389</v>
      </c>
      <c r="C30" s="20" t="s">
        <v>390</v>
      </c>
      <c r="D30" s="20" t="s">
        <v>391</v>
      </c>
      <c r="E30" s="20" t="s">
        <v>463</v>
      </c>
      <c r="F30" s="20" t="s">
        <v>392</v>
      </c>
      <c r="G30" s="26" t="s">
        <v>104</v>
      </c>
      <c r="H30" s="26" t="s">
        <v>15</v>
      </c>
      <c r="I30" s="26" t="s">
        <v>20</v>
      </c>
      <c r="J30" s="21"/>
      <c r="K30" s="21" t="str">
        <f>"165,0"</f>
        <v>165,0</v>
      </c>
      <c r="L30" s="21" t="str">
        <f>"108,5535"</f>
        <v>108,5535</v>
      </c>
      <c r="M30" s="20" t="s">
        <v>459</v>
      </c>
    </row>
    <row r="31" spans="1:13">
      <c r="A31" s="19" t="s">
        <v>60</v>
      </c>
      <c r="B31" s="18" t="s">
        <v>386</v>
      </c>
      <c r="C31" s="18" t="s">
        <v>393</v>
      </c>
      <c r="D31" s="18" t="s">
        <v>324</v>
      </c>
      <c r="E31" s="18" t="s">
        <v>465</v>
      </c>
      <c r="F31" s="18" t="s">
        <v>456</v>
      </c>
      <c r="G31" s="24" t="s">
        <v>102</v>
      </c>
      <c r="H31" s="25" t="s">
        <v>42</v>
      </c>
      <c r="I31" s="25" t="s">
        <v>42</v>
      </c>
      <c r="J31" s="19"/>
      <c r="K31" s="19" t="str">
        <f>"215,0"</f>
        <v>215,0</v>
      </c>
      <c r="L31" s="19" t="str">
        <f>"139,1776"</f>
        <v>139,1776</v>
      </c>
      <c r="M31" s="18" t="s">
        <v>388</v>
      </c>
    </row>
    <row r="32" spans="1:13">
      <c r="B32" s="5" t="s">
        <v>61</v>
      </c>
    </row>
    <row r="33" spans="1:13" ht="16">
      <c r="A33" s="32" t="s">
        <v>37</v>
      </c>
      <c r="B33" s="32"/>
      <c r="C33" s="33"/>
      <c r="D33" s="33"/>
      <c r="E33" s="33"/>
      <c r="F33" s="33"/>
      <c r="G33" s="33"/>
      <c r="H33" s="33"/>
      <c r="I33" s="33"/>
      <c r="J33" s="33"/>
    </row>
    <row r="34" spans="1:13">
      <c r="A34" s="8" t="s">
        <v>60</v>
      </c>
      <c r="B34" s="7" t="s">
        <v>197</v>
      </c>
      <c r="C34" s="7" t="s">
        <v>394</v>
      </c>
      <c r="D34" s="7" t="s">
        <v>199</v>
      </c>
      <c r="E34" s="7" t="s">
        <v>465</v>
      </c>
      <c r="F34" s="7" t="s">
        <v>79</v>
      </c>
      <c r="G34" s="14" t="s">
        <v>181</v>
      </c>
      <c r="H34" s="14" t="s">
        <v>201</v>
      </c>
      <c r="I34" s="14" t="s">
        <v>44</v>
      </c>
      <c r="J34" s="8"/>
      <c r="K34" s="8" t="str">
        <f>"260,0"</f>
        <v>260,0</v>
      </c>
      <c r="L34" s="8" t="str">
        <f>"175,2504"</f>
        <v>175,2504</v>
      </c>
      <c r="M34" s="7" t="s">
        <v>459</v>
      </c>
    </row>
    <row r="35" spans="1:13">
      <c r="B35" s="5" t="s">
        <v>61</v>
      </c>
    </row>
    <row r="36" spans="1:13" ht="16">
      <c r="A36" s="32" t="s">
        <v>395</v>
      </c>
      <c r="B36" s="32"/>
      <c r="C36" s="33"/>
      <c r="D36" s="33"/>
      <c r="E36" s="33"/>
      <c r="F36" s="33"/>
      <c r="G36" s="33"/>
      <c r="H36" s="33"/>
      <c r="I36" s="33"/>
      <c r="J36" s="33"/>
    </row>
    <row r="37" spans="1:13">
      <c r="A37" s="8" t="s">
        <v>60</v>
      </c>
      <c r="B37" s="7" t="s">
        <v>220</v>
      </c>
      <c r="C37" s="7" t="s">
        <v>221</v>
      </c>
      <c r="D37" s="7" t="s">
        <v>396</v>
      </c>
      <c r="E37" s="7" t="s">
        <v>463</v>
      </c>
      <c r="F37" s="7" t="s">
        <v>450</v>
      </c>
      <c r="G37" s="14" t="s">
        <v>31</v>
      </c>
      <c r="H37" s="14" t="s">
        <v>168</v>
      </c>
      <c r="I37" s="14" t="s">
        <v>103</v>
      </c>
      <c r="J37" s="8"/>
      <c r="K37" s="8" t="str">
        <f>"225,0"</f>
        <v>225,0</v>
      </c>
      <c r="L37" s="8" t="str">
        <f>"119,6100"</f>
        <v>119,6100</v>
      </c>
      <c r="M37" s="7" t="s">
        <v>459</v>
      </c>
    </row>
    <row r="38" spans="1:13">
      <c r="B38" s="5" t="s">
        <v>61</v>
      </c>
    </row>
    <row r="39" spans="1:13">
      <c r="B39" s="5" t="s">
        <v>61</v>
      </c>
    </row>
    <row r="40" spans="1:13">
      <c r="B40" s="5" t="s">
        <v>61</v>
      </c>
    </row>
    <row r="41" spans="1:13" ht="18">
      <c r="B41" s="9" t="s">
        <v>49</v>
      </c>
      <c r="C41" s="9"/>
      <c r="F41" s="3"/>
    </row>
    <row r="42" spans="1:13" ht="16">
      <c r="B42" s="10" t="s">
        <v>50</v>
      </c>
      <c r="C42" s="10"/>
      <c r="F42" s="3"/>
    </row>
    <row r="43" spans="1:13" ht="14">
      <c r="B43" s="11"/>
      <c r="C43" s="12" t="s">
        <v>57</v>
      </c>
      <c r="F43" s="3"/>
    </row>
    <row r="44" spans="1:13" ht="14">
      <c r="B44" s="13" t="s">
        <v>51</v>
      </c>
      <c r="C44" s="13" t="s">
        <v>52</v>
      </c>
      <c r="D44" s="13" t="s">
        <v>447</v>
      </c>
      <c r="E44" s="13" t="s">
        <v>286</v>
      </c>
      <c r="F44" s="13" t="s">
        <v>55</v>
      </c>
    </row>
    <row r="45" spans="1:13">
      <c r="B45" s="5" t="s">
        <v>164</v>
      </c>
      <c r="C45" s="5" t="s">
        <v>57</v>
      </c>
      <c r="D45" s="6" t="s">
        <v>59</v>
      </c>
      <c r="E45" s="6" t="s">
        <v>42</v>
      </c>
      <c r="F45" s="6" t="s">
        <v>398</v>
      </c>
    </row>
    <row r="46" spans="1:13">
      <c r="B46" s="5" t="s">
        <v>190</v>
      </c>
      <c r="C46" s="5" t="s">
        <v>57</v>
      </c>
      <c r="D46" s="6" t="s">
        <v>58</v>
      </c>
      <c r="E46" s="6" t="s">
        <v>181</v>
      </c>
      <c r="F46" s="6" t="s">
        <v>399</v>
      </c>
    </row>
    <row r="47" spans="1:13">
      <c r="B47" s="5" t="s">
        <v>381</v>
      </c>
      <c r="C47" s="5" t="s">
        <v>57</v>
      </c>
      <c r="D47" s="6" t="s">
        <v>59</v>
      </c>
      <c r="E47" s="6" t="s">
        <v>31</v>
      </c>
      <c r="F47" s="6" t="s">
        <v>397</v>
      </c>
    </row>
  </sheetData>
  <mergeCells count="20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33:J33"/>
    <mergeCell ref="A36:J36"/>
    <mergeCell ref="B3:B4"/>
    <mergeCell ref="A8:J8"/>
    <mergeCell ref="A12:J12"/>
    <mergeCell ref="A15:J15"/>
    <mergeCell ref="A18:J18"/>
    <mergeCell ref="A22:J22"/>
    <mergeCell ref="A27:J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2022-02-21T20:29:05Z</dcterms:modified>
</cp:coreProperties>
</file>