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15" windowWidth="11340" windowHeight="9690" activeTab="1"/>
  </bookViews>
  <sheets>
    <sheet name="Лист26" sheetId="31" r:id="rId1"/>
    <sheet name="AWPC m.ply DL" sheetId="30" r:id="rId2"/>
    <sheet name="AWPC s.ply DL" sheetId="29" r:id="rId3"/>
    <sheet name="AWPC raw DL" sheetId="28" r:id="rId4"/>
    <sheet name="WPC m.ply DL" sheetId="27" r:id="rId5"/>
    <sheet name="WPC s.ply DL" sheetId="26" r:id="rId6"/>
    <sheet name="WPC raw DL" sheetId="25" r:id="rId7"/>
    <sheet name="AWPC mpl.soft eq. BP" sheetId="24" r:id="rId8"/>
    <sheet name="AWPC std.soft eq. BP" sheetId="23" r:id="rId9"/>
    <sheet name="AWPC m.ply BP" sheetId="22" r:id="rId10"/>
    <sheet name="AWPC s.ply BP" sheetId="21" r:id="rId11"/>
    <sheet name="AWPC raw BP" sheetId="20" r:id="rId12"/>
    <sheet name="AWPC m.ply PL" sheetId="19" r:id="rId13"/>
    <sheet name="AWPC s.ply PL" sheetId="18" r:id="rId14"/>
    <sheet name="AWPC Classic powerlifting RAW" sheetId="17" r:id="rId15"/>
    <sheet name="AWPC raw PL" sheetId="16" r:id="rId16"/>
    <sheet name="WPC mply.soft eq. BP" sheetId="15" r:id="rId17"/>
    <sheet name="WPC std.soft eq. BP" sheetId="14" r:id="rId18"/>
    <sheet name="WPC m.ply BP" sheetId="13" r:id="rId19"/>
    <sheet name="WPC s.ply BP" sheetId="12" r:id="rId20"/>
    <sheet name="WPC raw BP" sheetId="11" r:id="rId21"/>
    <sheet name="WPC m.ply PL" sheetId="10" r:id="rId22"/>
    <sheet name="WPC s.ply PL" sheetId="9" r:id="rId23"/>
    <sheet name="WPC Classic powerlifting RAW" sheetId="8" r:id="rId24"/>
    <sheet name="WPC raw PL" sheetId="7" r:id="rId25"/>
    <sheet name="AWPC soft PL" sheetId="6" r:id="rId26"/>
    <sheet name="WPC soft PL" sheetId="5" r:id="rId27"/>
  </sheets>
  <definedNames>
    <definedName name="_FilterDatabase" localSheetId="26" hidden="1">'WPC soft PL'!$A$1:$S$3</definedName>
  </definedNames>
  <calcPr calcId="145621" refMode="R1C1"/>
</workbook>
</file>

<file path=xl/calcChain.xml><?xml version="1.0" encoding="utf-8"?>
<calcChain xmlns="http://schemas.openxmlformats.org/spreadsheetml/2006/main">
  <c r="L9" i="29" l="1"/>
  <c r="K9" i="29"/>
  <c r="D9" i="29"/>
  <c r="L6" i="29"/>
  <c r="K6" i="29"/>
  <c r="D6" i="29"/>
  <c r="L51" i="28"/>
  <c r="K51" i="28"/>
  <c r="D51" i="28"/>
  <c r="L48" i="28"/>
  <c r="K48" i="28"/>
  <c r="D48" i="28"/>
  <c r="L47" i="28"/>
  <c r="K47" i="28"/>
  <c r="D47" i="28"/>
  <c r="L46" i="28"/>
  <c r="K46" i="28"/>
  <c r="D46" i="28"/>
  <c r="L45" i="28"/>
  <c r="K45" i="28"/>
  <c r="D45" i="28"/>
  <c r="L44" i="28"/>
  <c r="K44" i="28"/>
  <c r="D44" i="28"/>
  <c r="L43" i="28"/>
  <c r="K43" i="28"/>
  <c r="D43" i="28"/>
  <c r="L40" i="28"/>
  <c r="K40" i="28"/>
  <c r="D40" i="28"/>
  <c r="L39" i="28"/>
  <c r="K39" i="28"/>
  <c r="D39" i="28"/>
  <c r="L36" i="28"/>
  <c r="K36" i="28"/>
  <c r="D36" i="28"/>
  <c r="L35" i="28"/>
  <c r="K35" i="28"/>
  <c r="D35" i="28"/>
  <c r="L32" i="28"/>
  <c r="K32" i="28"/>
  <c r="D32" i="28"/>
  <c r="L31" i="28"/>
  <c r="K31" i="28"/>
  <c r="D31" i="28"/>
  <c r="L30" i="28"/>
  <c r="K30" i="28"/>
  <c r="D30" i="28"/>
  <c r="L29" i="28"/>
  <c r="K29" i="28"/>
  <c r="D29" i="28"/>
  <c r="L28" i="28"/>
  <c r="K28" i="28"/>
  <c r="D28" i="28"/>
  <c r="L25" i="28"/>
  <c r="K25" i="28"/>
  <c r="D25" i="28"/>
  <c r="L24" i="28"/>
  <c r="K24" i="28"/>
  <c r="D24" i="28"/>
  <c r="L23" i="28"/>
  <c r="K23" i="28"/>
  <c r="D23" i="28"/>
  <c r="L22" i="28"/>
  <c r="K22" i="28"/>
  <c r="D22" i="28"/>
  <c r="L19" i="28"/>
  <c r="K19" i="28"/>
  <c r="D19" i="28"/>
  <c r="L16" i="28"/>
  <c r="K16" i="28"/>
  <c r="D16" i="28"/>
  <c r="L13" i="28"/>
  <c r="K13" i="28"/>
  <c r="D13" i="28"/>
  <c r="L12" i="28"/>
  <c r="K12" i="28"/>
  <c r="D12" i="28"/>
  <c r="L11" i="28"/>
  <c r="K11" i="28"/>
  <c r="D11" i="28"/>
  <c r="L8" i="28"/>
  <c r="K8" i="28"/>
  <c r="D8" i="28"/>
  <c r="L7" i="28"/>
  <c r="K7" i="28"/>
  <c r="D7" i="28"/>
  <c r="L6" i="28"/>
  <c r="K6" i="28"/>
  <c r="D6" i="28"/>
  <c r="L6" i="26"/>
  <c r="K6" i="26"/>
  <c r="D6" i="26"/>
  <c r="L24" i="25"/>
  <c r="K24" i="25"/>
  <c r="D24" i="25"/>
  <c r="L21" i="25"/>
  <c r="K21" i="25"/>
  <c r="D21" i="25"/>
  <c r="L20" i="25"/>
  <c r="K20" i="25"/>
  <c r="D20" i="25"/>
  <c r="L17" i="25"/>
  <c r="K17" i="25"/>
  <c r="D17" i="25"/>
  <c r="L16" i="25"/>
  <c r="K16" i="25"/>
  <c r="D16" i="25"/>
  <c r="L15" i="25"/>
  <c r="K15" i="25"/>
  <c r="D15" i="25"/>
  <c r="L12" i="25"/>
  <c r="K12" i="25"/>
  <c r="D12" i="25"/>
  <c r="L9" i="25"/>
  <c r="K9" i="25"/>
  <c r="D9" i="25"/>
  <c r="L6" i="25"/>
  <c r="K6" i="25"/>
  <c r="D6" i="25"/>
  <c r="L17" i="23"/>
  <c r="K17" i="23"/>
  <c r="D17" i="23"/>
  <c r="L14" i="23"/>
  <c r="K14" i="23"/>
  <c r="D14" i="23"/>
  <c r="L11" i="23"/>
  <c r="K11" i="23"/>
  <c r="D11" i="23"/>
  <c r="L10" i="23"/>
  <c r="K10" i="23"/>
  <c r="D10" i="23"/>
  <c r="L7" i="23"/>
  <c r="K7" i="23"/>
  <c r="D7" i="23"/>
  <c r="L6" i="23"/>
  <c r="K6" i="23"/>
  <c r="D6" i="23"/>
  <c r="L7" i="21"/>
  <c r="K7" i="21"/>
  <c r="D7" i="21"/>
  <c r="L6" i="21"/>
  <c r="K6" i="21"/>
  <c r="D6" i="21"/>
  <c r="L81" i="20"/>
  <c r="K81" i="20"/>
  <c r="D81" i="20"/>
  <c r="L80" i="20"/>
  <c r="K80" i="20"/>
  <c r="D80" i="20"/>
  <c r="L79" i="20"/>
  <c r="K79" i="20"/>
  <c r="D79" i="20"/>
  <c r="L78" i="20"/>
  <c r="K78" i="20"/>
  <c r="D78" i="20"/>
  <c r="L75" i="20"/>
  <c r="K75" i="20"/>
  <c r="D75" i="20"/>
  <c r="L74" i="20"/>
  <c r="K74" i="20"/>
  <c r="D74" i="20"/>
  <c r="L73" i="20"/>
  <c r="K73" i="20"/>
  <c r="D73" i="20"/>
  <c r="L72" i="20"/>
  <c r="K72" i="20"/>
  <c r="D72" i="20"/>
  <c r="L71" i="20"/>
  <c r="K71" i="20"/>
  <c r="D71" i="20"/>
  <c r="L70" i="20"/>
  <c r="K70" i="20"/>
  <c r="D70" i="20"/>
  <c r="L69" i="20"/>
  <c r="K69" i="20"/>
  <c r="D69" i="20"/>
  <c r="L66" i="20"/>
  <c r="K66" i="20"/>
  <c r="D66" i="20"/>
  <c r="L65" i="20"/>
  <c r="K65" i="20"/>
  <c r="D65" i="20"/>
  <c r="L64" i="20"/>
  <c r="K64" i="20"/>
  <c r="D64" i="20"/>
  <c r="L63" i="20"/>
  <c r="K63" i="20"/>
  <c r="D63" i="20"/>
  <c r="L62" i="20"/>
  <c r="K62" i="20"/>
  <c r="D62" i="20"/>
  <c r="L61" i="20"/>
  <c r="K61" i="20"/>
  <c r="D61" i="20"/>
  <c r="L60" i="20"/>
  <c r="K60" i="20"/>
  <c r="D60" i="20"/>
  <c r="L59" i="20"/>
  <c r="K59" i="20"/>
  <c r="D59" i="20"/>
  <c r="L58" i="20"/>
  <c r="K58" i="20"/>
  <c r="D58" i="20"/>
  <c r="L57" i="20"/>
  <c r="K57" i="20"/>
  <c r="D57" i="20"/>
  <c r="L56" i="20"/>
  <c r="K56" i="20"/>
  <c r="D56" i="20"/>
  <c r="L53" i="20"/>
  <c r="K53" i="20"/>
  <c r="D53" i="20"/>
  <c r="L52" i="20"/>
  <c r="K52" i="20"/>
  <c r="D52" i="20"/>
  <c r="L51" i="20"/>
  <c r="K51" i="20"/>
  <c r="D51" i="20"/>
  <c r="L50" i="20"/>
  <c r="K50" i="20"/>
  <c r="D50" i="20"/>
  <c r="L49" i="20"/>
  <c r="K49" i="20"/>
  <c r="D49" i="20"/>
  <c r="L48" i="20"/>
  <c r="K48" i="20"/>
  <c r="D48" i="20"/>
  <c r="L47" i="20"/>
  <c r="K47" i="20"/>
  <c r="D47" i="20"/>
  <c r="L46" i="20"/>
  <c r="K46" i="20"/>
  <c r="D46" i="20"/>
  <c r="L45" i="20"/>
  <c r="K45" i="20"/>
  <c r="D45" i="20"/>
  <c r="L42" i="20"/>
  <c r="K42" i="20"/>
  <c r="D42" i="20"/>
  <c r="L41" i="20"/>
  <c r="K41" i="20"/>
  <c r="D41" i="20"/>
  <c r="L40" i="20"/>
  <c r="K40" i="20"/>
  <c r="D40" i="20"/>
  <c r="L37" i="20"/>
  <c r="K37" i="20"/>
  <c r="D37" i="20"/>
  <c r="L36" i="20"/>
  <c r="K36" i="20"/>
  <c r="D36" i="20"/>
  <c r="L35" i="20"/>
  <c r="K35" i="20"/>
  <c r="D35" i="20"/>
  <c r="L34" i="20"/>
  <c r="K34" i="20"/>
  <c r="D34" i="20"/>
  <c r="L33" i="20"/>
  <c r="K33" i="20"/>
  <c r="D33" i="20"/>
  <c r="L30" i="20"/>
  <c r="K30" i="20"/>
  <c r="D30" i="20"/>
  <c r="L29" i="20"/>
  <c r="K29" i="20"/>
  <c r="D29" i="20"/>
  <c r="L28" i="20"/>
  <c r="K28" i="20"/>
  <c r="D28" i="20"/>
  <c r="L27" i="20"/>
  <c r="K27" i="20"/>
  <c r="D27" i="20"/>
  <c r="L24" i="20"/>
  <c r="K24" i="20"/>
  <c r="D24" i="20"/>
  <c r="L21" i="20"/>
  <c r="K21" i="20"/>
  <c r="D21" i="20"/>
  <c r="L18" i="20"/>
  <c r="K18" i="20"/>
  <c r="D18" i="20"/>
  <c r="L15" i="20"/>
  <c r="K15" i="20"/>
  <c r="D15" i="20"/>
  <c r="L12" i="20"/>
  <c r="K12" i="20"/>
  <c r="D12" i="20"/>
  <c r="L11" i="20"/>
  <c r="K11" i="20"/>
  <c r="D11" i="20"/>
  <c r="L8" i="20"/>
  <c r="K8" i="20"/>
  <c r="D8" i="20"/>
  <c r="L7" i="20"/>
  <c r="K7" i="20"/>
  <c r="D7" i="20"/>
  <c r="L6" i="20"/>
  <c r="K6" i="20"/>
  <c r="D6" i="20"/>
  <c r="T12" i="17"/>
  <c r="S12" i="17"/>
  <c r="D12" i="17"/>
  <c r="T9" i="17"/>
  <c r="S9" i="17"/>
  <c r="D9" i="17"/>
  <c r="T6" i="17"/>
  <c r="S6" i="17"/>
  <c r="D6" i="17"/>
  <c r="T39" i="16"/>
  <c r="S39" i="16"/>
  <c r="D39" i="16"/>
  <c r="T36" i="16"/>
  <c r="S36" i="16"/>
  <c r="D36" i="16"/>
  <c r="T35" i="16"/>
  <c r="S35" i="16"/>
  <c r="D35" i="16"/>
  <c r="T32" i="16"/>
  <c r="S32" i="16"/>
  <c r="D32" i="16"/>
  <c r="T29" i="16"/>
  <c r="S29" i="16"/>
  <c r="D29" i="16"/>
  <c r="T28" i="16"/>
  <c r="S28" i="16"/>
  <c r="D28" i="16"/>
  <c r="T27" i="16"/>
  <c r="S27" i="16"/>
  <c r="D27" i="16"/>
  <c r="T26" i="16"/>
  <c r="S26" i="16"/>
  <c r="D26" i="16"/>
  <c r="T23" i="16"/>
  <c r="S23" i="16"/>
  <c r="D23" i="16"/>
  <c r="T20" i="16"/>
  <c r="S20" i="16"/>
  <c r="D20" i="16"/>
  <c r="T19" i="16"/>
  <c r="S19" i="16"/>
  <c r="D19" i="16"/>
  <c r="T16" i="16"/>
  <c r="S16" i="16"/>
  <c r="D16" i="16"/>
  <c r="T13" i="16"/>
  <c r="S13" i="16"/>
  <c r="D13" i="16"/>
  <c r="T10" i="16"/>
  <c r="S10" i="16"/>
  <c r="D10" i="16"/>
  <c r="T9" i="16"/>
  <c r="S9" i="16"/>
  <c r="D9" i="16"/>
  <c r="T6" i="16"/>
  <c r="S6" i="16"/>
  <c r="D6" i="16"/>
  <c r="L28" i="14"/>
  <c r="K28" i="14"/>
  <c r="D28" i="14"/>
  <c r="L25" i="14"/>
  <c r="K25" i="14"/>
  <c r="D25" i="14"/>
  <c r="L24" i="14"/>
  <c r="K24" i="14"/>
  <c r="D24" i="14"/>
  <c r="L23" i="14"/>
  <c r="K23" i="14"/>
  <c r="D23" i="14"/>
  <c r="L22" i="14"/>
  <c r="K22" i="14"/>
  <c r="D22" i="14"/>
  <c r="L21" i="14"/>
  <c r="K21" i="14"/>
  <c r="D21" i="14"/>
  <c r="L18" i="14"/>
  <c r="K18" i="14"/>
  <c r="D18" i="14"/>
  <c r="L17" i="14"/>
  <c r="K17" i="14"/>
  <c r="D17" i="14"/>
  <c r="L16" i="14"/>
  <c r="K16" i="14"/>
  <c r="D16" i="14"/>
  <c r="L13" i="14"/>
  <c r="K13" i="14"/>
  <c r="D13" i="14"/>
  <c r="L10" i="14"/>
  <c r="K10" i="14"/>
  <c r="D10" i="14"/>
  <c r="L9" i="14"/>
  <c r="K9" i="14"/>
  <c r="D9" i="14"/>
  <c r="L6" i="14"/>
  <c r="K6" i="14"/>
  <c r="D6" i="14"/>
  <c r="L46" i="11"/>
  <c r="K46" i="11"/>
  <c r="D46" i="11"/>
  <c r="L43" i="11"/>
  <c r="K43" i="11"/>
  <c r="D43" i="11"/>
  <c r="L42" i="11"/>
  <c r="K42" i="11"/>
  <c r="D42" i="11"/>
  <c r="L41" i="11"/>
  <c r="K41" i="11"/>
  <c r="D41" i="11"/>
  <c r="L38" i="11"/>
  <c r="K38" i="11"/>
  <c r="D38" i="11"/>
  <c r="L37" i="11"/>
  <c r="K37" i="11"/>
  <c r="D37" i="11"/>
  <c r="L36" i="11"/>
  <c r="K36" i="11"/>
  <c r="D36" i="11"/>
  <c r="L35" i="11"/>
  <c r="K35" i="11"/>
  <c r="D35" i="11"/>
  <c r="L34" i="11"/>
  <c r="K34" i="11"/>
  <c r="D34" i="11"/>
  <c r="L33" i="11"/>
  <c r="K33" i="11"/>
  <c r="D33" i="11"/>
  <c r="L32" i="11"/>
  <c r="K32" i="11"/>
  <c r="D32" i="11"/>
  <c r="L31" i="11"/>
  <c r="K31" i="11"/>
  <c r="D31" i="11"/>
  <c r="L30" i="11"/>
  <c r="K30" i="11"/>
  <c r="D30" i="11"/>
  <c r="L29" i="11"/>
  <c r="K29" i="11"/>
  <c r="D29" i="11"/>
  <c r="L26" i="11"/>
  <c r="K26" i="11"/>
  <c r="D26" i="11"/>
  <c r="L25" i="11"/>
  <c r="K25" i="11"/>
  <c r="D25" i="11"/>
  <c r="L22" i="11"/>
  <c r="K22" i="11"/>
  <c r="D22" i="11"/>
  <c r="L21" i="11"/>
  <c r="K21" i="11"/>
  <c r="D21" i="11"/>
  <c r="L18" i="11"/>
  <c r="K18" i="11"/>
  <c r="D18" i="11"/>
  <c r="L17" i="11"/>
  <c r="K17" i="11"/>
  <c r="D17" i="11"/>
  <c r="L16" i="11"/>
  <c r="K16" i="11"/>
  <c r="D16" i="11"/>
  <c r="L13" i="11"/>
  <c r="K13" i="11"/>
  <c r="D13" i="11"/>
  <c r="L10" i="11"/>
  <c r="K10" i="11"/>
  <c r="D10" i="11"/>
  <c r="L9" i="11"/>
  <c r="K9" i="11"/>
  <c r="D9" i="11"/>
  <c r="L6" i="11"/>
  <c r="K6" i="11"/>
  <c r="D6" i="11"/>
  <c r="T7" i="9"/>
  <c r="S7" i="9"/>
  <c r="D7" i="9"/>
  <c r="T6" i="9"/>
  <c r="S6" i="9"/>
  <c r="D6" i="9"/>
  <c r="T13" i="8"/>
  <c r="S13" i="8"/>
  <c r="D13" i="8"/>
  <c r="T10" i="8"/>
  <c r="S10" i="8"/>
  <c r="D10" i="8"/>
  <c r="T9" i="8"/>
  <c r="S9" i="8"/>
  <c r="D9" i="8"/>
  <c r="T6" i="8"/>
  <c r="S6" i="8"/>
  <c r="D6" i="8"/>
  <c r="T15" i="7"/>
  <c r="S15" i="7"/>
  <c r="D15" i="7"/>
  <c r="T12" i="7"/>
  <c r="S12" i="7"/>
  <c r="D12" i="7"/>
  <c r="T9" i="7"/>
  <c r="S9" i="7"/>
  <c r="D9" i="7"/>
  <c r="T6" i="7"/>
  <c r="S6" i="7"/>
  <c r="D6" i="7"/>
</calcChain>
</file>

<file path=xl/sharedStrings.xml><?xml version="1.0" encoding="utf-8"?>
<sst xmlns="http://schemas.openxmlformats.org/spreadsheetml/2006/main" count="3195" uniqueCount="904">
  <si>
    <t>Name</t>
  </si>
  <si>
    <t>Team</t>
  </si>
  <si>
    <t>Town</t>
  </si>
  <si>
    <t>Squat</t>
  </si>
  <si>
    <t>Benchpress</t>
  </si>
  <si>
    <t>Deadlift</t>
  </si>
  <si>
    <t>Coach</t>
  </si>
  <si>
    <t>Pts</t>
  </si>
  <si>
    <t>Rec</t>
  </si>
  <si>
    <t>Body
weight</t>
  </si>
  <si>
    <t>Coef</t>
  </si>
  <si>
    <t>Total</t>
  </si>
  <si>
    <t>Age Class
Bith date/Age</t>
  </si>
  <si>
    <t>Чемпионат Азии
WPC soft equipment powerlifting
Владивосток/Приморский край 26 - 27 сентября 2020 г.</t>
  </si>
  <si>
    <t>Town/Region</t>
  </si>
  <si>
    <t>Meet director:</t>
  </si>
  <si>
    <t>Head secretary:</t>
  </si>
  <si>
    <t>Head Referee:</t>
  </si>
  <si>
    <t>Side Referyy Left:</t>
  </si>
  <si>
    <t>Side Referyy Right:</t>
  </si>
  <si>
    <t>Fligth secretary:</t>
  </si>
  <si>
    <t>List absolute winners</t>
  </si>
  <si>
    <t>Чемпионат Азии
AWPC soft equipment powerlifting
Владивосток/Приморский край 26 - 27 сентября 2020 г.</t>
  </si>
  <si>
    <t>Чемпионат Азии
WPC raw powerlifting
Владивосток/Приморский край 26 - 27 сентября 2020 г.</t>
  </si>
  <si>
    <t>Gloss</t>
  </si>
  <si>
    <t>Body Weight Category  56</t>
  </si>
  <si>
    <t>Proshkina Kristina</t>
  </si>
  <si>
    <t>1. Proshkina Kristina</t>
  </si>
  <si>
    <t>Teen 16-17 (23.04.2003)/17</t>
  </si>
  <si>
    <t>52,15</t>
  </si>
  <si>
    <t>lichno</t>
  </si>
  <si>
    <t>Vladivostok/Primorskiy kray</t>
  </si>
  <si>
    <t>75,0</t>
  </si>
  <si>
    <t>80,0</t>
  </si>
  <si>
    <t>82,5</t>
  </si>
  <si>
    <t>40,0</t>
  </si>
  <si>
    <t>45,0</t>
  </si>
  <si>
    <t>47,5</t>
  </si>
  <si>
    <t>95,0</t>
  </si>
  <si>
    <t>100,0</t>
  </si>
  <si>
    <t>105,0</t>
  </si>
  <si>
    <t>Body Weight Category  75</t>
  </si>
  <si>
    <t>Rakhimov Maksim</t>
  </si>
  <si>
    <t>1. Rakhimov Maksim</t>
  </si>
  <si>
    <t>Teen 13-15 (12.06.2005)/15</t>
  </si>
  <si>
    <t>73,80</t>
  </si>
  <si>
    <t>110,0</t>
  </si>
  <si>
    <t>117,5</t>
  </si>
  <si>
    <t>125,0</t>
  </si>
  <si>
    <t>130,0</t>
  </si>
  <si>
    <t>85,0</t>
  </si>
  <si>
    <t>92,5</t>
  </si>
  <si>
    <t>145,0</t>
  </si>
  <si>
    <t>157,5</t>
  </si>
  <si>
    <t>165,0</t>
  </si>
  <si>
    <t>Body Weight Category  90</t>
  </si>
  <si>
    <t>Arbatov Grigoriy</t>
  </si>
  <si>
    <t>1. Arbatov Grigoriy</t>
  </si>
  <si>
    <t>Open (12.02.1987)/33</t>
  </si>
  <si>
    <t>88,30</t>
  </si>
  <si>
    <t>Ussuriysk/Primorskiy kray</t>
  </si>
  <si>
    <t>225,0</t>
  </si>
  <si>
    <t>240,0</t>
  </si>
  <si>
    <t>250,0</t>
  </si>
  <si>
    <t>170,0</t>
  </si>
  <si>
    <t>270,0</t>
  </si>
  <si>
    <t>280,0</t>
  </si>
  <si>
    <t>Body Weight Category  125</t>
  </si>
  <si>
    <t>Zotov Vasiliy</t>
  </si>
  <si>
    <t>1. Zotov Vasiliy</t>
  </si>
  <si>
    <t>Open (20.08.1995)/25</t>
  </si>
  <si>
    <t>121,60</t>
  </si>
  <si>
    <t>Yuzhno-Sakhalinsk/Sakhalinskaya oblast</t>
  </si>
  <si>
    <t>255,0</t>
  </si>
  <si>
    <t>175,0</t>
  </si>
  <si>
    <t>180,0</t>
  </si>
  <si>
    <t>182,5</t>
  </si>
  <si>
    <t>290,0</t>
  </si>
  <si>
    <t>305,0</t>
  </si>
  <si>
    <t>312,5</t>
  </si>
  <si>
    <t>Women</t>
  </si>
  <si>
    <t>Teen</t>
  </si>
  <si>
    <t>Age class</t>
  </si>
  <si>
    <t>WC</t>
  </si>
  <si>
    <t>Totall</t>
  </si>
  <si>
    <t>Teen 16-17</t>
  </si>
  <si>
    <t>56</t>
  </si>
  <si>
    <t>235,0</t>
  </si>
  <si>
    <t>259,6750</t>
  </si>
  <si>
    <t>Man</t>
  </si>
  <si>
    <t>Teen 13-15</t>
  </si>
  <si>
    <t>75</t>
  </si>
  <si>
    <t>375,0</t>
  </si>
  <si>
    <t>261,3188</t>
  </si>
  <si>
    <t>Open</t>
  </si>
  <si>
    <t>90</t>
  </si>
  <si>
    <t>680,0</t>
  </si>
  <si>
    <t>420,5460</t>
  </si>
  <si>
    <t>125</t>
  </si>
  <si>
    <t>742,5</t>
  </si>
  <si>
    <t>407,8553</t>
  </si>
  <si>
    <t>Чемпионат Азии
WPC Classic powerlifting RAW
Владивосток/Приморский край 26 - 27 сентября 2020 г.</t>
  </si>
  <si>
    <t>Aksenova Natalya</t>
  </si>
  <si>
    <t>1. Aksenova Natalya</t>
  </si>
  <si>
    <t>Masters 45-49 (21.08.1972)/48</t>
  </si>
  <si>
    <t>88,35</t>
  </si>
  <si>
    <t>Blagoveshchensk/Amurskaya oblast</t>
  </si>
  <si>
    <t>140,0</t>
  </si>
  <si>
    <t>150,0</t>
  </si>
  <si>
    <t>60,0</t>
  </si>
  <si>
    <t>65,0</t>
  </si>
  <si>
    <t>70,0</t>
  </si>
  <si>
    <t>115,0</t>
  </si>
  <si>
    <t>Body Weight Category  110</t>
  </si>
  <si>
    <t>Vorontsov Mikhail</t>
  </si>
  <si>
    <t>1. Vorontsov Mikhail</t>
  </si>
  <si>
    <t>Open (12.02.1964)/56</t>
  </si>
  <si>
    <t>104,20</t>
  </si>
  <si>
    <t>Khabarovsk/Khabarovskiy kray</t>
  </si>
  <si>
    <t>215,0</t>
  </si>
  <si>
    <t>220,0</t>
  </si>
  <si>
    <t>222,5</t>
  </si>
  <si>
    <t>142,5</t>
  </si>
  <si>
    <t>200,0</t>
  </si>
  <si>
    <t>210,0</t>
  </si>
  <si>
    <t>Masters 55-59 (12.02.1964)/56</t>
  </si>
  <si>
    <t>Body Weight Category  140</t>
  </si>
  <si>
    <t>Sergiyenko Sergey</t>
  </si>
  <si>
    <t>1. Sergiyenko Sergey</t>
  </si>
  <si>
    <t>Masters 60-64 (23.07.1956)/64</t>
  </si>
  <si>
    <t>128,20</t>
  </si>
  <si>
    <t>Aniva/Sakhalinskaya oblast</t>
  </si>
  <si>
    <t>185,0</t>
  </si>
  <si>
    <t>112,5</t>
  </si>
  <si>
    <t>195,0</t>
  </si>
  <si>
    <t>Masters</t>
  </si>
  <si>
    <t>Masters 45-49</t>
  </si>
  <si>
    <t>330,0</t>
  </si>
  <si>
    <t>273,3972</t>
  </si>
  <si>
    <t>110</t>
  </si>
  <si>
    <t>585,0</t>
  </si>
  <si>
    <t>334,7370</t>
  </si>
  <si>
    <t>Masters 55-59</t>
  </si>
  <si>
    <t>417,0823</t>
  </si>
  <si>
    <t>Masters 60-64</t>
  </si>
  <si>
    <t>140</t>
  </si>
  <si>
    <t>485,0</t>
  </si>
  <si>
    <t>381,2318</t>
  </si>
  <si>
    <t>Чемпионат Азии
WPC single ply powerlifting
Владивосток/Приморский край 26 - 27 сентября 2020 г.</t>
  </si>
  <si>
    <t>Shirokov Mikhail</t>
  </si>
  <si>
    <t>1. Shirokov Mikhail</t>
  </si>
  <si>
    <t>Juniors 20-23 (03.06.1999)/21</t>
  </si>
  <si>
    <t>116,35</t>
  </si>
  <si>
    <t>Chernyshevsk/Zabaykalskiy kray</t>
  </si>
  <si>
    <t>335,0</t>
  </si>
  <si>
    <t>350,0</t>
  </si>
  <si>
    <t>360,0</t>
  </si>
  <si>
    <t>245,0</t>
  </si>
  <si>
    <t>260,0</t>
  </si>
  <si>
    <t>355,0</t>
  </si>
  <si>
    <t>365,0</t>
  </si>
  <si>
    <t>Open (03.06.1999)/21</t>
  </si>
  <si>
    <t>Juniors</t>
  </si>
  <si>
    <t>Juniors 20-23</t>
  </si>
  <si>
    <t>975,0</t>
  </si>
  <si>
    <t>540,8569</t>
  </si>
  <si>
    <t>Чемпионат Азии
WPC multi ply powerlifting
Владивосток/Приморский край 26 - 27 сентября 2020 г.</t>
  </si>
  <si>
    <t>Чемпионат Азии
WPC raw benchpress
Владивосток/Приморский край 26 - 27 сентября 2020 г.</t>
  </si>
  <si>
    <t>Body Weight Category  60</t>
  </si>
  <si>
    <t>Romanovich Natalya</t>
  </si>
  <si>
    <t>1. Romanovich Natalya</t>
  </si>
  <si>
    <t>Masters 50-54 (26.06.1969)/51</t>
  </si>
  <si>
    <t>58,55</t>
  </si>
  <si>
    <t>90,0</t>
  </si>
  <si>
    <t>Baklykova Olga</t>
  </si>
  <si>
    <t>1. Baklykova Olga</t>
  </si>
  <si>
    <t>Open (07.05.1964)/56</t>
  </si>
  <si>
    <t>73,10</t>
  </si>
  <si>
    <t>Fedoseyeva Yekaterina</t>
  </si>
  <si>
    <t>1. Fedoseyeva Yekaterina</t>
  </si>
  <si>
    <t>Masters 40-44 (17.10.1977)/42</t>
  </si>
  <si>
    <t>72,60</t>
  </si>
  <si>
    <t>87,5</t>
  </si>
  <si>
    <t>Body Weight Category  67.5</t>
  </si>
  <si>
    <t>Timbal Yegor</t>
  </si>
  <si>
    <t>1. Timbal Yegor</t>
  </si>
  <si>
    <t>Open (25.06.1992)/28</t>
  </si>
  <si>
    <t>67,50</t>
  </si>
  <si>
    <t>132,5</t>
  </si>
  <si>
    <t>135,0</t>
  </si>
  <si>
    <t>Zozulya Konstantin</t>
  </si>
  <si>
    <t>1. Zozulya Konstantin</t>
  </si>
  <si>
    <t>Open (09.04.1993)/27</t>
  </si>
  <si>
    <t>74,60</t>
  </si>
  <si>
    <t>177,5</t>
  </si>
  <si>
    <t>Konyakhin Ivan</t>
  </si>
  <si>
    <t>2. Konyakhin Ivan</t>
  </si>
  <si>
    <t>Open (13.04.1974)/46</t>
  </si>
  <si>
    <t>74,40</t>
  </si>
  <si>
    <t>Nakhodka/Primorskiy kray</t>
  </si>
  <si>
    <t>1. Konyakhin Ivan</t>
  </si>
  <si>
    <t>Masters 45-49 (13.04.1974)/46</t>
  </si>
  <si>
    <t>Body Weight Category  82.5</t>
  </si>
  <si>
    <t>Kasarayev Sergey</t>
  </si>
  <si>
    <t>1. Kasarayev Sergey</t>
  </si>
  <si>
    <t>Open (18.02.1974)/46</t>
  </si>
  <si>
    <t>82,45</t>
  </si>
  <si>
    <t>Masters 45-49 (18.02.1974)/46</t>
  </si>
  <si>
    <t>Grudinin Ivan</t>
  </si>
  <si>
    <t>1. Grudinin Ivan</t>
  </si>
  <si>
    <t>Teen 18-19 (22.05.2001)/19</t>
  </si>
  <si>
    <t>86,40</t>
  </si>
  <si>
    <t>120,0</t>
  </si>
  <si>
    <t>122,5</t>
  </si>
  <si>
    <t>Zuyev Zakhar</t>
  </si>
  <si>
    <t>1. Zuyev Zakhar</t>
  </si>
  <si>
    <t>Open (15.09.1996)/24</t>
  </si>
  <si>
    <t>89,75</t>
  </si>
  <si>
    <t>190,0</t>
  </si>
  <si>
    <t>Body Weight Category  100</t>
  </si>
  <si>
    <t>Pyshnenko Yevgeniy</t>
  </si>
  <si>
    <t>1. Pyshnenko Yevgeniy</t>
  </si>
  <si>
    <t>Teen 18-19 (04.10.2000)/19</t>
  </si>
  <si>
    <t>91,70</t>
  </si>
  <si>
    <t>Tynda/Amurskaya oblast</t>
  </si>
  <si>
    <t>160,0</t>
  </si>
  <si>
    <t>Shvets Maksim</t>
  </si>
  <si>
    <t>1. Shvets Maksim</t>
  </si>
  <si>
    <t>Juniors 20-23 (28.10.1998)/21</t>
  </si>
  <si>
    <t>97,85</t>
  </si>
  <si>
    <t>192,5</t>
  </si>
  <si>
    <t>Laletin Artem</t>
  </si>
  <si>
    <t>1. Laletin Artem</t>
  </si>
  <si>
    <t>Open (20.05.1989)/31</t>
  </si>
  <si>
    <t>99,30</t>
  </si>
  <si>
    <t>2. Pyshnenko Yevgeniy</t>
  </si>
  <si>
    <t>Open (04.10.2000)/19</t>
  </si>
  <si>
    <t>-. Strachkov Yevgeniy</t>
  </si>
  <si>
    <t>Open (22.12.1985)/34</t>
  </si>
  <si>
    <t>95,25</t>
  </si>
  <si>
    <t>Loyko Denis</t>
  </si>
  <si>
    <t>1. Loyko Denis</t>
  </si>
  <si>
    <t>Masters 40-44 (18.08.1979)/41</t>
  </si>
  <si>
    <t>99,00</t>
  </si>
  <si>
    <t>Arsenyev/Primorskiy kray</t>
  </si>
  <si>
    <t>Buslenko Eduard</t>
  </si>
  <si>
    <t>1. Buslenko Eduard</t>
  </si>
  <si>
    <t>Masters 45-49 (26.06.1971)/49</t>
  </si>
  <si>
    <t>94,55</t>
  </si>
  <si>
    <t>155,0</t>
  </si>
  <si>
    <t>Matsegora Gennadiy</t>
  </si>
  <si>
    <t>1. Matsegora Gennadiy</t>
  </si>
  <si>
    <t>Masters 55-59 (16.07.1963)/57</t>
  </si>
  <si>
    <t>96,50</t>
  </si>
  <si>
    <t>Chernikov Aleksey</t>
  </si>
  <si>
    <t>1. Chernikov Aleksey</t>
  </si>
  <si>
    <t>Masters 60-64 (24.11.1958)/61</t>
  </si>
  <si>
    <t>92,00</t>
  </si>
  <si>
    <t>Battakhov Petr</t>
  </si>
  <si>
    <t>1. Battakhov Petr</t>
  </si>
  <si>
    <t>Masters 65-69 (21.04.1952)/68</t>
  </si>
  <si>
    <t>100,00</t>
  </si>
  <si>
    <t>Yakutsk/Yakutiya respublika</t>
  </si>
  <si>
    <t>Orlov Nikolay</t>
  </si>
  <si>
    <t>1. Orlov Nikolay</t>
  </si>
  <si>
    <t>Masters 45-49 (05.01.1971)/49</t>
  </si>
  <si>
    <t>122,80</t>
  </si>
  <si>
    <t>Kayekhtin Andrey</t>
  </si>
  <si>
    <t>1. Kayekhtin Andrey</t>
  </si>
  <si>
    <t>Masters 50-54 (04.12.1968)/51</t>
  </si>
  <si>
    <t>119,40</t>
  </si>
  <si>
    <t>Bareyev Konstantin</t>
  </si>
  <si>
    <t>2. Bareyev Konstantin</t>
  </si>
  <si>
    <t>Masters 50-54 (21.06.1969)/51</t>
  </si>
  <si>
    <t>123,90</t>
  </si>
  <si>
    <t>202,5</t>
  </si>
  <si>
    <t>Body Weight Category  140+</t>
  </si>
  <si>
    <t>Shevchenko Vladimir</t>
  </si>
  <si>
    <t>1. Shevchenko Vladimir</t>
  </si>
  <si>
    <t>Open (21.07.1991)/29</t>
  </si>
  <si>
    <t>155,15</t>
  </si>
  <si>
    <t>237,5</t>
  </si>
  <si>
    <t>93,5770</t>
  </si>
  <si>
    <t>Masters 50-54</t>
  </si>
  <si>
    <t>60</t>
  </si>
  <si>
    <t>109,7495</t>
  </si>
  <si>
    <t>Masters 40-44</t>
  </si>
  <si>
    <t>69,7435</t>
  </si>
  <si>
    <t>Teen 18-19</t>
  </si>
  <si>
    <t>100</t>
  </si>
  <si>
    <t>96,9200</t>
  </si>
  <si>
    <t>76,7279</t>
  </si>
  <si>
    <t>112,9590</t>
  </si>
  <si>
    <t>82.5</t>
  </si>
  <si>
    <t>125,7458</t>
  </si>
  <si>
    <t>122,6969</t>
  </si>
  <si>
    <t>122,5600</t>
  </si>
  <si>
    <t>140+</t>
  </si>
  <si>
    <t>116,8384</t>
  </si>
  <si>
    <t>107,8643</t>
  </si>
  <si>
    <t>67.5</t>
  </si>
  <si>
    <t>101,0340</t>
  </si>
  <si>
    <t>96,9710</t>
  </si>
  <si>
    <t>134,2965</t>
  </si>
  <si>
    <t>126,5256</t>
  </si>
  <si>
    <t>125,4245</t>
  </si>
  <si>
    <t>119,8006</t>
  </si>
  <si>
    <t>103,5650</t>
  </si>
  <si>
    <t>102,8707</t>
  </si>
  <si>
    <t>100,2385</t>
  </si>
  <si>
    <t>97,5878</t>
  </si>
  <si>
    <t>97,0574</t>
  </si>
  <si>
    <t>Masters 65-69</t>
  </si>
  <si>
    <t>82,4516</t>
  </si>
  <si>
    <t>Result</t>
  </si>
  <si>
    <t>Чемпионат Азии
WPC single ply benchpress
Владивосток/Приморский край 26 - 27 сентября 2020 г.</t>
  </si>
  <si>
    <t>Чемпионат Азии
WPC multi ply benchpress
Владивосток/Приморский край 26 - 27 сентября 2020 г.</t>
  </si>
  <si>
    <t>Чемпионат Азии
WPC standart soft eq. benchpress
Владивосток/Приморский край 26 - 27 сентября 2020 г.</t>
  </si>
  <si>
    <t>Blotskaya Viktoriya</t>
  </si>
  <si>
    <t>1. Blotskaya Viktoriya</t>
  </si>
  <si>
    <t>Open (14.10.1985)/34</t>
  </si>
  <si>
    <t>Semenov Konstantin</t>
  </si>
  <si>
    <t>1. Semenov Konstantin</t>
  </si>
  <si>
    <t>Open (19.08.1964)/56</t>
  </si>
  <si>
    <t>74,70</t>
  </si>
  <si>
    <t>172,5</t>
  </si>
  <si>
    <t>Masters 55-59 (19.08.1964)/56</t>
  </si>
  <si>
    <t>Kolmayer Denis</t>
  </si>
  <si>
    <t>1. Kolmayer Denis</t>
  </si>
  <si>
    <t>Open (17.10.1989)/30</t>
  </si>
  <si>
    <t>80,20</t>
  </si>
  <si>
    <t>Tolstykh Aleksey</t>
  </si>
  <si>
    <t>1. Tolstykh Aleksey</t>
  </si>
  <si>
    <t>Open (11.03.1988)/32</t>
  </si>
  <si>
    <t>88,60</t>
  </si>
  <si>
    <t>292,5</t>
  </si>
  <si>
    <t>300,0</t>
  </si>
  <si>
    <t>302,5</t>
  </si>
  <si>
    <t>Ratushnyy Denis</t>
  </si>
  <si>
    <t>2. Ratushnyy Denis</t>
  </si>
  <si>
    <t>Open (31.12.1990)/29</t>
  </si>
  <si>
    <t>87,40</t>
  </si>
  <si>
    <t>297,5</t>
  </si>
  <si>
    <t>Petrakov Andrey</t>
  </si>
  <si>
    <t>3. Petrakov Andrey</t>
  </si>
  <si>
    <t>Open (14.10.1994)/25</t>
  </si>
  <si>
    <t>90,00</t>
  </si>
  <si>
    <t>230,0</t>
  </si>
  <si>
    <t>252,5</t>
  </si>
  <si>
    <t>Yakush Sergey</t>
  </si>
  <si>
    <t>1. Yakush Sergey</t>
  </si>
  <si>
    <t>Open (10.03.1995)/25</t>
  </si>
  <si>
    <t>96,70</t>
  </si>
  <si>
    <t>320,0</t>
  </si>
  <si>
    <t>Kropotkin Aleksandr</t>
  </si>
  <si>
    <t>2. Kropotkin Aleksandr</t>
  </si>
  <si>
    <t>Open (30.04.1982)/38</t>
  </si>
  <si>
    <t>97,65</t>
  </si>
  <si>
    <t>-. Kilko Aleksandr</t>
  </si>
  <si>
    <t>Open (06.06.1987)/33</t>
  </si>
  <si>
    <t>98,85</t>
  </si>
  <si>
    <t>152,5</t>
  </si>
  <si>
    <t>135,2400</t>
  </si>
  <si>
    <t>206,4825</t>
  </si>
  <si>
    <t>186,7332</t>
  </si>
  <si>
    <t>185,0896</t>
  </si>
  <si>
    <t>155,7846</t>
  </si>
  <si>
    <t>154,4921</t>
  </si>
  <si>
    <t>146,8250</t>
  </si>
  <si>
    <t>122,5815</t>
  </si>
  <si>
    <t>95,2215</t>
  </si>
  <si>
    <t>152,7365</t>
  </si>
  <si>
    <t>147,4095</t>
  </si>
  <si>
    <t>125,9681</t>
  </si>
  <si>
    <t>Чемпионат Азии
WPC multiply soft eq. benchpress
Владивосток/Приморский край 26 - 27 сентября 2020 г.</t>
  </si>
  <si>
    <t>Чемпионат Азии
AWPC raw powerlifting
Владивосток/Приморский край 26 - 27 сентября 2020 г.</t>
  </si>
  <si>
    <t>Body Weight Category  48</t>
  </si>
  <si>
    <t>Kondratyuk Kristina</t>
  </si>
  <si>
    <t>1. Kondratyuk Kristina</t>
  </si>
  <si>
    <t>Open (08.06.1996)/24</t>
  </si>
  <si>
    <t>46,60</t>
  </si>
  <si>
    <t>72,5</t>
  </si>
  <si>
    <t>77,5</t>
  </si>
  <si>
    <t>Body Weight Category  52</t>
  </si>
  <si>
    <t>Kostyukova Karina</t>
  </si>
  <si>
    <t>1. Kostyukova Karina</t>
  </si>
  <si>
    <t>Juniors 20-23 (05.06.2000)/20</t>
  </si>
  <si>
    <t>49,50</t>
  </si>
  <si>
    <t>30,0</t>
  </si>
  <si>
    <t>37,5</t>
  </si>
  <si>
    <t>Titarenko Yuliya</t>
  </si>
  <si>
    <t>1. Titarenko Yuliya</t>
  </si>
  <si>
    <t>Open (15.09.1990)/30</t>
  </si>
  <si>
    <t>50,40</t>
  </si>
  <si>
    <t>67,5</t>
  </si>
  <si>
    <t>42,5</t>
  </si>
  <si>
    <t>97,5</t>
  </si>
  <si>
    <t>Manina Natalya</t>
  </si>
  <si>
    <t>1. Manina Natalya</t>
  </si>
  <si>
    <t>Masters 40-44 (08.01.1980)/40</t>
  </si>
  <si>
    <t>54,30</t>
  </si>
  <si>
    <t>55,0</t>
  </si>
  <si>
    <t>Ignatenko Lyudmila</t>
  </si>
  <si>
    <t>1. Ignatenko Lyudmila</t>
  </si>
  <si>
    <t>Open (02.07.1987)/33</t>
  </si>
  <si>
    <t>57,50</t>
  </si>
  <si>
    <t>35,0</t>
  </si>
  <si>
    <t>102,5</t>
  </si>
  <si>
    <t>Belikova Anastasiya</t>
  </si>
  <si>
    <t>1. Belikova Anastasiya</t>
  </si>
  <si>
    <t>Open (28.03.1988)/32</t>
  </si>
  <si>
    <t>62,90</t>
  </si>
  <si>
    <t>50,0</t>
  </si>
  <si>
    <t>Imago Aida</t>
  </si>
  <si>
    <t>1. Imago Aida</t>
  </si>
  <si>
    <t>Masters 40-44 (23.12.1978)/41</t>
  </si>
  <si>
    <t>62,25</t>
  </si>
  <si>
    <t>25,0</t>
  </si>
  <si>
    <t>27,5</t>
  </si>
  <si>
    <t>Shmyglev Vyacheslav</t>
  </si>
  <si>
    <t>1. Shmyglev Vyacheslav</t>
  </si>
  <si>
    <t>Teen 16-17 (28.09.2002)/17</t>
  </si>
  <si>
    <t>60,30</t>
  </si>
  <si>
    <t>Chuguyevka/Primorskiy kray</t>
  </si>
  <si>
    <t>Kuligin Vladimir</t>
  </si>
  <si>
    <t>1. Kuligin Vladimir</t>
  </si>
  <si>
    <t>Teen 18-19 (12.04.2002)/18</t>
  </si>
  <si>
    <t>67,90</t>
  </si>
  <si>
    <t>Valov Ivan</t>
  </si>
  <si>
    <t>1. Valov Ivan</t>
  </si>
  <si>
    <t>Open (14.03.1994)/26</t>
  </si>
  <si>
    <t>71,60</t>
  </si>
  <si>
    <t>Nikolayenko Yuriy</t>
  </si>
  <si>
    <t>2. Nikolayenko Yuriy</t>
  </si>
  <si>
    <t>Open (26.11.1991)/28</t>
  </si>
  <si>
    <t>68,10</t>
  </si>
  <si>
    <t>Izgagin Aleksandr</t>
  </si>
  <si>
    <t>1. Izgagin Aleksandr</t>
  </si>
  <si>
    <t>Masters 65-69 (21.06.1953)/67</t>
  </si>
  <si>
    <t>Zinovyev Sergey</t>
  </si>
  <si>
    <t>1. Zinovyev Sergey</t>
  </si>
  <si>
    <t>Open (25.07.1992)/28</t>
  </si>
  <si>
    <t>80,30</t>
  </si>
  <si>
    <t>Ignatenko Radion</t>
  </si>
  <si>
    <t>1. Ignatenko Radion</t>
  </si>
  <si>
    <t>Open (22.11.1983)/36</t>
  </si>
  <si>
    <t>92,20</t>
  </si>
  <si>
    <t>Zavyalov Aleksandr</t>
  </si>
  <si>
    <t>1. Zavyalov Aleksandr</t>
  </si>
  <si>
    <t>Masters 40-44 (13.05.1980)/40</t>
  </si>
  <si>
    <t>96,75</t>
  </si>
  <si>
    <t>Dalnerechensk/Primorskiy kray</t>
  </si>
  <si>
    <t>Doroshev Anton</t>
  </si>
  <si>
    <t>1. Doroshev Anton</t>
  </si>
  <si>
    <t>Teen 16-17 (17.05.2002)/18</t>
  </si>
  <si>
    <t>109,00</t>
  </si>
  <si>
    <t>52</t>
  </si>
  <si>
    <t>187,5</t>
  </si>
  <si>
    <t>215,8687</t>
  </si>
  <si>
    <t>48</t>
  </si>
  <si>
    <t>205,0</t>
  </si>
  <si>
    <t>247,1890</t>
  </si>
  <si>
    <t>232,7160</t>
  </si>
  <si>
    <t>227,5</t>
  </si>
  <si>
    <t>232,5050</t>
  </si>
  <si>
    <t>194,9755</t>
  </si>
  <si>
    <t>262,1745</t>
  </si>
  <si>
    <t>113,8034</t>
  </si>
  <si>
    <t>385,0</t>
  </si>
  <si>
    <t>286,7095</t>
  </si>
  <si>
    <t>325,0</t>
  </si>
  <si>
    <t>269,3762</t>
  </si>
  <si>
    <t>425,0</t>
  </si>
  <si>
    <t>239,6788</t>
  </si>
  <si>
    <t>565,0</t>
  </si>
  <si>
    <t>370,7247</t>
  </si>
  <si>
    <t>447,5</t>
  </si>
  <si>
    <t>319,1794</t>
  </si>
  <si>
    <t>490,0</t>
  </si>
  <si>
    <t>295,9600</t>
  </si>
  <si>
    <t>340,0</t>
  </si>
  <si>
    <t>252,5690</t>
  </si>
  <si>
    <t>391,9744</t>
  </si>
  <si>
    <t>580,0</t>
  </si>
  <si>
    <t>342,0840</t>
  </si>
  <si>
    <t>Чемпионат Азии
AWPC Classic powerlifting RAW
Владивосток/Приморский край 26 - 27 сентября 2020 г.</t>
  </si>
  <si>
    <t>Pavlova Lyudmila</t>
  </si>
  <si>
    <t>1. Pavlova Lyudmila</t>
  </si>
  <si>
    <t>Masters 40-44 (04.06.1976)/44</t>
  </si>
  <si>
    <t>56,90</t>
  </si>
  <si>
    <t>Nikeshin Vladimir</t>
  </si>
  <si>
    <t>1. Nikeshin Vladimir</t>
  </si>
  <si>
    <t>Masters 60-64 (22.05.1956)/64</t>
  </si>
  <si>
    <t>83,70</t>
  </si>
  <si>
    <t>Artem/Primorskiy kray</t>
  </si>
  <si>
    <t>Kroshka Nikita</t>
  </si>
  <si>
    <t>1. Kroshka Nikita</t>
  </si>
  <si>
    <t>Juniors 20-23 (27.04.2000)/20</t>
  </si>
  <si>
    <t>95,20</t>
  </si>
  <si>
    <t>365,4714</t>
  </si>
  <si>
    <t>291,2070</t>
  </si>
  <si>
    <t>430,0</t>
  </si>
  <si>
    <t>398,2295</t>
  </si>
  <si>
    <t>Чемпионат Азии
AWPC single ply powerlifting
Владивосток/Приморский край 26 - 27 сентября 2020 г.</t>
  </si>
  <si>
    <t>Чемпионат Азии
AWPC multi ply powerlifting
Владивосток/Приморский край 26 - 27 сентября 2020 г.</t>
  </si>
  <si>
    <t>Чемпионат Азии
AWPC raw benchpress
Владивосток/Приморский край 26 - 27 сентября 2020 г.</t>
  </si>
  <si>
    <t>Dogadko Yelizaveta</t>
  </si>
  <si>
    <t>1. Dogadko Yelizaveta</t>
  </si>
  <si>
    <t>Juniors 20-23 (21.12.1998)/21</t>
  </si>
  <si>
    <t>52,70</t>
  </si>
  <si>
    <t>52,5</t>
  </si>
  <si>
    <t>Rezayeva Svetlana</t>
  </si>
  <si>
    <t>1. Rezayeva Svetlana</t>
  </si>
  <si>
    <t>Open (02.12.1976)/43</t>
  </si>
  <si>
    <t>55,50</t>
  </si>
  <si>
    <t>Masters 40-44 (02.12.1976)/43</t>
  </si>
  <si>
    <t>Firsova Yekaterina</t>
  </si>
  <si>
    <t>1. Firsova Yekaterina</t>
  </si>
  <si>
    <t>Teen 16-17 (04.03.2003)/17</t>
  </si>
  <si>
    <t>56,70</t>
  </si>
  <si>
    <t>Krymskaya Olesya</t>
  </si>
  <si>
    <t>1. Krymskaya Olesya</t>
  </si>
  <si>
    <t>Open (06.04.1989)/31</t>
  </si>
  <si>
    <t>73,60</t>
  </si>
  <si>
    <t>Kalashnikov Leonid</t>
  </si>
  <si>
    <t>1. Kalashnikov Leonid</t>
  </si>
  <si>
    <t>Teen 13-15 (15.09.2009)/11</t>
  </si>
  <si>
    <t>30,00</t>
  </si>
  <si>
    <t>Abubakirov Isa</t>
  </si>
  <si>
    <t>1. Abubakirov Isa</t>
  </si>
  <si>
    <t>Open (22.11.1992)/27</t>
  </si>
  <si>
    <t>58,20</t>
  </si>
  <si>
    <t>Minayev Aleksandr</t>
  </si>
  <si>
    <t>1. Minayev Aleksandr</t>
  </si>
  <si>
    <t>Teen 16-17 (18.11.2003)/16</t>
  </si>
  <si>
    <t>65,10</t>
  </si>
  <si>
    <t>Kavalerovo/Primorskiy kray</t>
  </si>
  <si>
    <t>Murzin Yuriy</t>
  </si>
  <si>
    <t>1. Murzin Yuriy</t>
  </si>
  <si>
    <t>Juniors 20-23 (15.06.2000)/20</t>
  </si>
  <si>
    <t>63,10</t>
  </si>
  <si>
    <t>Andriyenko Aleksey</t>
  </si>
  <si>
    <t>1. Andriyenko Aleksey</t>
  </si>
  <si>
    <t>Open (13.08.1987)/33</t>
  </si>
  <si>
    <t>66,60</t>
  </si>
  <si>
    <t>Sukharev Aleksandr</t>
  </si>
  <si>
    <t>1. Sukharev Aleksandr</t>
  </si>
  <si>
    <t>Masters 40-44 (23.03.1978)/42</t>
  </si>
  <si>
    <t>61,10</t>
  </si>
  <si>
    <t>62,5</t>
  </si>
  <si>
    <t>Katkov Aleksandr</t>
  </si>
  <si>
    <t>1. Katkov Aleksandr</t>
  </si>
  <si>
    <t>Juniors 20-23 (24.08.1999)/21</t>
  </si>
  <si>
    <t>73,40</t>
  </si>
  <si>
    <t>Mironov Vyacheslav</t>
  </si>
  <si>
    <t>1. Mironov Vyacheslav</t>
  </si>
  <si>
    <t>Open (18.01.1993)/27</t>
  </si>
  <si>
    <t>68,50</t>
  </si>
  <si>
    <t>2. Katkov Aleksandr</t>
  </si>
  <si>
    <t>Open (24.08.1999)/21</t>
  </si>
  <si>
    <t>Tyazhlov Vladislav</t>
  </si>
  <si>
    <t>3. Tyazhlov Vladislav</t>
  </si>
  <si>
    <t>Open (10.09.1989)/31</t>
  </si>
  <si>
    <t>73,90</t>
  </si>
  <si>
    <t>4. Yunusov Nodirbek</t>
  </si>
  <si>
    <t>Open (27.02.1992)/28</t>
  </si>
  <si>
    <t>69,00</t>
  </si>
  <si>
    <t>Bolshoy Kamen/Primorskiy kray</t>
  </si>
  <si>
    <t>Tolstoy Dmitriy</t>
  </si>
  <si>
    <t>1. Tolstoy Dmitriy</t>
  </si>
  <si>
    <t>Open (12.09.1987)/33</t>
  </si>
  <si>
    <t>79,70</t>
  </si>
  <si>
    <t>Borok Anton</t>
  </si>
  <si>
    <t>2. Borok Anton</t>
  </si>
  <si>
    <t>Open (16.12.1985)/34</t>
  </si>
  <si>
    <t>78,80</t>
  </si>
  <si>
    <t>-. Krikunov Yuriy</t>
  </si>
  <si>
    <t>Masters 60-64 (25.05.1957)/63</t>
  </si>
  <si>
    <t>77,40</t>
  </si>
  <si>
    <t>Telepnev Vladislav</t>
  </si>
  <si>
    <t>1. Telepnev Vladislav</t>
  </si>
  <si>
    <t>Juniors 20-23 (29.03.1999)/21</t>
  </si>
  <si>
    <t>85,30</t>
  </si>
  <si>
    <t>147,5</t>
  </si>
  <si>
    <t>Skvortsov Vitaliy</t>
  </si>
  <si>
    <t>1. Skvortsov Vitaliy</t>
  </si>
  <si>
    <t>Open (07.03.1967)/53</t>
  </si>
  <si>
    <t>84,60</t>
  </si>
  <si>
    <t>Slobodenyuk Mikhail</t>
  </si>
  <si>
    <t>2. Slobodenyuk Mikhail</t>
  </si>
  <si>
    <t>Open (01.03.1991)/29</t>
  </si>
  <si>
    <t>89,20</t>
  </si>
  <si>
    <t>Malikov Sergey</t>
  </si>
  <si>
    <t>3. Malikov Sergey</t>
  </si>
  <si>
    <t>Open (05.11.1982)/37</t>
  </si>
  <si>
    <t>Ozornin Sergey</t>
  </si>
  <si>
    <t>4. Ozornin Sergey</t>
  </si>
  <si>
    <t>Open (04.08.1984)/36</t>
  </si>
  <si>
    <t>87,10</t>
  </si>
  <si>
    <t>137,5</t>
  </si>
  <si>
    <t>Zamaray Vladimir</t>
  </si>
  <si>
    <t>5. Zamaray Vladimir</t>
  </si>
  <si>
    <t>Open (29.04.1996)/24</t>
  </si>
  <si>
    <t>86,50</t>
  </si>
  <si>
    <t>6. Asadov Aleksandr</t>
  </si>
  <si>
    <t>Open (15.07.1981)/39</t>
  </si>
  <si>
    <t>87,70</t>
  </si>
  <si>
    <t>Borovoy Ruslan</t>
  </si>
  <si>
    <t>1. Borovoy Ruslan</t>
  </si>
  <si>
    <t>Masters 45-49 (30.05.1973)/47</t>
  </si>
  <si>
    <t>85,60</t>
  </si>
  <si>
    <t>Masters 50-54 (07.03.1967)/53</t>
  </si>
  <si>
    <t>Zhabin Daniil</t>
  </si>
  <si>
    <t>1. Zhabin Daniil</t>
  </si>
  <si>
    <t>Teen 18-19 (02.08.2001)/19</t>
  </si>
  <si>
    <t>Kravchenko Vitaliy</t>
  </si>
  <si>
    <t>1. Kravchenko Vitaliy</t>
  </si>
  <si>
    <t>Open (16.05.1982)/38</t>
  </si>
  <si>
    <t>95,50</t>
  </si>
  <si>
    <t>Tokarev Andrey</t>
  </si>
  <si>
    <t>2. Tokarev Andrey</t>
  </si>
  <si>
    <t>Open (14.08.1988)/32</t>
  </si>
  <si>
    <t>95,60</t>
  </si>
  <si>
    <t>Yugay Anton</t>
  </si>
  <si>
    <t>3. Yugay Anton</t>
  </si>
  <si>
    <t>Open (28.09.1989)/30</t>
  </si>
  <si>
    <t>98,90</t>
  </si>
  <si>
    <t>162,5</t>
  </si>
  <si>
    <t>Kamysheyev Ruslan</t>
  </si>
  <si>
    <t>4. Kamysheyev Ruslan</t>
  </si>
  <si>
    <t>Open (11.11.1982)/37</t>
  </si>
  <si>
    <t>92,80</t>
  </si>
  <si>
    <t>Lesozavodsk/Primorskiy kray</t>
  </si>
  <si>
    <t>Zaytsev Aleksandr</t>
  </si>
  <si>
    <t>5. Zaytsev Aleksandr</t>
  </si>
  <si>
    <t>Open (03.02.1984)/36</t>
  </si>
  <si>
    <t>90,60</t>
  </si>
  <si>
    <t>6. Zamoyev Boris</t>
  </si>
  <si>
    <t>Open (16.07.1989)/31</t>
  </si>
  <si>
    <t>97,15</t>
  </si>
  <si>
    <t>Knyazev Vladimir</t>
  </si>
  <si>
    <t>1. Knyazev Vladimir</t>
  </si>
  <si>
    <t>Masters 40-44 (02.09.1980)/40</t>
  </si>
  <si>
    <t>93,70</t>
  </si>
  <si>
    <t>167,5</t>
  </si>
  <si>
    <t>Glok Sergey</t>
  </si>
  <si>
    <t>2. Glok Sergey</t>
  </si>
  <si>
    <t>Masters 40-44 (04.02.1978)/42</t>
  </si>
  <si>
    <t>95,30</t>
  </si>
  <si>
    <t>Voyevodin Vyacheslav</t>
  </si>
  <si>
    <t>3. Voyevodin Vyacheslav</t>
  </si>
  <si>
    <t>Masters 40-44 (23.07.1977)/43</t>
  </si>
  <si>
    <t>94,30</t>
  </si>
  <si>
    <t>Samodelkin Andrey</t>
  </si>
  <si>
    <t>1. Samodelkin Andrey</t>
  </si>
  <si>
    <t>Open (26.01.1974)/46</t>
  </si>
  <si>
    <t>103,40</t>
  </si>
  <si>
    <t>Misyachenko Sergey</t>
  </si>
  <si>
    <t>2. Misyachenko Sergey</t>
  </si>
  <si>
    <t>Open (03.09.1974)/46</t>
  </si>
  <si>
    <t>105,60</t>
  </si>
  <si>
    <t>Vovchinskiy Sergey</t>
  </si>
  <si>
    <t>3. Vovchinskiy Sergey</t>
  </si>
  <si>
    <t>Open (09.05.1992)/28</t>
  </si>
  <si>
    <t>102,90</t>
  </si>
  <si>
    <t>Mokiy Yevgeniy</t>
  </si>
  <si>
    <t>4. Mokiy Yevgeniy</t>
  </si>
  <si>
    <t>Open (12.07.1986)/34</t>
  </si>
  <si>
    <t>108,10</t>
  </si>
  <si>
    <t>5. Kustov Aleksandr</t>
  </si>
  <si>
    <t>Open (09.01.1985)/35</t>
  </si>
  <si>
    <t>104,80</t>
  </si>
  <si>
    <t>Masters 45-49 (26.01.1974)/46</t>
  </si>
  <si>
    <t>Masters 45-49 (03.09.1974)/46</t>
  </si>
  <si>
    <t>Zinovagin Dmitriy</t>
  </si>
  <si>
    <t>1. Zinovagin Dmitriy</t>
  </si>
  <si>
    <t>Open (10.08.1986)/34</t>
  </si>
  <si>
    <t>122,95</t>
  </si>
  <si>
    <t>Gorshenin Oleg</t>
  </si>
  <si>
    <t>2. Gorshenin Oleg</t>
  </si>
  <si>
    <t>Open (30.11.1993)/26</t>
  </si>
  <si>
    <t>115,40</t>
  </si>
  <si>
    <t>Kondratenko Vladimir</t>
  </si>
  <si>
    <t>3. Kondratenko Vladimir</t>
  </si>
  <si>
    <t>Open (13.03.1988)/32</t>
  </si>
  <si>
    <t>110,40</t>
  </si>
  <si>
    <t>Shishkov Sergey</t>
  </si>
  <si>
    <t>1. Shishkov Sergey</t>
  </si>
  <si>
    <t>Masters 60-64 (30.04.1956)/64</t>
  </si>
  <si>
    <t>120,00</t>
  </si>
  <si>
    <t>51,6750</t>
  </si>
  <si>
    <t>60,2745</t>
  </si>
  <si>
    <t>81,4835</t>
  </si>
  <si>
    <t>71,9780</t>
  </si>
  <si>
    <t>84,0095</t>
  </si>
  <si>
    <t>77,9314</t>
  </si>
  <si>
    <t>26,6348</t>
  </si>
  <si>
    <t>100,3925</t>
  </si>
  <si>
    <t>89,1450</t>
  </si>
  <si>
    <t>52,9740</t>
  </si>
  <si>
    <t>103,2460</t>
  </si>
  <si>
    <t>94,4663</t>
  </si>
  <si>
    <t>91,5313</t>
  </si>
  <si>
    <t>74,2875</t>
  </si>
  <si>
    <t>115,0432</t>
  </si>
  <si>
    <t>111,0288</t>
  </si>
  <si>
    <t>103,4950</t>
  </si>
  <si>
    <t>102,8138</t>
  </si>
  <si>
    <t>102,3701</t>
  </si>
  <si>
    <t>100,5738</t>
  </si>
  <si>
    <t>100,4150</t>
  </si>
  <si>
    <t>100,3091</t>
  </si>
  <si>
    <t>98,3840</t>
  </si>
  <si>
    <t>98,2474</t>
  </si>
  <si>
    <t>97,8698</t>
  </si>
  <si>
    <t>96,3670</t>
  </si>
  <si>
    <t>96,2790</t>
  </si>
  <si>
    <t>93,9803</t>
  </si>
  <si>
    <t>92,7675</t>
  </si>
  <si>
    <t>90,5277</t>
  </si>
  <si>
    <t>90,2925</t>
  </si>
  <si>
    <t>89,9040</t>
  </si>
  <si>
    <t>88,8345</t>
  </si>
  <si>
    <t>88,3993</t>
  </si>
  <si>
    <t>87,6330</t>
  </si>
  <si>
    <t>85,8200</t>
  </si>
  <si>
    <t>84,7950</t>
  </si>
  <si>
    <t>131,4580</t>
  </si>
  <si>
    <t>107,2432</t>
  </si>
  <si>
    <t>104,9282</t>
  </si>
  <si>
    <t>100,3325</t>
  </si>
  <si>
    <t>98,4555</t>
  </si>
  <si>
    <t>89,2635</t>
  </si>
  <si>
    <t>79,8877</t>
  </si>
  <si>
    <t>64,7474</t>
  </si>
  <si>
    <t>54,2632</t>
  </si>
  <si>
    <t>Чемпионат Азии
AWPC single ply benchpress
Владивосток/Приморский край 26 - 27 сентября 2020 г.</t>
  </si>
  <si>
    <t>Zotova Milena</t>
  </si>
  <si>
    <t>1. Zotova Milena</t>
  </si>
  <si>
    <t>Teen 13-15 (04.12.2006)/13</t>
  </si>
  <si>
    <t>53,90</t>
  </si>
  <si>
    <t>Kholmsk/Sakhalinskaya oblast</t>
  </si>
  <si>
    <t>Bondareva Yekaterina</t>
  </si>
  <si>
    <t>1. Bondareva Yekaterina</t>
  </si>
  <si>
    <t>Open (10.04.1983)/37</t>
  </si>
  <si>
    <t>54,20</t>
  </si>
  <si>
    <t>75,3480</t>
  </si>
  <si>
    <t>99,1230</t>
  </si>
  <si>
    <t>Чемпионат Азии
AWPC multi ply benchpress
Владивосток/Приморский край 26 - 27 сентября 2020 г.</t>
  </si>
  <si>
    <t>Чемпионат Азии
AWPC standart soft eq. benchpress
Владивосток/Приморский край 26 - 27 сентября 2020 г.</t>
  </si>
  <si>
    <t>Khan Vladimir</t>
  </si>
  <si>
    <t>1. Khan Vladimir</t>
  </si>
  <si>
    <t>Open (18.04.1962)/58</t>
  </si>
  <si>
    <t>71,00</t>
  </si>
  <si>
    <t>Partizansk/Primorskiy kray</t>
  </si>
  <si>
    <t>212,5</t>
  </si>
  <si>
    <t>Masters 55-59 (18.04.1962)/58</t>
  </si>
  <si>
    <t>1. Ozornin Sergey</t>
  </si>
  <si>
    <t>Skripka Anton</t>
  </si>
  <si>
    <t>2. Skripka Anton</t>
  </si>
  <si>
    <t>Open (20.06.1994)/26</t>
  </si>
  <si>
    <t>89,80</t>
  </si>
  <si>
    <t>-. Tereshchenko Vladimir</t>
  </si>
  <si>
    <t>Open (20.11.1970)/49</t>
  </si>
  <si>
    <t>310,0</t>
  </si>
  <si>
    <t>158,8692</t>
  </si>
  <si>
    <t>152,5856</t>
  </si>
  <si>
    <t>148,0575</t>
  </si>
  <si>
    <t>145,4925</t>
  </si>
  <si>
    <t>196,9880</t>
  </si>
  <si>
    <t>Чемпионат Азии
AWPC multiply soft eq. benchpress
Владивосток/Приморский край 26 - 27 сентября 2020 г.</t>
  </si>
  <si>
    <t>Чемпионат Азии
WPC raw deadlift
Владивосток/Приморский край 26 - 27 сентября 2020 г.</t>
  </si>
  <si>
    <t>Orlov Andrey</t>
  </si>
  <si>
    <t>1. Orlov Andrey</t>
  </si>
  <si>
    <t>Open (06.02.1984)/36</t>
  </si>
  <si>
    <t>69,30</t>
  </si>
  <si>
    <t>Taskayev Aleksandr</t>
  </si>
  <si>
    <t>1. Taskayev Aleksandr</t>
  </si>
  <si>
    <t>Masters 45-49 (22.03.1974)/46</t>
  </si>
  <si>
    <t>Labuz Maksim</t>
  </si>
  <si>
    <t>1. Labuz Maksim</t>
  </si>
  <si>
    <t>Open (06.12.1982)/37</t>
  </si>
  <si>
    <t>91,30</t>
  </si>
  <si>
    <t>Orlov Sergey</t>
  </si>
  <si>
    <t>1. Orlov Sergey</t>
  </si>
  <si>
    <t>Masters 40-44 (29.01.1978)/42</t>
  </si>
  <si>
    <t>98,00</t>
  </si>
  <si>
    <t>342,5</t>
  </si>
  <si>
    <t>265,0</t>
  </si>
  <si>
    <t>Yakovlev Igor</t>
  </si>
  <si>
    <t>1. Yakovlev Igor</t>
  </si>
  <si>
    <t>Masters 40-44 (25.12.1976)/43</t>
  </si>
  <si>
    <t>135,95</t>
  </si>
  <si>
    <t>189,9933</t>
  </si>
  <si>
    <t>150,1010</t>
  </si>
  <si>
    <t>144,4740</t>
  </si>
  <si>
    <t>133,5620</t>
  </si>
  <si>
    <t>174,0645</t>
  </si>
  <si>
    <t>170,8095</t>
  </si>
  <si>
    <t>159,8616</t>
  </si>
  <si>
    <t>143,5385</t>
  </si>
  <si>
    <t>140,3881</t>
  </si>
  <si>
    <t>Чемпионат Азии
WPC single ply deadlift
Владивосток/Приморский край 26 - 27 сентября 2020 г.</t>
  </si>
  <si>
    <t>167,7951</t>
  </si>
  <si>
    <t>Чемпионат Азии
WPC multy ply deadlift
Владивосток/Приморский край 26 - 27 сентября 2020 г.</t>
  </si>
  <si>
    <t>Чемпионат Азии
AWPC raw deadlift
Владивосток/Приморский край 26 - 27 сентября 2020 г.</t>
  </si>
  <si>
    <t>Alikovskaya Tatyana</t>
  </si>
  <si>
    <t>1. Alikovskaya Tatyana</t>
  </si>
  <si>
    <t>Open (10.06.1987)/33</t>
  </si>
  <si>
    <t>56,50</t>
  </si>
  <si>
    <t>127,5</t>
  </si>
  <si>
    <t>Tretyakova Alisa</t>
  </si>
  <si>
    <t>1. Tretyakova Alisa</t>
  </si>
  <si>
    <t>Open (18.07.1992)/28</t>
  </si>
  <si>
    <t>64,30</t>
  </si>
  <si>
    <t>Kravchenko Olga</t>
  </si>
  <si>
    <t>1. Kravchenko Olga</t>
  </si>
  <si>
    <t>Masters 50-54 (31.01.1969)/51</t>
  </si>
  <si>
    <t>Alekseyeva Yevgeniya</t>
  </si>
  <si>
    <t>1. Alekseyeva Yevgeniya</t>
  </si>
  <si>
    <t>Open (03.02.1987)/33</t>
  </si>
  <si>
    <t>72,10</t>
  </si>
  <si>
    <t>Rada Natalya</t>
  </si>
  <si>
    <t>1. Rada Natalya</t>
  </si>
  <si>
    <t>Open (06.11.1981)/38</t>
  </si>
  <si>
    <t>54,10</t>
  </si>
  <si>
    <t>Borodin Aleksey</t>
  </si>
  <si>
    <t>1. Borodin Aleksey</t>
  </si>
  <si>
    <t>Juniors 20-23 (16.02.2000)/20</t>
  </si>
  <si>
    <t>62,65</t>
  </si>
  <si>
    <t>Zakharchenko Dmitriy</t>
  </si>
  <si>
    <t>1. Zakharchenko Dmitriy</t>
  </si>
  <si>
    <t>Open (31.07.1982)/38</t>
  </si>
  <si>
    <t>62,05</t>
  </si>
  <si>
    <t>Gedzyshin Vladislav</t>
  </si>
  <si>
    <t>1. Gedzyshin Vladislav</t>
  </si>
  <si>
    <t>Teen 16-17 (06.08.2003)/17</t>
  </si>
  <si>
    <t>71,10</t>
  </si>
  <si>
    <t>Kotov Aleksey</t>
  </si>
  <si>
    <t>1. Kotov Aleksey</t>
  </si>
  <si>
    <t>Open (19.09.1987)/33</t>
  </si>
  <si>
    <t>72,90</t>
  </si>
  <si>
    <t>232,5</t>
  </si>
  <si>
    <t>Ruzhenskiy Anatoliy</t>
  </si>
  <si>
    <t>2. Ruzhenskiy Anatoliy</t>
  </si>
  <si>
    <t>Open (26.01.1989)/31</t>
  </si>
  <si>
    <t>74,35</t>
  </si>
  <si>
    <t>Kopyrin Ivan</t>
  </si>
  <si>
    <t>1. Kopyrin Ivan</t>
  </si>
  <si>
    <t>Masters 50-54 (15.10.1967)/52</t>
  </si>
  <si>
    <t>75,00</t>
  </si>
  <si>
    <t>Yakutsk/Yakutiya</t>
  </si>
  <si>
    <t>Abdullayev Shadig</t>
  </si>
  <si>
    <t>1. Abdullayev Shadig</t>
  </si>
  <si>
    <t>Open (29.05.1996)/24</t>
  </si>
  <si>
    <t>82,30</t>
  </si>
  <si>
    <t>Savchenko Aleksey</t>
  </si>
  <si>
    <t>2. Savchenko Aleksey</t>
  </si>
  <si>
    <t>Open (20.01.1986)/34</t>
  </si>
  <si>
    <t>81,85</t>
  </si>
  <si>
    <t>-. Abdullayev Shadig</t>
  </si>
  <si>
    <t>Open (29.05.1996)/23</t>
  </si>
  <si>
    <t>Yurash Maksim</t>
  </si>
  <si>
    <t>1. Yurash Maksim</t>
  </si>
  <si>
    <t>Open (12.02.1991)/29</t>
  </si>
  <si>
    <t>90,40</t>
  </si>
  <si>
    <t>Fadeyev Maksim</t>
  </si>
  <si>
    <t>3. Fadeyev Maksim</t>
  </si>
  <si>
    <t>Open (22.02.1984)/36</t>
  </si>
  <si>
    <t>94,65</t>
  </si>
  <si>
    <t>1. Mokiy Yevgeniy</t>
  </si>
  <si>
    <t>103,3500</t>
  </si>
  <si>
    <t>132,1537</t>
  </si>
  <si>
    <t>121,4980</t>
  </si>
  <si>
    <t>85,8700</t>
  </si>
  <si>
    <t>147,8009</t>
  </si>
  <si>
    <t>111,6432</t>
  </si>
  <si>
    <t>58,1124</t>
  </si>
  <si>
    <t>141,1462</t>
  </si>
  <si>
    <t>131,2825</t>
  </si>
  <si>
    <t>95,0356</t>
  </si>
  <si>
    <t>143,9010</t>
  </si>
  <si>
    <t>112,9170</t>
  </si>
  <si>
    <t>154,7480</t>
  </si>
  <si>
    <t>148,4880</t>
  </si>
  <si>
    <t>143,4440</t>
  </si>
  <si>
    <t>136,4245</t>
  </si>
  <si>
    <t>135,6720</t>
  </si>
  <si>
    <t>133,0972</t>
  </si>
  <si>
    <t>131,6700</t>
  </si>
  <si>
    <t>131,1200</t>
  </si>
  <si>
    <t>129,5850</t>
  </si>
  <si>
    <t>97,1933</t>
  </si>
  <si>
    <t>174,2109</t>
  </si>
  <si>
    <t>136,3673</t>
  </si>
  <si>
    <t>126,8070</t>
  </si>
  <si>
    <t>95,4172</t>
  </si>
  <si>
    <t>91,8301</t>
  </si>
  <si>
    <t>Чемпионат Азии
AWPC single ply deadlift
Владивосток/Приморский край 26 - 27 сентября 2020 г.</t>
  </si>
  <si>
    <t>-. Kotov Aleksey</t>
  </si>
  <si>
    <t>-. Pavlov Sergey</t>
  </si>
  <si>
    <t>Open (22.01.1988)/32</t>
  </si>
  <si>
    <t>94,10</t>
  </si>
  <si>
    <t>Чемпионат Азии
AWPC multy ply deadlift
Владивосток/Приморский край 26 - 27 сентября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</si>
</sst>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000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165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center"/>
    </xf>
    <xf numFmtId="49" fontId="6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0" fillId="0" borderId="15" xfId="0" applyNumberFormat="1" applyFont="1" applyFill="1" applyBorder="1" applyAlignment="1">
      <alignment horizontal="center"/>
    </xf>
    <xf numFmtId="49" fontId="7" fillId="0" borderId="15" xfId="0" applyNumberFormat="1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left"/>
    </xf>
    <xf numFmtId="49" fontId="7" fillId="0" borderId="12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left"/>
    </xf>
    <xf numFmtId="49" fontId="7" fillId="0" borderId="16" xfId="0" applyNumberFormat="1" applyFont="1" applyFill="1" applyBorder="1" applyAlignment="1">
      <alignment horizontal="center"/>
    </xf>
    <xf numFmtId="49" fontId="0" fillId="0" borderId="17" xfId="0" applyNumberFormat="1" applyFont="1" applyFill="1" applyBorder="1" applyAlignment="1">
      <alignment horizontal="center"/>
    </xf>
    <xf numFmtId="49" fontId="0" fillId="0" borderId="17" xfId="0" applyNumberFormat="1" applyFont="1" applyFill="1" applyBorder="1" applyAlignment="1">
      <alignment horizontal="left"/>
    </xf>
    <xf numFmtId="49" fontId="7" fillId="0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selection sqref="A1:XFD1048576"/>
    </sheetView>
  </sheetViews>
  <sheetFormatPr defaultRowHeight="12.75" x14ac:dyDescent="0.2"/>
  <cols>
    <col min="1" max="1" width="25" style="8" bestFit="1" customWidth="1"/>
    <col min="2" max="2" width="19.5703125" style="9" customWidth="1"/>
    <col min="3" max="3" width="8.140625" style="5" customWidth="1"/>
    <col min="4" max="4" width="7.28515625" style="6" customWidth="1"/>
    <col min="5" max="6" width="12.140625" style="10" customWidth="1"/>
    <col min="7" max="8" width="7" style="11" customWidth="1"/>
    <col min="9" max="10" width="6.5703125" style="11" customWidth="1"/>
    <col min="11" max="11" width="7.28515625" style="11" customWidth="1"/>
    <col min="12" max="12" width="6.5703125" style="11" customWidth="1"/>
    <col min="13" max="15" width="6.85546875" style="11" customWidth="1"/>
    <col min="16" max="16" width="6.5703125" style="11" customWidth="1"/>
    <col min="17" max="18" width="6.85546875" style="11" customWidth="1"/>
    <col min="19" max="19" width="8.42578125" style="7" bestFit="1" customWidth="1"/>
    <col min="20" max="20" width="5.85546875" style="6" customWidth="1"/>
    <col min="21" max="21" width="14.140625" style="8" customWidth="1"/>
    <col min="22" max="16384" width="9.140625" style="3"/>
  </cols>
  <sheetData>
    <row r="1" spans="1:21" s="2" customFormat="1" ht="15" customHeight="1" x14ac:dyDescent="0.2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1"/>
    </row>
    <row r="2" spans="1:21" s="2" customFormat="1" ht="13.5" thickBot="1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4"/>
    </row>
    <row r="3" spans="1:21" s="1" customFormat="1" ht="12.75" customHeight="1" x14ac:dyDescent="0.2">
      <c r="A3" s="25" t="s">
        <v>0</v>
      </c>
      <c r="B3" s="29" t="s">
        <v>12</v>
      </c>
      <c r="C3" s="29" t="s">
        <v>9</v>
      </c>
      <c r="D3" s="15" t="s">
        <v>10</v>
      </c>
      <c r="E3" s="26" t="s">
        <v>1</v>
      </c>
      <c r="F3" s="32" t="s">
        <v>2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17" t="s">
        <v>11</v>
      </c>
      <c r="T3" s="15" t="s">
        <v>7</v>
      </c>
      <c r="U3" s="27" t="s">
        <v>6</v>
      </c>
    </row>
    <row r="4" spans="1:21" s="1" customFormat="1" ht="23.25" customHeight="1" thickBot="1" x14ac:dyDescent="0.25">
      <c r="A4" s="28"/>
      <c r="B4" s="30"/>
      <c r="C4" s="30"/>
      <c r="D4" s="16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18"/>
      <c r="T4" s="16"/>
      <c r="U4" s="31"/>
    </row>
    <row r="5" spans="1:21" s="5" customFormat="1" x14ac:dyDescent="0.2">
      <c r="A5" s="4"/>
      <c r="D5" s="6"/>
      <c r="E5" s="4"/>
      <c r="F5" s="4"/>
      <c r="S5" s="7"/>
      <c r="T5" s="6"/>
      <c r="U5" s="4"/>
    </row>
    <row r="6" spans="1:21" s="5" customFormat="1" x14ac:dyDescent="0.2">
      <c r="A6" s="4"/>
      <c r="D6" s="6"/>
      <c r="E6" s="4"/>
      <c r="F6" s="4"/>
      <c r="S6" s="7"/>
      <c r="T6" s="6"/>
      <c r="U6" s="4"/>
    </row>
    <row r="7" spans="1:21" s="5" customFormat="1" x14ac:dyDescent="0.2">
      <c r="A7" s="4"/>
      <c r="D7" s="6"/>
      <c r="E7" s="4"/>
      <c r="F7" s="4"/>
      <c r="S7" s="7"/>
      <c r="T7" s="6"/>
      <c r="U7" s="4"/>
    </row>
  </sheetData>
  <mergeCells count="13"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14.7109375" style="5" bestFit="1" customWidth="1"/>
    <col min="3" max="3" width="7.7109375" style="5" bestFit="1" customWidth="1"/>
    <col min="4" max="4" width="7.28515625" style="5" customWidth="1"/>
    <col min="5" max="5" width="17.28515625" style="4" bestFit="1" customWidth="1"/>
    <col min="6" max="6" width="14.5703125" style="4" bestFit="1" customWidth="1"/>
    <col min="7" max="9" width="2.140625" style="5" bestFit="1" customWidth="1"/>
    <col min="10" max="10" width="5" style="5" bestFit="1" customWidth="1"/>
    <col min="11" max="11" width="6.140625" style="4" bestFit="1" customWidth="1"/>
    <col min="12" max="12" width="4.28515625" style="5" bestFit="1" customWidth="1"/>
    <col min="13" max="13" width="7.42578125" style="4" bestFit="1" customWidth="1"/>
    <col min="14" max="16384" width="9.140625" style="3"/>
  </cols>
  <sheetData>
    <row r="1" spans="1:13" s="2" customFormat="1" ht="29.1" customHeight="1" x14ac:dyDescent="0.2">
      <c r="A1" s="35" t="s">
        <v>748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4</v>
      </c>
      <c r="H3" s="26"/>
      <c r="I3" s="26"/>
      <c r="J3" s="27"/>
      <c r="K3" s="41" t="s">
        <v>314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x14ac:dyDescent="0.2">
      <c r="A5" s="4"/>
      <c r="E5" s="4"/>
      <c r="F5" s="4"/>
      <c r="K5" s="4"/>
      <c r="M5" s="4"/>
    </row>
    <row r="6" spans="1:13" s="5" customFormat="1" ht="15" x14ac:dyDescent="0.2">
      <c r="A6" s="4"/>
      <c r="E6" s="34" t="s">
        <v>15</v>
      </c>
      <c r="F6" s="4"/>
      <c r="K6" s="4"/>
      <c r="M6" s="4"/>
    </row>
    <row r="7" spans="1:13" s="5" customFormat="1" ht="15" x14ac:dyDescent="0.2">
      <c r="A7" s="4"/>
      <c r="E7" s="34" t="s">
        <v>16</v>
      </c>
      <c r="F7" s="4"/>
      <c r="K7" s="4"/>
      <c r="M7" s="4"/>
    </row>
    <row r="8" spans="1:13" ht="15" x14ac:dyDescent="0.2">
      <c r="E8" s="34" t="s">
        <v>17</v>
      </c>
    </row>
    <row r="9" spans="1:13" x14ac:dyDescent="0.2">
      <c r="E9" s="4" t="s">
        <v>18</v>
      </c>
    </row>
    <row r="10" spans="1:13" x14ac:dyDescent="0.2">
      <c r="E10" s="4" t="s">
        <v>19</v>
      </c>
    </row>
    <row r="11" spans="1:13" x14ac:dyDescent="0.2">
      <c r="E11" s="4" t="s">
        <v>20</v>
      </c>
    </row>
    <row r="14" spans="1:13" ht="18" x14ac:dyDescent="0.25">
      <c r="A14" s="43" t="s">
        <v>21</v>
      </c>
      <c r="B14" s="44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24" style="5" bestFit="1" customWidth="1"/>
    <col min="3" max="3" width="7.7109375" style="5" bestFit="1" customWidth="1"/>
    <col min="4" max="4" width="6.85546875" style="5" bestFit="1" customWidth="1"/>
    <col min="5" max="5" width="17.28515625" style="4" bestFit="1" customWidth="1"/>
    <col min="6" max="6" width="27.140625" style="4" bestFit="1" customWidth="1"/>
    <col min="7" max="8" width="4.5703125" style="5" bestFit="1" customWidth="1"/>
    <col min="9" max="9" width="5.5703125" style="5" bestFit="1" customWidth="1"/>
    <col min="10" max="10" width="5" style="5" bestFit="1" customWidth="1"/>
    <col min="11" max="11" width="6.140625" style="4" bestFit="1" customWidth="1"/>
    <col min="12" max="12" width="7.5703125" style="5" bestFit="1" customWidth="1"/>
    <col min="13" max="13" width="7.42578125" style="4" bestFit="1" customWidth="1"/>
    <col min="14" max="16384" width="9.140625" style="3"/>
  </cols>
  <sheetData>
    <row r="1" spans="1:13" s="2" customFormat="1" ht="29.1" customHeight="1" x14ac:dyDescent="0.2">
      <c r="A1" s="35" t="s">
        <v>736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4</v>
      </c>
      <c r="H3" s="26"/>
      <c r="I3" s="26"/>
      <c r="J3" s="27"/>
      <c r="K3" s="41" t="s">
        <v>314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ht="15" x14ac:dyDescent="0.2">
      <c r="A5" s="45" t="s">
        <v>25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"/>
    </row>
    <row r="6" spans="1:13" s="5" customFormat="1" x14ac:dyDescent="0.2">
      <c r="A6" s="61" t="s">
        <v>738</v>
      </c>
      <c r="B6" s="59" t="s">
        <v>739</v>
      </c>
      <c r="C6" s="59" t="s">
        <v>740</v>
      </c>
      <c r="D6" s="59" t="str">
        <f>"1,0764"</f>
        <v>1,0764</v>
      </c>
      <c r="E6" s="61" t="s">
        <v>30</v>
      </c>
      <c r="F6" s="61" t="s">
        <v>741</v>
      </c>
      <c r="G6" s="59" t="s">
        <v>109</v>
      </c>
      <c r="H6" s="59" t="s">
        <v>110</v>
      </c>
      <c r="I6" s="59" t="s">
        <v>111</v>
      </c>
      <c r="J6" s="62"/>
      <c r="K6" s="61" t="str">
        <f>"70,0"</f>
        <v>70,0</v>
      </c>
      <c r="L6" s="59" t="str">
        <f>"75,3480"</f>
        <v>75,3480</v>
      </c>
      <c r="M6" s="61"/>
    </row>
    <row r="7" spans="1:13" s="5" customFormat="1" x14ac:dyDescent="0.2">
      <c r="A7" s="63" t="s">
        <v>743</v>
      </c>
      <c r="B7" s="60" t="s">
        <v>744</v>
      </c>
      <c r="C7" s="60" t="s">
        <v>745</v>
      </c>
      <c r="D7" s="60" t="str">
        <f>"1,0716"</f>
        <v>1,0716</v>
      </c>
      <c r="E7" s="63" t="s">
        <v>30</v>
      </c>
      <c r="F7" s="63" t="s">
        <v>31</v>
      </c>
      <c r="G7" s="60" t="s">
        <v>182</v>
      </c>
      <c r="H7" s="60" t="s">
        <v>51</v>
      </c>
      <c r="I7" s="64" t="s">
        <v>39</v>
      </c>
      <c r="J7" s="64"/>
      <c r="K7" s="63" t="str">
        <f>"92,5"</f>
        <v>92,5</v>
      </c>
      <c r="L7" s="60" t="str">
        <f>"99,1230"</f>
        <v>99,1230</v>
      </c>
      <c r="M7" s="63"/>
    </row>
    <row r="9" spans="1:13" ht="15" x14ac:dyDescent="0.2">
      <c r="E9" s="34" t="s">
        <v>15</v>
      </c>
    </row>
    <row r="10" spans="1:13" ht="15" x14ac:dyDescent="0.2">
      <c r="E10" s="34" t="s">
        <v>16</v>
      </c>
    </row>
    <row r="11" spans="1:13" ht="15" x14ac:dyDescent="0.2">
      <c r="E11" s="34" t="s">
        <v>17</v>
      </c>
    </row>
    <row r="12" spans="1:13" x14ac:dyDescent="0.2">
      <c r="E12" s="4" t="s">
        <v>18</v>
      </c>
    </row>
    <row r="13" spans="1:13" x14ac:dyDescent="0.2">
      <c r="E13" s="4" t="s">
        <v>19</v>
      </c>
    </row>
    <row r="14" spans="1:13" x14ac:dyDescent="0.2">
      <c r="E14" s="4" t="s">
        <v>20</v>
      </c>
    </row>
    <row r="17" spans="1:5" ht="18" x14ac:dyDescent="0.25">
      <c r="A17" s="43" t="s">
        <v>21</v>
      </c>
      <c r="B17" s="44"/>
    </row>
    <row r="18" spans="1:5" ht="15" x14ac:dyDescent="0.2">
      <c r="A18" s="52" t="s">
        <v>80</v>
      </c>
      <c r="B18" s="53"/>
    </row>
    <row r="19" spans="1:5" ht="14.25" x14ac:dyDescent="0.2">
      <c r="A19" s="55"/>
      <c r="B19" s="56" t="s">
        <v>81</v>
      </c>
    </row>
    <row r="20" spans="1:5" ht="15" x14ac:dyDescent="0.2">
      <c r="A20" s="57" t="s">
        <v>0</v>
      </c>
      <c r="B20" s="57" t="s">
        <v>82</v>
      </c>
      <c r="C20" s="57" t="s">
        <v>83</v>
      </c>
      <c r="D20" s="57" t="s">
        <v>84</v>
      </c>
      <c r="E20" s="57" t="s">
        <v>24</v>
      </c>
    </row>
    <row r="21" spans="1:5" x14ac:dyDescent="0.2">
      <c r="A21" s="54" t="s">
        <v>737</v>
      </c>
      <c r="B21" s="5" t="s">
        <v>90</v>
      </c>
      <c r="C21" s="5" t="s">
        <v>86</v>
      </c>
      <c r="D21" s="5" t="s">
        <v>111</v>
      </c>
      <c r="E21" s="58" t="s">
        <v>746</v>
      </c>
    </row>
    <row r="23" spans="1:5" ht="14.25" x14ac:dyDescent="0.2">
      <c r="A23" s="55"/>
      <c r="B23" s="56" t="s">
        <v>94</v>
      </c>
    </row>
    <row r="24" spans="1:5" ht="15" x14ac:dyDescent="0.2">
      <c r="A24" s="57" t="s">
        <v>0</v>
      </c>
      <c r="B24" s="57" t="s">
        <v>82</v>
      </c>
      <c r="C24" s="57" t="s">
        <v>83</v>
      </c>
      <c r="D24" s="57" t="s">
        <v>84</v>
      </c>
      <c r="E24" s="57" t="s">
        <v>24</v>
      </c>
    </row>
    <row r="25" spans="1:5" x14ac:dyDescent="0.2">
      <c r="A25" s="54" t="s">
        <v>742</v>
      </c>
      <c r="B25" s="5" t="s">
        <v>94</v>
      </c>
      <c r="C25" s="5" t="s">
        <v>86</v>
      </c>
      <c r="D25" s="5" t="s">
        <v>51</v>
      </c>
      <c r="E25" s="58" t="s">
        <v>747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26.85546875" style="5" bestFit="1" customWidth="1"/>
    <col min="3" max="3" width="7.7109375" style="5" bestFit="1" customWidth="1"/>
    <col min="4" max="4" width="6.85546875" style="5" bestFit="1" customWidth="1"/>
    <col min="5" max="5" width="17.28515625" style="4" bestFit="1" customWidth="1"/>
    <col min="6" max="6" width="36.140625" style="4" bestFit="1" customWidth="1"/>
    <col min="7" max="9" width="5.5703125" style="5" bestFit="1" customWidth="1"/>
    <col min="10" max="10" width="5" style="5" bestFit="1" customWidth="1"/>
    <col min="11" max="11" width="6.140625" style="4" bestFit="1" customWidth="1"/>
    <col min="12" max="12" width="8.5703125" style="5" bestFit="1" customWidth="1"/>
    <col min="13" max="13" width="7.42578125" style="4" bestFit="1" customWidth="1"/>
    <col min="14" max="16384" width="9.140625" style="3"/>
  </cols>
  <sheetData>
    <row r="1" spans="1:13" s="2" customFormat="1" ht="29.1" customHeight="1" x14ac:dyDescent="0.2">
      <c r="A1" s="35" t="s">
        <v>505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4</v>
      </c>
      <c r="H3" s="26"/>
      <c r="I3" s="26"/>
      <c r="J3" s="27"/>
      <c r="K3" s="41" t="s">
        <v>314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ht="15" x14ac:dyDescent="0.2">
      <c r="A5" s="45" t="s">
        <v>25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"/>
    </row>
    <row r="6" spans="1:13" s="5" customFormat="1" x14ac:dyDescent="0.2">
      <c r="A6" s="61" t="s">
        <v>507</v>
      </c>
      <c r="B6" s="59" t="s">
        <v>508</v>
      </c>
      <c r="C6" s="59" t="s">
        <v>509</v>
      </c>
      <c r="D6" s="59" t="str">
        <f>"1,0959"</f>
        <v>1,0959</v>
      </c>
      <c r="E6" s="61" t="s">
        <v>30</v>
      </c>
      <c r="F6" s="61" t="s">
        <v>31</v>
      </c>
      <c r="G6" s="59" t="s">
        <v>412</v>
      </c>
      <c r="H6" s="59" t="s">
        <v>510</v>
      </c>
      <c r="I6" s="59" t="s">
        <v>401</v>
      </c>
      <c r="J6" s="62"/>
      <c r="K6" s="61" t="str">
        <f>"55,0"</f>
        <v>55,0</v>
      </c>
      <c r="L6" s="59" t="str">
        <f>"60,2745"</f>
        <v>60,2745</v>
      </c>
      <c r="M6" s="61"/>
    </row>
    <row r="7" spans="1:13" s="5" customFormat="1" x14ac:dyDescent="0.2">
      <c r="A7" s="66" t="s">
        <v>512</v>
      </c>
      <c r="B7" s="65" t="s">
        <v>513</v>
      </c>
      <c r="C7" s="65" t="s">
        <v>514</v>
      </c>
      <c r="D7" s="65" t="str">
        <f>"1,0514"</f>
        <v>1,0514</v>
      </c>
      <c r="E7" s="66" t="s">
        <v>30</v>
      </c>
      <c r="F7" s="66" t="s">
        <v>72</v>
      </c>
      <c r="G7" s="65" t="s">
        <v>382</v>
      </c>
      <c r="H7" s="67" t="s">
        <v>33</v>
      </c>
      <c r="I7" s="67" t="s">
        <v>34</v>
      </c>
      <c r="J7" s="67"/>
      <c r="K7" s="66" t="str">
        <f>"77,5"</f>
        <v>77,5</v>
      </c>
      <c r="L7" s="65" t="str">
        <f>"81,4835"</f>
        <v>81,4835</v>
      </c>
      <c r="M7" s="66"/>
    </row>
    <row r="8" spans="1:13" x14ac:dyDescent="0.2">
      <c r="A8" s="63" t="s">
        <v>512</v>
      </c>
      <c r="B8" s="60" t="s">
        <v>515</v>
      </c>
      <c r="C8" s="60" t="s">
        <v>514</v>
      </c>
      <c r="D8" s="60" t="str">
        <f>"1,0514"</f>
        <v>1,0514</v>
      </c>
      <c r="E8" s="63" t="s">
        <v>30</v>
      </c>
      <c r="F8" s="63" t="s">
        <v>72</v>
      </c>
      <c r="G8" s="60" t="s">
        <v>382</v>
      </c>
      <c r="H8" s="64" t="s">
        <v>33</v>
      </c>
      <c r="I8" s="64" t="s">
        <v>34</v>
      </c>
      <c r="J8" s="64"/>
      <c r="K8" s="63" t="str">
        <f>"77,5"</f>
        <v>77,5</v>
      </c>
      <c r="L8" s="60" t="str">
        <f>"84,0095"</f>
        <v>84,0095</v>
      </c>
      <c r="M8" s="63"/>
    </row>
    <row r="10" spans="1:13" ht="15" x14ac:dyDescent="0.2">
      <c r="A10" s="50" t="s">
        <v>168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3" x14ac:dyDescent="0.2">
      <c r="A11" s="61" t="s">
        <v>517</v>
      </c>
      <c r="B11" s="59" t="s">
        <v>518</v>
      </c>
      <c r="C11" s="59" t="s">
        <v>519</v>
      </c>
      <c r="D11" s="59" t="str">
        <f>"1,0335"</f>
        <v>1,0335</v>
      </c>
      <c r="E11" s="61" t="s">
        <v>30</v>
      </c>
      <c r="F11" s="61" t="s">
        <v>118</v>
      </c>
      <c r="G11" s="59" t="s">
        <v>35</v>
      </c>
      <c r="H11" s="59" t="s">
        <v>36</v>
      </c>
      <c r="I11" s="59" t="s">
        <v>412</v>
      </c>
      <c r="J11" s="62"/>
      <c r="K11" s="61" t="str">
        <f>"50,0"</f>
        <v>50,0</v>
      </c>
      <c r="L11" s="59" t="str">
        <f>"51,6750"</f>
        <v>51,6750</v>
      </c>
      <c r="M11" s="61"/>
    </row>
    <row r="12" spans="1:13" x14ac:dyDescent="0.2">
      <c r="A12" s="63" t="s">
        <v>487</v>
      </c>
      <c r="B12" s="60" t="s">
        <v>488</v>
      </c>
      <c r="C12" s="60" t="s">
        <v>489</v>
      </c>
      <c r="D12" s="60" t="str">
        <f>"1,0306"</f>
        <v>1,0306</v>
      </c>
      <c r="E12" s="63" t="s">
        <v>30</v>
      </c>
      <c r="F12" s="63" t="s">
        <v>106</v>
      </c>
      <c r="G12" s="60" t="s">
        <v>394</v>
      </c>
      <c r="H12" s="60" t="s">
        <v>111</v>
      </c>
      <c r="I12" s="60" t="s">
        <v>381</v>
      </c>
      <c r="J12" s="64"/>
      <c r="K12" s="63" t="str">
        <f>"72,5"</f>
        <v>72,5</v>
      </c>
      <c r="L12" s="60" t="str">
        <f>"77,9314"</f>
        <v>77,9314</v>
      </c>
      <c r="M12" s="63"/>
    </row>
    <row r="14" spans="1:13" ht="15" x14ac:dyDescent="0.2">
      <c r="A14" s="50" t="s">
        <v>183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1:13" x14ac:dyDescent="0.2">
      <c r="A15" s="46" t="s">
        <v>414</v>
      </c>
      <c r="B15" s="47" t="s">
        <v>415</v>
      </c>
      <c r="C15" s="47" t="s">
        <v>416</v>
      </c>
      <c r="D15" s="47" t="str">
        <f>"0,9589"</f>
        <v>0,9589</v>
      </c>
      <c r="E15" s="46" t="s">
        <v>30</v>
      </c>
      <c r="F15" s="46" t="s">
        <v>31</v>
      </c>
      <c r="G15" s="47" t="s">
        <v>417</v>
      </c>
      <c r="H15" s="47" t="s">
        <v>418</v>
      </c>
      <c r="I15" s="48" t="s">
        <v>388</v>
      </c>
      <c r="J15" s="48"/>
      <c r="K15" s="46" t="str">
        <f>"27,5"</f>
        <v>27,5</v>
      </c>
      <c r="L15" s="47" t="str">
        <f>"26,6348"</f>
        <v>26,6348</v>
      </c>
      <c r="M15" s="46"/>
    </row>
    <row r="17" spans="1:13" ht="15" x14ac:dyDescent="0.2">
      <c r="A17" s="50" t="s">
        <v>41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1:13" x14ac:dyDescent="0.2">
      <c r="A18" s="46" t="s">
        <v>521</v>
      </c>
      <c r="B18" s="47" t="s">
        <v>522</v>
      </c>
      <c r="C18" s="47" t="s">
        <v>523</v>
      </c>
      <c r="D18" s="47" t="str">
        <f>"0,8468"</f>
        <v>0,8468</v>
      </c>
      <c r="E18" s="46" t="s">
        <v>30</v>
      </c>
      <c r="F18" s="46" t="s">
        <v>31</v>
      </c>
      <c r="G18" s="47" t="s">
        <v>382</v>
      </c>
      <c r="H18" s="47" t="s">
        <v>34</v>
      </c>
      <c r="I18" s="47" t="s">
        <v>50</v>
      </c>
      <c r="J18" s="48"/>
      <c r="K18" s="46" t="str">
        <f>"85,0"</f>
        <v>85,0</v>
      </c>
      <c r="L18" s="47" t="str">
        <f>"71,9780"</f>
        <v>71,9780</v>
      </c>
      <c r="M18" s="46"/>
    </row>
    <row r="20" spans="1:13" ht="15" x14ac:dyDescent="0.2">
      <c r="A20" s="50" t="s">
        <v>383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</row>
    <row r="21" spans="1:13" x14ac:dyDescent="0.2">
      <c r="A21" s="46" t="s">
        <v>525</v>
      </c>
      <c r="B21" s="47" t="s">
        <v>526</v>
      </c>
      <c r="C21" s="47" t="s">
        <v>527</v>
      </c>
      <c r="D21" s="47" t="str">
        <f>"1,3243"</f>
        <v>1,3243</v>
      </c>
      <c r="E21" s="46" t="s">
        <v>30</v>
      </c>
      <c r="F21" s="46" t="s">
        <v>31</v>
      </c>
      <c r="G21" s="47" t="s">
        <v>388</v>
      </c>
      <c r="H21" s="47" t="s">
        <v>406</v>
      </c>
      <c r="I21" s="47" t="s">
        <v>35</v>
      </c>
      <c r="J21" s="48"/>
      <c r="K21" s="46" t="str">
        <f>"40,0"</f>
        <v>40,0</v>
      </c>
      <c r="L21" s="47" t="str">
        <f>"52,9740"</f>
        <v>52,9740</v>
      </c>
      <c r="M21" s="46"/>
    </row>
    <row r="23" spans="1:13" ht="15" x14ac:dyDescent="0.2">
      <c r="A23" s="50" t="s">
        <v>168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3" x14ac:dyDescent="0.2">
      <c r="A24" s="46" t="s">
        <v>529</v>
      </c>
      <c r="B24" s="47" t="s">
        <v>530</v>
      </c>
      <c r="C24" s="47" t="s">
        <v>531</v>
      </c>
      <c r="D24" s="47" t="str">
        <f>"0,8582"</f>
        <v>0,8582</v>
      </c>
      <c r="E24" s="46" t="s">
        <v>30</v>
      </c>
      <c r="F24" s="46" t="s">
        <v>31</v>
      </c>
      <c r="G24" s="47" t="s">
        <v>111</v>
      </c>
      <c r="H24" s="48" t="s">
        <v>173</v>
      </c>
      <c r="I24" s="47" t="s">
        <v>39</v>
      </c>
      <c r="J24" s="48"/>
      <c r="K24" s="46" t="str">
        <f>"100,0"</f>
        <v>100,0</v>
      </c>
      <c r="L24" s="47" t="str">
        <f>"85,8200"</f>
        <v>85,8200</v>
      </c>
      <c r="M24" s="46"/>
    </row>
    <row r="26" spans="1:13" ht="15" x14ac:dyDescent="0.2">
      <c r="A26" s="50" t="s">
        <v>183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</row>
    <row r="27" spans="1:13" x14ac:dyDescent="0.2">
      <c r="A27" s="61" t="s">
        <v>533</v>
      </c>
      <c r="B27" s="59" t="s">
        <v>534</v>
      </c>
      <c r="C27" s="59" t="s">
        <v>535</v>
      </c>
      <c r="D27" s="59" t="str">
        <f>"0,7722"</f>
        <v>0,7722</v>
      </c>
      <c r="E27" s="61" t="s">
        <v>30</v>
      </c>
      <c r="F27" s="61" t="s">
        <v>536</v>
      </c>
      <c r="G27" s="59" t="s">
        <v>212</v>
      </c>
      <c r="H27" s="59" t="s">
        <v>48</v>
      </c>
      <c r="I27" s="59" t="s">
        <v>49</v>
      </c>
      <c r="J27" s="62"/>
      <c r="K27" s="61" t="str">
        <f>"130,0"</f>
        <v>130,0</v>
      </c>
      <c r="L27" s="59" t="str">
        <f>"100,3925"</f>
        <v>100,3925</v>
      </c>
      <c r="M27" s="61"/>
    </row>
    <row r="28" spans="1:13" x14ac:dyDescent="0.2">
      <c r="A28" s="66" t="s">
        <v>538</v>
      </c>
      <c r="B28" s="65" t="s">
        <v>539</v>
      </c>
      <c r="C28" s="65" t="s">
        <v>540</v>
      </c>
      <c r="D28" s="65" t="str">
        <f>"0,7942"</f>
        <v>0,7942</v>
      </c>
      <c r="E28" s="66" t="s">
        <v>30</v>
      </c>
      <c r="F28" s="66" t="s">
        <v>31</v>
      </c>
      <c r="G28" s="65" t="s">
        <v>212</v>
      </c>
      <c r="H28" s="65" t="s">
        <v>49</v>
      </c>
      <c r="I28" s="67" t="s">
        <v>107</v>
      </c>
      <c r="J28" s="67"/>
      <c r="K28" s="66" t="str">
        <f>"130,0"</f>
        <v>130,0</v>
      </c>
      <c r="L28" s="65" t="str">
        <f>"103,2460"</f>
        <v>103,2460</v>
      </c>
      <c r="M28" s="66"/>
    </row>
    <row r="29" spans="1:13" x14ac:dyDescent="0.2">
      <c r="A29" s="66" t="s">
        <v>542</v>
      </c>
      <c r="B29" s="65" t="s">
        <v>543</v>
      </c>
      <c r="C29" s="65" t="s">
        <v>544</v>
      </c>
      <c r="D29" s="65" t="str">
        <f>"0,7570"</f>
        <v>0,7570</v>
      </c>
      <c r="E29" s="66" t="s">
        <v>30</v>
      </c>
      <c r="F29" s="66" t="s">
        <v>31</v>
      </c>
      <c r="G29" s="65" t="s">
        <v>48</v>
      </c>
      <c r="H29" s="65" t="s">
        <v>188</v>
      </c>
      <c r="I29" s="67" t="s">
        <v>189</v>
      </c>
      <c r="J29" s="67"/>
      <c r="K29" s="66" t="str">
        <f>"132,5"</f>
        <v>132,5</v>
      </c>
      <c r="L29" s="65" t="str">
        <f>"100,3091"</f>
        <v>100,3091</v>
      </c>
      <c r="M29" s="66"/>
    </row>
    <row r="30" spans="1:13" x14ac:dyDescent="0.2">
      <c r="A30" s="63" t="s">
        <v>546</v>
      </c>
      <c r="B30" s="60" t="s">
        <v>547</v>
      </c>
      <c r="C30" s="60" t="s">
        <v>548</v>
      </c>
      <c r="D30" s="60" t="str">
        <f>"0,8184"</f>
        <v>0,8184</v>
      </c>
      <c r="E30" s="63" t="s">
        <v>30</v>
      </c>
      <c r="F30" s="63" t="s">
        <v>31</v>
      </c>
      <c r="G30" s="60" t="s">
        <v>109</v>
      </c>
      <c r="H30" s="60" t="s">
        <v>549</v>
      </c>
      <c r="I30" s="60" t="s">
        <v>110</v>
      </c>
      <c r="J30" s="64"/>
      <c r="K30" s="63" t="str">
        <f>"65,0"</f>
        <v>65,0</v>
      </c>
      <c r="L30" s="60" t="str">
        <f>"54,2632"</f>
        <v>54,2632</v>
      </c>
      <c r="M30" s="63"/>
    </row>
    <row r="32" spans="1:13" ht="15" x14ac:dyDescent="0.2">
      <c r="A32" s="50" t="s">
        <v>41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3" x14ac:dyDescent="0.2">
      <c r="A33" s="61" t="s">
        <v>551</v>
      </c>
      <c r="B33" s="59" t="s">
        <v>552</v>
      </c>
      <c r="C33" s="59" t="s">
        <v>553</v>
      </c>
      <c r="D33" s="59" t="str">
        <f>"0,6998"</f>
        <v>0,6998</v>
      </c>
      <c r="E33" s="61" t="s">
        <v>30</v>
      </c>
      <c r="F33" s="61" t="s">
        <v>31</v>
      </c>
      <c r="G33" s="59" t="s">
        <v>212</v>
      </c>
      <c r="H33" s="59" t="s">
        <v>49</v>
      </c>
      <c r="I33" s="59" t="s">
        <v>189</v>
      </c>
      <c r="J33" s="62"/>
      <c r="K33" s="61" t="str">
        <f>"135,0"</f>
        <v>135,0</v>
      </c>
      <c r="L33" s="59" t="str">
        <f>"94,4663"</f>
        <v>94,4663</v>
      </c>
      <c r="M33" s="61"/>
    </row>
    <row r="34" spans="1:13" x14ac:dyDescent="0.2">
      <c r="A34" s="66" t="s">
        <v>555</v>
      </c>
      <c r="B34" s="65" t="s">
        <v>556</v>
      </c>
      <c r="C34" s="65" t="s">
        <v>557</v>
      </c>
      <c r="D34" s="65" t="str">
        <f>"0,7393"</f>
        <v>0,7393</v>
      </c>
      <c r="E34" s="66" t="s">
        <v>30</v>
      </c>
      <c r="F34" s="66" t="s">
        <v>31</v>
      </c>
      <c r="G34" s="67" t="s">
        <v>107</v>
      </c>
      <c r="H34" s="65" t="s">
        <v>107</v>
      </c>
      <c r="I34" s="67" t="s">
        <v>52</v>
      </c>
      <c r="J34" s="67"/>
      <c r="K34" s="66" t="str">
        <f>"140,0"</f>
        <v>140,0</v>
      </c>
      <c r="L34" s="65" t="str">
        <f>"103,4950"</f>
        <v>103,4950</v>
      </c>
      <c r="M34" s="66"/>
    </row>
    <row r="35" spans="1:13" x14ac:dyDescent="0.2">
      <c r="A35" s="66" t="s">
        <v>558</v>
      </c>
      <c r="B35" s="65" t="s">
        <v>559</v>
      </c>
      <c r="C35" s="65" t="s">
        <v>553</v>
      </c>
      <c r="D35" s="65" t="str">
        <f>"0,6998"</f>
        <v>0,6998</v>
      </c>
      <c r="E35" s="66" t="s">
        <v>30</v>
      </c>
      <c r="F35" s="66" t="s">
        <v>31</v>
      </c>
      <c r="G35" s="65" t="s">
        <v>212</v>
      </c>
      <c r="H35" s="65" t="s">
        <v>49</v>
      </c>
      <c r="I35" s="65" t="s">
        <v>189</v>
      </c>
      <c r="J35" s="67"/>
      <c r="K35" s="66" t="str">
        <f>"135,0"</f>
        <v>135,0</v>
      </c>
      <c r="L35" s="65" t="str">
        <f>"94,4663"</f>
        <v>94,4663</v>
      </c>
      <c r="M35" s="66"/>
    </row>
    <row r="36" spans="1:13" x14ac:dyDescent="0.2">
      <c r="A36" s="66" t="s">
        <v>561</v>
      </c>
      <c r="B36" s="65" t="s">
        <v>562</v>
      </c>
      <c r="C36" s="65" t="s">
        <v>563</v>
      </c>
      <c r="D36" s="65" t="str">
        <f>"0,6962"</f>
        <v>0,6962</v>
      </c>
      <c r="E36" s="66" t="s">
        <v>30</v>
      </c>
      <c r="F36" s="66" t="s">
        <v>31</v>
      </c>
      <c r="G36" s="65" t="s">
        <v>48</v>
      </c>
      <c r="H36" s="65" t="s">
        <v>49</v>
      </c>
      <c r="I36" s="65" t="s">
        <v>189</v>
      </c>
      <c r="J36" s="67"/>
      <c r="K36" s="66" t="str">
        <f>"135,0"</f>
        <v>135,0</v>
      </c>
      <c r="L36" s="65" t="str">
        <f>"93,9803"</f>
        <v>93,9803</v>
      </c>
      <c r="M36" s="66"/>
    </row>
    <row r="37" spans="1:13" x14ac:dyDescent="0.2">
      <c r="A37" s="63" t="s">
        <v>564</v>
      </c>
      <c r="B37" s="60" t="s">
        <v>565</v>
      </c>
      <c r="C37" s="60" t="s">
        <v>566</v>
      </c>
      <c r="D37" s="60" t="str">
        <f>"0,7348"</f>
        <v>0,7348</v>
      </c>
      <c r="E37" s="63" t="s">
        <v>30</v>
      </c>
      <c r="F37" s="63" t="s">
        <v>567</v>
      </c>
      <c r="G37" s="60" t="s">
        <v>39</v>
      </c>
      <c r="H37" s="60" t="s">
        <v>40</v>
      </c>
      <c r="I37" s="64" t="s">
        <v>46</v>
      </c>
      <c r="J37" s="64"/>
      <c r="K37" s="63" t="str">
        <f>"105,0"</f>
        <v>105,0</v>
      </c>
      <c r="L37" s="60" t="str">
        <f>"77,1592"</f>
        <v>77,1592</v>
      </c>
      <c r="M37" s="63"/>
    </row>
    <row r="39" spans="1:13" ht="15" x14ac:dyDescent="0.2">
      <c r="A39" s="50" t="s">
        <v>202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spans="1:13" x14ac:dyDescent="0.2">
      <c r="A40" s="61" t="s">
        <v>569</v>
      </c>
      <c r="B40" s="59" t="s">
        <v>570</v>
      </c>
      <c r="C40" s="59" t="s">
        <v>571</v>
      </c>
      <c r="D40" s="59" t="str">
        <f>"0,6595"</f>
        <v>0,6595</v>
      </c>
      <c r="E40" s="61" t="s">
        <v>30</v>
      </c>
      <c r="F40" s="61" t="s">
        <v>31</v>
      </c>
      <c r="G40" s="59" t="s">
        <v>107</v>
      </c>
      <c r="H40" s="59" t="s">
        <v>52</v>
      </c>
      <c r="I40" s="59" t="s">
        <v>361</v>
      </c>
      <c r="J40" s="62"/>
      <c r="K40" s="61" t="str">
        <f>"152,5"</f>
        <v>152,5</v>
      </c>
      <c r="L40" s="59" t="str">
        <f>"100,5738"</f>
        <v>100,5738</v>
      </c>
      <c r="M40" s="61"/>
    </row>
    <row r="41" spans="1:13" x14ac:dyDescent="0.2">
      <c r="A41" s="66" t="s">
        <v>573</v>
      </c>
      <c r="B41" s="65" t="s">
        <v>574</v>
      </c>
      <c r="C41" s="65" t="s">
        <v>575</v>
      </c>
      <c r="D41" s="65" t="str">
        <f>"0,6646"</f>
        <v>0,6646</v>
      </c>
      <c r="E41" s="66" t="s">
        <v>30</v>
      </c>
      <c r="F41" s="66" t="s">
        <v>567</v>
      </c>
      <c r="G41" s="65" t="s">
        <v>46</v>
      </c>
      <c r="H41" s="65" t="s">
        <v>107</v>
      </c>
      <c r="I41" s="65" t="s">
        <v>52</v>
      </c>
      <c r="J41" s="67"/>
      <c r="K41" s="66" t="str">
        <f>"145,0"</f>
        <v>145,0</v>
      </c>
      <c r="L41" s="65" t="str">
        <f>"96,3670"</f>
        <v>96,3670</v>
      </c>
      <c r="M41" s="66"/>
    </row>
    <row r="42" spans="1:13" x14ac:dyDescent="0.2">
      <c r="A42" s="63" t="s">
        <v>576</v>
      </c>
      <c r="B42" s="60" t="s">
        <v>577</v>
      </c>
      <c r="C42" s="60" t="s">
        <v>578</v>
      </c>
      <c r="D42" s="60" t="str">
        <f>"0,6730"</f>
        <v>0,6730</v>
      </c>
      <c r="E42" s="63" t="s">
        <v>30</v>
      </c>
      <c r="F42" s="63" t="s">
        <v>494</v>
      </c>
      <c r="G42" s="64" t="s">
        <v>38</v>
      </c>
      <c r="H42" s="64" t="s">
        <v>38</v>
      </c>
      <c r="I42" s="64"/>
      <c r="J42" s="64"/>
      <c r="K42" s="63" t="str">
        <f>"0.00"</f>
        <v>0.00</v>
      </c>
      <c r="L42" s="60" t="str">
        <f>"0,0000"</f>
        <v>0,0000</v>
      </c>
      <c r="M42" s="63"/>
    </row>
    <row r="44" spans="1:13" ht="15" x14ac:dyDescent="0.2">
      <c r="A44" s="50" t="s">
        <v>55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  <row r="45" spans="1:13" x14ac:dyDescent="0.2">
      <c r="A45" s="61" t="s">
        <v>580</v>
      </c>
      <c r="B45" s="59" t="s">
        <v>581</v>
      </c>
      <c r="C45" s="59" t="s">
        <v>582</v>
      </c>
      <c r="D45" s="59" t="str">
        <f>"0,6313"</f>
        <v>0,6313</v>
      </c>
      <c r="E45" s="61" t="s">
        <v>30</v>
      </c>
      <c r="F45" s="61" t="s">
        <v>567</v>
      </c>
      <c r="G45" s="59" t="s">
        <v>189</v>
      </c>
      <c r="H45" s="59" t="s">
        <v>52</v>
      </c>
      <c r="I45" s="62" t="s">
        <v>583</v>
      </c>
      <c r="J45" s="62"/>
      <c r="K45" s="61" t="str">
        <f>"145,0"</f>
        <v>145,0</v>
      </c>
      <c r="L45" s="59" t="str">
        <f>"91,5313"</f>
        <v>91,5313</v>
      </c>
      <c r="M45" s="61"/>
    </row>
    <row r="46" spans="1:13" x14ac:dyDescent="0.2">
      <c r="A46" s="66" t="s">
        <v>585</v>
      </c>
      <c r="B46" s="65" t="s">
        <v>586</v>
      </c>
      <c r="C46" s="65" t="s">
        <v>587</v>
      </c>
      <c r="D46" s="65" t="str">
        <f>"0,6345"</f>
        <v>0,6345</v>
      </c>
      <c r="E46" s="66" t="s">
        <v>30</v>
      </c>
      <c r="F46" s="66" t="s">
        <v>31</v>
      </c>
      <c r="G46" s="65" t="s">
        <v>54</v>
      </c>
      <c r="H46" s="65" t="s">
        <v>74</v>
      </c>
      <c r="I46" s="67" t="s">
        <v>194</v>
      </c>
      <c r="J46" s="67"/>
      <c r="K46" s="66" t="str">
        <f>"175,0"</f>
        <v>175,0</v>
      </c>
      <c r="L46" s="65" t="str">
        <f>"111,0288"</f>
        <v>111,0288</v>
      </c>
      <c r="M46" s="66"/>
    </row>
    <row r="47" spans="1:13" x14ac:dyDescent="0.2">
      <c r="A47" s="66" t="s">
        <v>589</v>
      </c>
      <c r="B47" s="65" t="s">
        <v>590</v>
      </c>
      <c r="C47" s="65" t="s">
        <v>591</v>
      </c>
      <c r="D47" s="65" t="str">
        <f>"0,6149"</f>
        <v>0,6149</v>
      </c>
      <c r="E47" s="66" t="s">
        <v>30</v>
      </c>
      <c r="F47" s="66" t="s">
        <v>31</v>
      </c>
      <c r="G47" s="65" t="s">
        <v>361</v>
      </c>
      <c r="H47" s="65" t="s">
        <v>225</v>
      </c>
      <c r="I47" s="67" t="s">
        <v>64</v>
      </c>
      <c r="J47" s="67"/>
      <c r="K47" s="66" t="str">
        <f>"160,0"</f>
        <v>160,0</v>
      </c>
      <c r="L47" s="65" t="str">
        <f>"98,3840"</f>
        <v>98,3840</v>
      </c>
      <c r="M47" s="66"/>
    </row>
    <row r="48" spans="1:13" x14ac:dyDescent="0.2">
      <c r="A48" s="66" t="s">
        <v>593</v>
      </c>
      <c r="B48" s="65" t="s">
        <v>594</v>
      </c>
      <c r="C48" s="65" t="s">
        <v>59</v>
      </c>
      <c r="D48" s="65" t="str">
        <f>"0,6184"</f>
        <v>0,6184</v>
      </c>
      <c r="E48" s="66" t="s">
        <v>30</v>
      </c>
      <c r="F48" s="66" t="s">
        <v>106</v>
      </c>
      <c r="G48" s="65" t="s">
        <v>108</v>
      </c>
      <c r="H48" s="67" t="s">
        <v>249</v>
      </c>
      <c r="I48" s="67" t="s">
        <v>249</v>
      </c>
      <c r="J48" s="67"/>
      <c r="K48" s="66" t="str">
        <f>"150,0"</f>
        <v>150,0</v>
      </c>
      <c r="L48" s="65" t="str">
        <f>"92,7675"</f>
        <v>92,7675</v>
      </c>
      <c r="M48" s="66"/>
    </row>
    <row r="49" spans="1:13" x14ac:dyDescent="0.2">
      <c r="A49" s="66" t="s">
        <v>596</v>
      </c>
      <c r="B49" s="65" t="s">
        <v>597</v>
      </c>
      <c r="C49" s="65" t="s">
        <v>598</v>
      </c>
      <c r="D49" s="65" t="str">
        <f>"0,6234"</f>
        <v>0,6234</v>
      </c>
      <c r="E49" s="66" t="s">
        <v>30</v>
      </c>
      <c r="F49" s="66" t="s">
        <v>31</v>
      </c>
      <c r="G49" s="65" t="s">
        <v>599</v>
      </c>
      <c r="H49" s="65" t="s">
        <v>122</v>
      </c>
      <c r="I49" s="67"/>
      <c r="J49" s="67"/>
      <c r="K49" s="66" t="str">
        <f>"142,5"</f>
        <v>142,5</v>
      </c>
      <c r="L49" s="65" t="str">
        <f>"88,8345"</f>
        <v>88,8345</v>
      </c>
      <c r="M49" s="66"/>
    </row>
    <row r="50" spans="1:13" x14ac:dyDescent="0.2">
      <c r="A50" s="66" t="s">
        <v>601</v>
      </c>
      <c r="B50" s="65" t="s">
        <v>602</v>
      </c>
      <c r="C50" s="65" t="s">
        <v>603</v>
      </c>
      <c r="D50" s="65" t="str">
        <f>"0,6259"</f>
        <v>0,6259</v>
      </c>
      <c r="E50" s="66" t="s">
        <v>30</v>
      </c>
      <c r="F50" s="66" t="s">
        <v>31</v>
      </c>
      <c r="G50" s="65" t="s">
        <v>48</v>
      </c>
      <c r="H50" s="65" t="s">
        <v>188</v>
      </c>
      <c r="I50" s="65" t="s">
        <v>107</v>
      </c>
      <c r="J50" s="67"/>
      <c r="K50" s="66" t="str">
        <f>"140,0"</f>
        <v>140,0</v>
      </c>
      <c r="L50" s="65" t="str">
        <f>"87,6330"</f>
        <v>87,6330</v>
      </c>
      <c r="M50" s="66"/>
    </row>
    <row r="51" spans="1:13" x14ac:dyDescent="0.2">
      <c r="A51" s="66" t="s">
        <v>604</v>
      </c>
      <c r="B51" s="65" t="s">
        <v>605</v>
      </c>
      <c r="C51" s="65" t="s">
        <v>606</v>
      </c>
      <c r="D51" s="65" t="str">
        <f>"0,6209"</f>
        <v>0,6209</v>
      </c>
      <c r="E51" s="66" t="s">
        <v>30</v>
      </c>
      <c r="F51" s="66" t="s">
        <v>31</v>
      </c>
      <c r="G51" s="65" t="s">
        <v>188</v>
      </c>
      <c r="H51" s="67" t="s">
        <v>107</v>
      </c>
      <c r="I51" s="67" t="s">
        <v>107</v>
      </c>
      <c r="J51" s="67"/>
      <c r="K51" s="66" t="str">
        <f>"132,5"</f>
        <v>132,5</v>
      </c>
      <c r="L51" s="65" t="str">
        <f>"82,2692"</f>
        <v>82,2692</v>
      </c>
      <c r="M51" s="66"/>
    </row>
    <row r="52" spans="1:13" x14ac:dyDescent="0.2">
      <c r="A52" s="66" t="s">
        <v>608</v>
      </c>
      <c r="B52" s="65" t="s">
        <v>609</v>
      </c>
      <c r="C52" s="65" t="s">
        <v>610</v>
      </c>
      <c r="D52" s="65" t="str">
        <f>"0,6299"</f>
        <v>0,6299</v>
      </c>
      <c r="E52" s="66" t="s">
        <v>30</v>
      </c>
      <c r="F52" s="66" t="s">
        <v>31</v>
      </c>
      <c r="G52" s="65" t="s">
        <v>173</v>
      </c>
      <c r="H52" s="67" t="s">
        <v>38</v>
      </c>
      <c r="I52" s="65" t="s">
        <v>38</v>
      </c>
      <c r="J52" s="67"/>
      <c r="K52" s="66" t="str">
        <f>"95,0"</f>
        <v>95,0</v>
      </c>
      <c r="L52" s="65" t="str">
        <f>"64,7474"</f>
        <v>64,7474</v>
      </c>
      <c r="M52" s="66"/>
    </row>
    <row r="53" spans="1:13" x14ac:dyDescent="0.2">
      <c r="A53" s="63" t="s">
        <v>585</v>
      </c>
      <c r="B53" s="60" t="s">
        <v>611</v>
      </c>
      <c r="C53" s="60" t="s">
        <v>587</v>
      </c>
      <c r="D53" s="60" t="str">
        <f>"0,6345"</f>
        <v>0,6345</v>
      </c>
      <c r="E53" s="63" t="s">
        <v>30</v>
      </c>
      <c r="F53" s="63" t="s">
        <v>31</v>
      </c>
      <c r="G53" s="60" t="s">
        <v>54</v>
      </c>
      <c r="H53" s="60" t="s">
        <v>74</v>
      </c>
      <c r="I53" s="64" t="s">
        <v>194</v>
      </c>
      <c r="J53" s="64"/>
      <c r="K53" s="63" t="str">
        <f>"175,0"</f>
        <v>175,0</v>
      </c>
      <c r="L53" s="60" t="str">
        <f>"131,4580"</f>
        <v>131,4580</v>
      </c>
      <c r="M53" s="63"/>
    </row>
    <row r="55" spans="1:13" ht="15" x14ac:dyDescent="0.2">
      <c r="A55" s="50" t="s">
        <v>219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6" spans="1:13" x14ac:dyDescent="0.2">
      <c r="A56" s="61" t="s">
        <v>613</v>
      </c>
      <c r="B56" s="59" t="s">
        <v>614</v>
      </c>
      <c r="C56" s="59" t="s">
        <v>498</v>
      </c>
      <c r="D56" s="59" t="str">
        <f>"0,5943"</f>
        <v>0,5943</v>
      </c>
      <c r="E56" s="61" t="s">
        <v>30</v>
      </c>
      <c r="F56" s="61" t="s">
        <v>31</v>
      </c>
      <c r="G56" s="59" t="s">
        <v>599</v>
      </c>
      <c r="H56" s="59" t="s">
        <v>108</v>
      </c>
      <c r="I56" s="62" t="s">
        <v>249</v>
      </c>
      <c r="J56" s="62"/>
      <c r="K56" s="61" t="str">
        <f>"150,0"</f>
        <v>150,0</v>
      </c>
      <c r="L56" s="59" t="str">
        <f>"89,1450"</f>
        <v>89,1450</v>
      </c>
      <c r="M56" s="61"/>
    </row>
    <row r="57" spans="1:13" x14ac:dyDescent="0.2">
      <c r="A57" s="66" t="s">
        <v>496</v>
      </c>
      <c r="B57" s="65" t="s">
        <v>497</v>
      </c>
      <c r="C57" s="65" t="s">
        <v>498</v>
      </c>
      <c r="D57" s="65" t="str">
        <f>"0,5943"</f>
        <v>0,5943</v>
      </c>
      <c r="E57" s="66" t="s">
        <v>30</v>
      </c>
      <c r="F57" s="66" t="s">
        <v>106</v>
      </c>
      <c r="G57" s="65" t="s">
        <v>48</v>
      </c>
      <c r="H57" s="67" t="s">
        <v>189</v>
      </c>
      <c r="I57" s="67" t="s">
        <v>107</v>
      </c>
      <c r="J57" s="67"/>
      <c r="K57" s="66" t="str">
        <f>"125,0"</f>
        <v>125,0</v>
      </c>
      <c r="L57" s="65" t="str">
        <f>"74,2875"</f>
        <v>74,2875</v>
      </c>
      <c r="M57" s="66"/>
    </row>
    <row r="58" spans="1:13" x14ac:dyDescent="0.2">
      <c r="A58" s="66" t="s">
        <v>616</v>
      </c>
      <c r="B58" s="65" t="s">
        <v>617</v>
      </c>
      <c r="C58" s="65" t="s">
        <v>618</v>
      </c>
      <c r="D58" s="65" t="str">
        <f>"0,5935"</f>
        <v>0,5935</v>
      </c>
      <c r="E58" s="66" t="s">
        <v>30</v>
      </c>
      <c r="F58" s="66" t="s">
        <v>106</v>
      </c>
      <c r="G58" s="65" t="s">
        <v>54</v>
      </c>
      <c r="H58" s="65" t="s">
        <v>325</v>
      </c>
      <c r="I58" s="67" t="s">
        <v>74</v>
      </c>
      <c r="J58" s="67"/>
      <c r="K58" s="66" t="str">
        <f>"172,5"</f>
        <v>172,5</v>
      </c>
      <c r="L58" s="65" t="str">
        <f>"102,3701"</f>
        <v>102,3701</v>
      </c>
      <c r="M58" s="66"/>
    </row>
    <row r="59" spans="1:13" x14ac:dyDescent="0.2">
      <c r="A59" s="66" t="s">
        <v>620</v>
      </c>
      <c r="B59" s="65" t="s">
        <v>621</v>
      </c>
      <c r="C59" s="65" t="s">
        <v>622</v>
      </c>
      <c r="D59" s="65" t="str">
        <f>"0,5932"</f>
        <v>0,5932</v>
      </c>
      <c r="E59" s="66" t="s">
        <v>30</v>
      </c>
      <c r="F59" s="66" t="s">
        <v>199</v>
      </c>
      <c r="G59" s="65" t="s">
        <v>54</v>
      </c>
      <c r="H59" s="67" t="s">
        <v>325</v>
      </c>
      <c r="I59" s="67" t="s">
        <v>325</v>
      </c>
      <c r="J59" s="67"/>
      <c r="K59" s="66" t="str">
        <f>"165,0"</f>
        <v>165,0</v>
      </c>
      <c r="L59" s="65" t="str">
        <f>"97,8698"</f>
        <v>97,8698</v>
      </c>
      <c r="M59" s="66"/>
    </row>
    <row r="60" spans="1:13" x14ac:dyDescent="0.2">
      <c r="A60" s="66" t="s">
        <v>624</v>
      </c>
      <c r="B60" s="65" t="s">
        <v>625</v>
      </c>
      <c r="C60" s="65" t="s">
        <v>626</v>
      </c>
      <c r="D60" s="65" t="str">
        <f>"0,5840"</f>
        <v>0,5840</v>
      </c>
      <c r="E60" s="66" t="s">
        <v>30</v>
      </c>
      <c r="F60" s="66" t="s">
        <v>199</v>
      </c>
      <c r="G60" s="65" t="s">
        <v>52</v>
      </c>
      <c r="H60" s="65" t="s">
        <v>249</v>
      </c>
      <c r="I60" s="67" t="s">
        <v>627</v>
      </c>
      <c r="J60" s="67"/>
      <c r="K60" s="66" t="str">
        <f>"155,0"</f>
        <v>155,0</v>
      </c>
      <c r="L60" s="65" t="str">
        <f>"90,5277"</f>
        <v>90,5277</v>
      </c>
      <c r="M60" s="66"/>
    </row>
    <row r="61" spans="1:13" x14ac:dyDescent="0.2">
      <c r="A61" s="66" t="s">
        <v>629</v>
      </c>
      <c r="B61" s="65" t="s">
        <v>630</v>
      </c>
      <c r="C61" s="65" t="s">
        <v>631</v>
      </c>
      <c r="D61" s="65" t="str">
        <f>"0,6019"</f>
        <v>0,6019</v>
      </c>
      <c r="E61" s="66" t="s">
        <v>30</v>
      </c>
      <c r="F61" s="66" t="s">
        <v>632</v>
      </c>
      <c r="G61" s="67" t="s">
        <v>49</v>
      </c>
      <c r="H61" s="65" t="s">
        <v>108</v>
      </c>
      <c r="I61" s="67" t="s">
        <v>627</v>
      </c>
      <c r="J61" s="67"/>
      <c r="K61" s="66" t="str">
        <f>"150,0"</f>
        <v>150,0</v>
      </c>
      <c r="L61" s="65" t="str">
        <f>"90,2925"</f>
        <v>90,2925</v>
      </c>
      <c r="M61" s="66"/>
    </row>
    <row r="62" spans="1:13" x14ac:dyDescent="0.2">
      <c r="A62" s="66" t="s">
        <v>634</v>
      </c>
      <c r="B62" s="65" t="s">
        <v>635</v>
      </c>
      <c r="C62" s="65" t="s">
        <v>636</v>
      </c>
      <c r="D62" s="65" t="str">
        <f>"0,6097"</f>
        <v>0,6097</v>
      </c>
      <c r="E62" s="66" t="s">
        <v>30</v>
      </c>
      <c r="F62" s="66" t="s">
        <v>31</v>
      </c>
      <c r="G62" s="65" t="s">
        <v>107</v>
      </c>
      <c r="H62" s="65" t="s">
        <v>52</v>
      </c>
      <c r="I62" s="67"/>
      <c r="J62" s="67"/>
      <c r="K62" s="66" t="str">
        <f>"145,0"</f>
        <v>145,0</v>
      </c>
      <c r="L62" s="65" t="str">
        <f>"88,3993"</f>
        <v>88,3993</v>
      </c>
      <c r="M62" s="66"/>
    </row>
    <row r="63" spans="1:13" x14ac:dyDescent="0.2">
      <c r="A63" s="66" t="s">
        <v>637</v>
      </c>
      <c r="B63" s="65" t="s">
        <v>638</v>
      </c>
      <c r="C63" s="65" t="s">
        <v>639</v>
      </c>
      <c r="D63" s="65" t="str">
        <f>"0,5887"</f>
        <v>0,5887</v>
      </c>
      <c r="E63" s="66" t="s">
        <v>30</v>
      </c>
      <c r="F63" s="66" t="s">
        <v>31</v>
      </c>
      <c r="G63" s="65" t="s">
        <v>49</v>
      </c>
      <c r="H63" s="67" t="s">
        <v>107</v>
      </c>
      <c r="I63" s="67" t="s">
        <v>107</v>
      </c>
      <c r="J63" s="67"/>
      <c r="K63" s="66" t="str">
        <f>"130,0"</f>
        <v>130,0</v>
      </c>
      <c r="L63" s="65" t="str">
        <f>"76,5310"</f>
        <v>76,5310</v>
      </c>
      <c r="M63" s="66"/>
    </row>
    <row r="64" spans="1:13" x14ac:dyDescent="0.2">
      <c r="A64" s="66" t="s">
        <v>641</v>
      </c>
      <c r="B64" s="65" t="s">
        <v>642</v>
      </c>
      <c r="C64" s="65" t="s">
        <v>643</v>
      </c>
      <c r="D64" s="65" t="str">
        <f>"0,5990"</f>
        <v>0,5990</v>
      </c>
      <c r="E64" s="66" t="s">
        <v>30</v>
      </c>
      <c r="F64" s="66" t="s">
        <v>567</v>
      </c>
      <c r="G64" s="65" t="s">
        <v>225</v>
      </c>
      <c r="H64" s="65" t="s">
        <v>54</v>
      </c>
      <c r="I64" s="65" t="s">
        <v>644</v>
      </c>
      <c r="J64" s="67"/>
      <c r="K64" s="66" t="str">
        <f>"167,5"</f>
        <v>167,5</v>
      </c>
      <c r="L64" s="65" t="str">
        <f>"100,3325"</f>
        <v>100,3325</v>
      </c>
      <c r="M64" s="66"/>
    </row>
    <row r="65" spans="1:13" x14ac:dyDescent="0.2">
      <c r="A65" s="66" t="s">
        <v>646</v>
      </c>
      <c r="B65" s="65" t="s">
        <v>647</v>
      </c>
      <c r="C65" s="65" t="s">
        <v>648</v>
      </c>
      <c r="D65" s="65" t="str">
        <f>"0,5940"</f>
        <v>0,5940</v>
      </c>
      <c r="E65" s="66" t="s">
        <v>30</v>
      </c>
      <c r="F65" s="66" t="s">
        <v>31</v>
      </c>
      <c r="G65" s="67" t="s">
        <v>627</v>
      </c>
      <c r="H65" s="67" t="s">
        <v>627</v>
      </c>
      <c r="I65" s="65" t="s">
        <v>627</v>
      </c>
      <c r="J65" s="67"/>
      <c r="K65" s="66" t="str">
        <f>"162,5"</f>
        <v>162,5</v>
      </c>
      <c r="L65" s="65" t="str">
        <f>"98,4555"</f>
        <v>98,4555</v>
      </c>
      <c r="M65" s="66"/>
    </row>
    <row r="66" spans="1:13" x14ac:dyDescent="0.2">
      <c r="A66" s="63" t="s">
        <v>650</v>
      </c>
      <c r="B66" s="60" t="s">
        <v>651</v>
      </c>
      <c r="C66" s="60" t="s">
        <v>652</v>
      </c>
      <c r="D66" s="60" t="str">
        <f>"0,5971"</f>
        <v>0,5971</v>
      </c>
      <c r="E66" s="63" t="s">
        <v>30</v>
      </c>
      <c r="F66" s="63" t="s">
        <v>72</v>
      </c>
      <c r="G66" s="60" t="s">
        <v>52</v>
      </c>
      <c r="H66" s="64" t="s">
        <v>249</v>
      </c>
      <c r="I66" s="64" t="s">
        <v>249</v>
      </c>
      <c r="J66" s="64"/>
      <c r="K66" s="63" t="str">
        <f>"145,0"</f>
        <v>145,0</v>
      </c>
      <c r="L66" s="60" t="str">
        <f>"89,2635"</f>
        <v>89,2635</v>
      </c>
      <c r="M66" s="63"/>
    </row>
    <row r="68" spans="1:13" ht="15" x14ac:dyDescent="0.2">
      <c r="A68" s="50" t="s">
        <v>113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</row>
    <row r="69" spans="1:13" x14ac:dyDescent="0.2">
      <c r="A69" s="61" t="s">
        <v>654</v>
      </c>
      <c r="B69" s="59" t="s">
        <v>655</v>
      </c>
      <c r="C69" s="59" t="s">
        <v>656</v>
      </c>
      <c r="D69" s="59" t="str">
        <f>"0,5738"</f>
        <v>0,5738</v>
      </c>
      <c r="E69" s="61" t="s">
        <v>30</v>
      </c>
      <c r="F69" s="61" t="s">
        <v>118</v>
      </c>
      <c r="G69" s="59" t="s">
        <v>54</v>
      </c>
      <c r="H69" s="59" t="s">
        <v>325</v>
      </c>
      <c r="I69" s="59" t="s">
        <v>74</v>
      </c>
      <c r="J69" s="62"/>
      <c r="K69" s="61" t="str">
        <f>"175,0"</f>
        <v>175,0</v>
      </c>
      <c r="L69" s="59" t="str">
        <f>"100,4150"</f>
        <v>100,4150</v>
      </c>
      <c r="M69" s="61"/>
    </row>
    <row r="70" spans="1:13" x14ac:dyDescent="0.2">
      <c r="A70" s="66" t="s">
        <v>658</v>
      </c>
      <c r="B70" s="65" t="s">
        <v>659</v>
      </c>
      <c r="C70" s="65" t="s">
        <v>660</v>
      </c>
      <c r="D70" s="65" t="str">
        <f>"0,5695"</f>
        <v>0,5695</v>
      </c>
      <c r="E70" s="66" t="s">
        <v>30</v>
      </c>
      <c r="F70" s="66" t="s">
        <v>31</v>
      </c>
      <c r="G70" s="65" t="s">
        <v>225</v>
      </c>
      <c r="H70" s="65" t="s">
        <v>644</v>
      </c>
      <c r="I70" s="65" t="s">
        <v>325</v>
      </c>
      <c r="J70" s="67"/>
      <c r="K70" s="66" t="str">
        <f>"172,5"</f>
        <v>172,5</v>
      </c>
      <c r="L70" s="65" t="str">
        <f>"98,2474"</f>
        <v>98,2474</v>
      </c>
      <c r="M70" s="66"/>
    </row>
    <row r="71" spans="1:13" x14ac:dyDescent="0.2">
      <c r="A71" s="66" t="s">
        <v>662</v>
      </c>
      <c r="B71" s="65" t="s">
        <v>663</v>
      </c>
      <c r="C71" s="65" t="s">
        <v>664</v>
      </c>
      <c r="D71" s="65" t="str">
        <f>"0,5748"</f>
        <v>0,5748</v>
      </c>
      <c r="E71" s="66" t="s">
        <v>30</v>
      </c>
      <c r="F71" s="66" t="s">
        <v>131</v>
      </c>
      <c r="G71" s="65" t="s">
        <v>627</v>
      </c>
      <c r="H71" s="65" t="s">
        <v>644</v>
      </c>
      <c r="I71" s="67" t="s">
        <v>194</v>
      </c>
      <c r="J71" s="67"/>
      <c r="K71" s="66" t="str">
        <f>"167,5"</f>
        <v>167,5</v>
      </c>
      <c r="L71" s="65" t="str">
        <f>"96,2790"</f>
        <v>96,2790</v>
      </c>
      <c r="M71" s="66"/>
    </row>
    <row r="72" spans="1:13" x14ac:dyDescent="0.2">
      <c r="A72" s="66" t="s">
        <v>666</v>
      </c>
      <c r="B72" s="65" t="s">
        <v>667</v>
      </c>
      <c r="C72" s="65" t="s">
        <v>668</v>
      </c>
      <c r="D72" s="65" t="str">
        <f>"0,5653"</f>
        <v>0,5653</v>
      </c>
      <c r="E72" s="66" t="s">
        <v>30</v>
      </c>
      <c r="F72" s="66" t="s">
        <v>451</v>
      </c>
      <c r="G72" s="67" t="s">
        <v>108</v>
      </c>
      <c r="H72" s="67" t="s">
        <v>108</v>
      </c>
      <c r="I72" s="65" t="s">
        <v>108</v>
      </c>
      <c r="J72" s="67"/>
      <c r="K72" s="66" t="str">
        <f>"150,0"</f>
        <v>150,0</v>
      </c>
      <c r="L72" s="65" t="str">
        <f>"84,7950"</f>
        <v>84,7950</v>
      </c>
      <c r="M72" s="66"/>
    </row>
    <row r="73" spans="1:13" x14ac:dyDescent="0.2">
      <c r="A73" s="66" t="s">
        <v>669</v>
      </c>
      <c r="B73" s="65" t="s">
        <v>670</v>
      </c>
      <c r="C73" s="65" t="s">
        <v>671</v>
      </c>
      <c r="D73" s="65" t="str">
        <f>"0,5710"</f>
        <v>0,5710</v>
      </c>
      <c r="E73" s="66" t="s">
        <v>30</v>
      </c>
      <c r="F73" s="66" t="s">
        <v>31</v>
      </c>
      <c r="G73" s="65" t="s">
        <v>49</v>
      </c>
      <c r="H73" s="65" t="s">
        <v>583</v>
      </c>
      <c r="I73" s="67" t="s">
        <v>644</v>
      </c>
      <c r="J73" s="67"/>
      <c r="K73" s="66" t="str">
        <f>"147,5"</f>
        <v>147,5</v>
      </c>
      <c r="L73" s="65" t="str">
        <f>"84,2299"</f>
        <v>84,2299</v>
      </c>
      <c r="M73" s="66"/>
    </row>
    <row r="74" spans="1:13" x14ac:dyDescent="0.2">
      <c r="A74" s="66" t="s">
        <v>654</v>
      </c>
      <c r="B74" s="65" t="s">
        <v>672</v>
      </c>
      <c r="C74" s="65" t="s">
        <v>656</v>
      </c>
      <c r="D74" s="65" t="str">
        <f>"0,5738"</f>
        <v>0,5738</v>
      </c>
      <c r="E74" s="66" t="s">
        <v>30</v>
      </c>
      <c r="F74" s="66" t="s">
        <v>118</v>
      </c>
      <c r="G74" s="65" t="s">
        <v>54</v>
      </c>
      <c r="H74" s="65" t="s">
        <v>325</v>
      </c>
      <c r="I74" s="65" t="s">
        <v>74</v>
      </c>
      <c r="J74" s="67"/>
      <c r="K74" s="66" t="str">
        <f>"175,0"</f>
        <v>175,0</v>
      </c>
      <c r="L74" s="65" t="str">
        <f>"107,2432"</f>
        <v>107,2432</v>
      </c>
      <c r="M74" s="66"/>
    </row>
    <row r="75" spans="1:13" x14ac:dyDescent="0.2">
      <c r="A75" s="63" t="s">
        <v>658</v>
      </c>
      <c r="B75" s="60" t="s">
        <v>673</v>
      </c>
      <c r="C75" s="60" t="s">
        <v>660</v>
      </c>
      <c r="D75" s="60" t="str">
        <f>"0,5695"</f>
        <v>0,5695</v>
      </c>
      <c r="E75" s="63" t="s">
        <v>30</v>
      </c>
      <c r="F75" s="63" t="s">
        <v>31</v>
      </c>
      <c r="G75" s="60" t="s">
        <v>225</v>
      </c>
      <c r="H75" s="60" t="s">
        <v>644</v>
      </c>
      <c r="I75" s="60" t="s">
        <v>325</v>
      </c>
      <c r="J75" s="64"/>
      <c r="K75" s="63" t="str">
        <f>"172,5"</f>
        <v>172,5</v>
      </c>
      <c r="L75" s="60" t="str">
        <f>"104,9282"</f>
        <v>104,9282</v>
      </c>
      <c r="M75" s="63"/>
    </row>
    <row r="77" spans="1:13" ht="15" x14ac:dyDescent="0.2">
      <c r="A77" s="50" t="s">
        <v>67</v>
      </c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</row>
    <row r="78" spans="1:13" x14ac:dyDescent="0.2">
      <c r="A78" s="61" t="s">
        <v>675</v>
      </c>
      <c r="B78" s="59" t="s">
        <v>676</v>
      </c>
      <c r="C78" s="59" t="s">
        <v>677</v>
      </c>
      <c r="D78" s="59" t="str">
        <f>"0,5478"</f>
        <v>0,5478</v>
      </c>
      <c r="E78" s="61" t="s">
        <v>30</v>
      </c>
      <c r="F78" s="61" t="s">
        <v>31</v>
      </c>
      <c r="G78" s="59" t="s">
        <v>123</v>
      </c>
      <c r="H78" s="59" t="s">
        <v>460</v>
      </c>
      <c r="I78" s="59" t="s">
        <v>124</v>
      </c>
      <c r="J78" s="62"/>
      <c r="K78" s="61" t="str">
        <f>"210,0"</f>
        <v>210,0</v>
      </c>
      <c r="L78" s="59" t="str">
        <f>"115,0432"</f>
        <v>115,0432</v>
      </c>
      <c r="M78" s="61"/>
    </row>
    <row r="79" spans="1:13" x14ac:dyDescent="0.2">
      <c r="A79" s="66" t="s">
        <v>679</v>
      </c>
      <c r="B79" s="65" t="s">
        <v>680</v>
      </c>
      <c r="C79" s="65" t="s">
        <v>681</v>
      </c>
      <c r="D79" s="65" t="str">
        <f>"0,5558"</f>
        <v>0,5558</v>
      </c>
      <c r="E79" s="66" t="s">
        <v>30</v>
      </c>
      <c r="F79" s="66" t="s">
        <v>567</v>
      </c>
      <c r="G79" s="67" t="s">
        <v>225</v>
      </c>
      <c r="H79" s="65" t="s">
        <v>194</v>
      </c>
      <c r="I79" s="65" t="s">
        <v>132</v>
      </c>
      <c r="J79" s="67"/>
      <c r="K79" s="66" t="str">
        <f>"185,0"</f>
        <v>185,0</v>
      </c>
      <c r="L79" s="65" t="str">
        <f>"102,8138"</f>
        <v>102,8138</v>
      </c>
      <c r="M79" s="66"/>
    </row>
    <row r="80" spans="1:13" x14ac:dyDescent="0.2">
      <c r="A80" s="66" t="s">
        <v>683</v>
      </c>
      <c r="B80" s="65" t="s">
        <v>684</v>
      </c>
      <c r="C80" s="65" t="s">
        <v>685</v>
      </c>
      <c r="D80" s="65" t="str">
        <f>"0,5619"</f>
        <v>0,5619</v>
      </c>
      <c r="E80" s="66" t="s">
        <v>30</v>
      </c>
      <c r="F80" s="66" t="s">
        <v>31</v>
      </c>
      <c r="G80" s="65" t="s">
        <v>108</v>
      </c>
      <c r="H80" s="65" t="s">
        <v>225</v>
      </c>
      <c r="I80" s="67" t="s">
        <v>64</v>
      </c>
      <c r="J80" s="67"/>
      <c r="K80" s="66" t="str">
        <f>"160,0"</f>
        <v>160,0</v>
      </c>
      <c r="L80" s="65" t="str">
        <f>"89,9040"</f>
        <v>89,9040</v>
      </c>
      <c r="M80" s="66"/>
    </row>
    <row r="81" spans="1:13" x14ac:dyDescent="0.2">
      <c r="A81" s="63" t="s">
        <v>687</v>
      </c>
      <c r="B81" s="60" t="s">
        <v>688</v>
      </c>
      <c r="C81" s="60" t="s">
        <v>689</v>
      </c>
      <c r="D81" s="60" t="str">
        <f>"0,5509"</f>
        <v>0,5509</v>
      </c>
      <c r="E81" s="63" t="s">
        <v>30</v>
      </c>
      <c r="F81" s="63" t="s">
        <v>31</v>
      </c>
      <c r="G81" s="60" t="s">
        <v>173</v>
      </c>
      <c r="H81" s="60" t="s">
        <v>39</v>
      </c>
      <c r="I81" s="64"/>
      <c r="J81" s="64"/>
      <c r="K81" s="63" t="str">
        <f>"100,0"</f>
        <v>100,0</v>
      </c>
      <c r="L81" s="60" t="str">
        <f>"79,8877"</f>
        <v>79,8877</v>
      </c>
      <c r="M81" s="63"/>
    </row>
    <row r="83" spans="1:13" ht="15" x14ac:dyDescent="0.2">
      <c r="E83" s="34" t="s">
        <v>15</v>
      </c>
    </row>
    <row r="84" spans="1:13" ht="15" x14ac:dyDescent="0.2">
      <c r="E84" s="34" t="s">
        <v>16</v>
      </c>
    </row>
    <row r="85" spans="1:13" ht="15" x14ac:dyDescent="0.2">
      <c r="E85" s="34" t="s">
        <v>17</v>
      </c>
    </row>
    <row r="86" spans="1:13" x14ac:dyDescent="0.2">
      <c r="E86" s="4" t="s">
        <v>18</v>
      </c>
    </row>
    <row r="87" spans="1:13" x14ac:dyDescent="0.2">
      <c r="E87" s="4" t="s">
        <v>19</v>
      </c>
    </row>
    <row r="88" spans="1:13" x14ac:dyDescent="0.2">
      <c r="E88" s="4" t="s">
        <v>20</v>
      </c>
    </row>
    <row r="91" spans="1:13" ht="18" x14ac:dyDescent="0.25">
      <c r="A91" s="43" t="s">
        <v>21</v>
      </c>
      <c r="B91" s="44"/>
    </row>
    <row r="92" spans="1:13" ht="15" x14ac:dyDescent="0.2">
      <c r="A92" s="52" t="s">
        <v>80</v>
      </c>
      <c r="B92" s="53"/>
    </row>
    <row r="93" spans="1:13" ht="14.25" x14ac:dyDescent="0.2">
      <c r="A93" s="55"/>
      <c r="B93" s="56" t="s">
        <v>81</v>
      </c>
    </row>
    <row r="94" spans="1:13" ht="15" x14ac:dyDescent="0.2">
      <c r="A94" s="57" t="s">
        <v>0</v>
      </c>
      <c r="B94" s="57" t="s">
        <v>82</v>
      </c>
      <c r="C94" s="57" t="s">
        <v>83</v>
      </c>
      <c r="D94" s="57" t="s">
        <v>84</v>
      </c>
      <c r="E94" s="57" t="s">
        <v>24</v>
      </c>
    </row>
    <row r="95" spans="1:13" x14ac:dyDescent="0.2">
      <c r="A95" s="54" t="s">
        <v>516</v>
      </c>
      <c r="B95" s="5" t="s">
        <v>85</v>
      </c>
      <c r="C95" s="5" t="s">
        <v>284</v>
      </c>
      <c r="D95" s="5" t="s">
        <v>412</v>
      </c>
      <c r="E95" s="58" t="s">
        <v>690</v>
      </c>
    </row>
    <row r="97" spans="1:5" ht="14.25" x14ac:dyDescent="0.2">
      <c r="A97" s="55"/>
      <c r="B97" s="56" t="s">
        <v>162</v>
      </c>
    </row>
    <row r="98" spans="1:5" ht="15" x14ac:dyDescent="0.2">
      <c r="A98" s="57" t="s">
        <v>0</v>
      </c>
      <c r="B98" s="57" t="s">
        <v>82</v>
      </c>
      <c r="C98" s="57" t="s">
        <v>83</v>
      </c>
      <c r="D98" s="57" t="s">
        <v>84</v>
      </c>
      <c r="E98" s="57" t="s">
        <v>24</v>
      </c>
    </row>
    <row r="99" spans="1:5" x14ac:dyDescent="0.2">
      <c r="A99" s="54" t="s">
        <v>506</v>
      </c>
      <c r="B99" s="5" t="s">
        <v>163</v>
      </c>
      <c r="C99" s="5" t="s">
        <v>86</v>
      </c>
      <c r="D99" s="5" t="s">
        <v>401</v>
      </c>
      <c r="E99" s="58" t="s">
        <v>691</v>
      </c>
    </row>
    <row r="101" spans="1:5" ht="14.25" x14ac:dyDescent="0.2">
      <c r="A101" s="55"/>
      <c r="B101" s="56" t="s">
        <v>94</v>
      </c>
    </row>
    <row r="102" spans="1:5" ht="15" x14ac:dyDescent="0.2">
      <c r="A102" s="57" t="s">
        <v>0</v>
      </c>
      <c r="B102" s="57" t="s">
        <v>82</v>
      </c>
      <c r="C102" s="57" t="s">
        <v>83</v>
      </c>
      <c r="D102" s="57" t="s">
        <v>84</v>
      </c>
      <c r="E102" s="57" t="s">
        <v>24</v>
      </c>
    </row>
    <row r="103" spans="1:5" x14ac:dyDescent="0.2">
      <c r="A103" s="54" t="s">
        <v>511</v>
      </c>
      <c r="B103" s="5" t="s">
        <v>94</v>
      </c>
      <c r="C103" s="5" t="s">
        <v>86</v>
      </c>
      <c r="D103" s="5" t="s">
        <v>382</v>
      </c>
      <c r="E103" s="58" t="s">
        <v>692</v>
      </c>
    </row>
    <row r="104" spans="1:5" x14ac:dyDescent="0.2">
      <c r="A104" s="54" t="s">
        <v>520</v>
      </c>
      <c r="B104" s="5" t="s">
        <v>94</v>
      </c>
      <c r="C104" s="5" t="s">
        <v>91</v>
      </c>
      <c r="D104" s="5" t="s">
        <v>50</v>
      </c>
      <c r="E104" s="58" t="s">
        <v>693</v>
      </c>
    </row>
    <row r="106" spans="1:5" ht="14.25" x14ac:dyDescent="0.2">
      <c r="A106" s="55"/>
      <c r="B106" s="56" t="s">
        <v>135</v>
      </c>
    </row>
    <row r="107" spans="1:5" ht="15" x14ac:dyDescent="0.2">
      <c r="A107" s="57" t="s">
        <v>0</v>
      </c>
      <c r="B107" s="57" t="s">
        <v>82</v>
      </c>
      <c r="C107" s="57" t="s">
        <v>83</v>
      </c>
      <c r="D107" s="57" t="s">
        <v>84</v>
      </c>
      <c r="E107" s="57" t="s">
        <v>24</v>
      </c>
    </row>
    <row r="108" spans="1:5" x14ac:dyDescent="0.2">
      <c r="A108" s="54" t="s">
        <v>511</v>
      </c>
      <c r="B108" s="5" t="s">
        <v>286</v>
      </c>
      <c r="C108" s="5" t="s">
        <v>86</v>
      </c>
      <c r="D108" s="5" t="s">
        <v>382</v>
      </c>
      <c r="E108" s="58" t="s">
        <v>694</v>
      </c>
    </row>
    <row r="109" spans="1:5" x14ac:dyDescent="0.2">
      <c r="A109" s="54" t="s">
        <v>486</v>
      </c>
      <c r="B109" s="5" t="s">
        <v>286</v>
      </c>
      <c r="C109" s="5" t="s">
        <v>284</v>
      </c>
      <c r="D109" s="5" t="s">
        <v>381</v>
      </c>
      <c r="E109" s="58" t="s">
        <v>695</v>
      </c>
    </row>
    <row r="110" spans="1:5" x14ac:dyDescent="0.2">
      <c r="A110" s="54" t="s">
        <v>413</v>
      </c>
      <c r="B110" s="5" t="s">
        <v>286</v>
      </c>
      <c r="C110" s="5" t="s">
        <v>300</v>
      </c>
      <c r="D110" s="5" t="s">
        <v>418</v>
      </c>
      <c r="E110" s="58" t="s">
        <v>696</v>
      </c>
    </row>
    <row r="113" spans="1:5" ht="15" x14ac:dyDescent="0.2">
      <c r="A113" s="52" t="s">
        <v>89</v>
      </c>
      <c r="B113" s="53"/>
    </row>
    <row r="114" spans="1:5" ht="14.25" x14ac:dyDescent="0.2">
      <c r="A114" s="55"/>
      <c r="B114" s="56" t="s">
        <v>81</v>
      </c>
    </row>
    <row r="115" spans="1:5" ht="15" x14ac:dyDescent="0.2">
      <c r="A115" s="57" t="s">
        <v>0</v>
      </c>
      <c r="B115" s="57" t="s">
        <v>82</v>
      </c>
      <c r="C115" s="57" t="s">
        <v>83</v>
      </c>
      <c r="D115" s="57" t="s">
        <v>84</v>
      </c>
      <c r="E115" s="57" t="s">
        <v>24</v>
      </c>
    </row>
    <row r="116" spans="1:5" x14ac:dyDescent="0.2">
      <c r="A116" s="54" t="s">
        <v>532</v>
      </c>
      <c r="B116" s="5" t="s">
        <v>85</v>
      </c>
      <c r="C116" s="5" t="s">
        <v>300</v>
      </c>
      <c r="D116" s="5" t="s">
        <v>49</v>
      </c>
      <c r="E116" s="58" t="s">
        <v>697</v>
      </c>
    </row>
    <row r="117" spans="1:5" x14ac:dyDescent="0.2">
      <c r="A117" s="54" t="s">
        <v>612</v>
      </c>
      <c r="B117" s="5" t="s">
        <v>288</v>
      </c>
      <c r="C117" s="5" t="s">
        <v>289</v>
      </c>
      <c r="D117" s="5" t="s">
        <v>108</v>
      </c>
      <c r="E117" s="58" t="s">
        <v>698</v>
      </c>
    </row>
    <row r="118" spans="1:5" x14ac:dyDescent="0.2">
      <c r="A118" s="54" t="s">
        <v>524</v>
      </c>
      <c r="B118" s="5" t="s">
        <v>90</v>
      </c>
      <c r="C118" s="5" t="s">
        <v>456</v>
      </c>
      <c r="D118" s="5" t="s">
        <v>35</v>
      </c>
      <c r="E118" s="58" t="s">
        <v>699</v>
      </c>
    </row>
    <row r="120" spans="1:5" ht="14.25" x14ac:dyDescent="0.2">
      <c r="A120" s="55"/>
      <c r="B120" s="56" t="s">
        <v>162</v>
      </c>
    </row>
    <row r="121" spans="1:5" ht="15" x14ac:dyDescent="0.2">
      <c r="A121" s="57" t="s">
        <v>0</v>
      </c>
      <c r="B121" s="57" t="s">
        <v>82</v>
      </c>
      <c r="C121" s="57" t="s">
        <v>83</v>
      </c>
      <c r="D121" s="57" t="s">
        <v>84</v>
      </c>
      <c r="E121" s="57" t="s">
        <v>24</v>
      </c>
    </row>
    <row r="122" spans="1:5" x14ac:dyDescent="0.2">
      <c r="A122" s="54" t="s">
        <v>537</v>
      </c>
      <c r="B122" s="5" t="s">
        <v>163</v>
      </c>
      <c r="C122" s="5" t="s">
        <v>300</v>
      </c>
      <c r="D122" s="5" t="s">
        <v>49</v>
      </c>
      <c r="E122" s="58" t="s">
        <v>700</v>
      </c>
    </row>
    <row r="123" spans="1:5" x14ac:dyDescent="0.2">
      <c r="A123" s="54" t="s">
        <v>550</v>
      </c>
      <c r="B123" s="5" t="s">
        <v>163</v>
      </c>
      <c r="C123" s="5" t="s">
        <v>91</v>
      </c>
      <c r="D123" s="5" t="s">
        <v>189</v>
      </c>
      <c r="E123" s="58" t="s">
        <v>701</v>
      </c>
    </row>
    <row r="124" spans="1:5" x14ac:dyDescent="0.2">
      <c r="A124" s="54" t="s">
        <v>579</v>
      </c>
      <c r="B124" s="5" t="s">
        <v>163</v>
      </c>
      <c r="C124" s="5" t="s">
        <v>95</v>
      </c>
      <c r="D124" s="5" t="s">
        <v>52</v>
      </c>
      <c r="E124" s="58" t="s">
        <v>702</v>
      </c>
    </row>
    <row r="125" spans="1:5" x14ac:dyDescent="0.2">
      <c r="A125" s="54" t="s">
        <v>495</v>
      </c>
      <c r="B125" s="5" t="s">
        <v>163</v>
      </c>
      <c r="C125" s="5" t="s">
        <v>289</v>
      </c>
      <c r="D125" s="5" t="s">
        <v>48</v>
      </c>
      <c r="E125" s="58" t="s">
        <v>703</v>
      </c>
    </row>
    <row r="127" spans="1:5" ht="14.25" x14ac:dyDescent="0.2">
      <c r="A127" s="55"/>
      <c r="B127" s="56" t="s">
        <v>94</v>
      </c>
    </row>
    <row r="128" spans="1:5" ht="15" x14ac:dyDescent="0.2">
      <c r="A128" s="57" t="s">
        <v>0</v>
      </c>
      <c r="B128" s="57" t="s">
        <v>82</v>
      </c>
      <c r="C128" s="57" t="s">
        <v>83</v>
      </c>
      <c r="D128" s="57" t="s">
        <v>84</v>
      </c>
      <c r="E128" s="57" t="s">
        <v>24</v>
      </c>
    </row>
    <row r="129" spans="1:5" x14ac:dyDescent="0.2">
      <c r="A129" s="54" t="s">
        <v>674</v>
      </c>
      <c r="B129" s="5" t="s">
        <v>94</v>
      </c>
      <c r="C129" s="5" t="s">
        <v>98</v>
      </c>
      <c r="D129" s="5" t="s">
        <v>124</v>
      </c>
      <c r="E129" s="58" t="s">
        <v>704</v>
      </c>
    </row>
    <row r="130" spans="1:5" x14ac:dyDescent="0.2">
      <c r="A130" s="54" t="s">
        <v>584</v>
      </c>
      <c r="B130" s="5" t="s">
        <v>94</v>
      </c>
      <c r="C130" s="5" t="s">
        <v>95</v>
      </c>
      <c r="D130" s="5" t="s">
        <v>74</v>
      </c>
      <c r="E130" s="58" t="s">
        <v>705</v>
      </c>
    </row>
    <row r="131" spans="1:5" x14ac:dyDescent="0.2">
      <c r="A131" s="54" t="s">
        <v>554</v>
      </c>
      <c r="B131" s="5" t="s">
        <v>94</v>
      </c>
      <c r="C131" s="5" t="s">
        <v>91</v>
      </c>
      <c r="D131" s="5" t="s">
        <v>107</v>
      </c>
      <c r="E131" s="58" t="s">
        <v>706</v>
      </c>
    </row>
    <row r="132" spans="1:5" x14ac:dyDescent="0.2">
      <c r="A132" s="54" t="s">
        <v>678</v>
      </c>
      <c r="B132" s="5" t="s">
        <v>94</v>
      </c>
      <c r="C132" s="5" t="s">
        <v>98</v>
      </c>
      <c r="D132" s="5" t="s">
        <v>132</v>
      </c>
      <c r="E132" s="58" t="s">
        <v>707</v>
      </c>
    </row>
    <row r="133" spans="1:5" x14ac:dyDescent="0.2">
      <c r="A133" s="54" t="s">
        <v>615</v>
      </c>
      <c r="B133" s="5" t="s">
        <v>94</v>
      </c>
      <c r="C133" s="5" t="s">
        <v>289</v>
      </c>
      <c r="D133" s="5" t="s">
        <v>325</v>
      </c>
      <c r="E133" s="58" t="s">
        <v>708</v>
      </c>
    </row>
    <row r="134" spans="1:5" x14ac:dyDescent="0.2">
      <c r="A134" s="54" t="s">
        <v>568</v>
      </c>
      <c r="B134" s="5" t="s">
        <v>94</v>
      </c>
      <c r="C134" s="5" t="s">
        <v>293</v>
      </c>
      <c r="D134" s="5" t="s">
        <v>361</v>
      </c>
      <c r="E134" s="58" t="s">
        <v>709</v>
      </c>
    </row>
    <row r="135" spans="1:5" x14ac:dyDescent="0.2">
      <c r="A135" s="54" t="s">
        <v>653</v>
      </c>
      <c r="B135" s="5" t="s">
        <v>94</v>
      </c>
      <c r="C135" s="5" t="s">
        <v>139</v>
      </c>
      <c r="D135" s="5" t="s">
        <v>74</v>
      </c>
      <c r="E135" s="58" t="s">
        <v>710</v>
      </c>
    </row>
    <row r="136" spans="1:5" x14ac:dyDescent="0.2">
      <c r="A136" s="54" t="s">
        <v>541</v>
      </c>
      <c r="B136" s="5" t="s">
        <v>94</v>
      </c>
      <c r="C136" s="5" t="s">
        <v>300</v>
      </c>
      <c r="D136" s="5" t="s">
        <v>188</v>
      </c>
      <c r="E136" s="58" t="s">
        <v>711</v>
      </c>
    </row>
    <row r="137" spans="1:5" x14ac:dyDescent="0.2">
      <c r="A137" s="54" t="s">
        <v>588</v>
      </c>
      <c r="B137" s="5" t="s">
        <v>94</v>
      </c>
      <c r="C137" s="5" t="s">
        <v>95</v>
      </c>
      <c r="D137" s="5" t="s">
        <v>225</v>
      </c>
      <c r="E137" s="58" t="s">
        <v>712</v>
      </c>
    </row>
    <row r="138" spans="1:5" x14ac:dyDescent="0.2">
      <c r="A138" s="54" t="s">
        <v>657</v>
      </c>
      <c r="B138" s="5" t="s">
        <v>94</v>
      </c>
      <c r="C138" s="5" t="s">
        <v>139</v>
      </c>
      <c r="D138" s="5" t="s">
        <v>325</v>
      </c>
      <c r="E138" s="58" t="s">
        <v>713</v>
      </c>
    </row>
    <row r="139" spans="1:5" x14ac:dyDescent="0.2">
      <c r="A139" s="54" t="s">
        <v>619</v>
      </c>
      <c r="B139" s="5" t="s">
        <v>94</v>
      </c>
      <c r="C139" s="5" t="s">
        <v>289</v>
      </c>
      <c r="D139" s="5" t="s">
        <v>54</v>
      </c>
      <c r="E139" s="58" t="s">
        <v>714</v>
      </c>
    </row>
    <row r="140" spans="1:5" x14ac:dyDescent="0.2">
      <c r="A140" s="54" t="s">
        <v>572</v>
      </c>
      <c r="B140" s="5" t="s">
        <v>94</v>
      </c>
      <c r="C140" s="5" t="s">
        <v>293</v>
      </c>
      <c r="D140" s="5" t="s">
        <v>52</v>
      </c>
      <c r="E140" s="58" t="s">
        <v>715</v>
      </c>
    </row>
    <row r="141" spans="1:5" x14ac:dyDescent="0.2">
      <c r="A141" s="54" t="s">
        <v>661</v>
      </c>
      <c r="B141" s="5" t="s">
        <v>94</v>
      </c>
      <c r="C141" s="5" t="s">
        <v>139</v>
      </c>
      <c r="D141" s="5" t="s">
        <v>644</v>
      </c>
      <c r="E141" s="58" t="s">
        <v>716</v>
      </c>
    </row>
    <row r="142" spans="1:5" x14ac:dyDescent="0.2">
      <c r="A142" s="54" t="s">
        <v>550</v>
      </c>
      <c r="B142" s="5" t="s">
        <v>94</v>
      </c>
      <c r="C142" s="5" t="s">
        <v>91</v>
      </c>
      <c r="D142" s="5" t="s">
        <v>189</v>
      </c>
      <c r="E142" s="58" t="s">
        <v>701</v>
      </c>
    </row>
    <row r="143" spans="1:5" x14ac:dyDescent="0.2">
      <c r="A143" s="54" t="s">
        <v>560</v>
      </c>
      <c r="B143" s="5" t="s">
        <v>94</v>
      </c>
      <c r="C143" s="5" t="s">
        <v>91</v>
      </c>
      <c r="D143" s="5" t="s">
        <v>189</v>
      </c>
      <c r="E143" s="58" t="s">
        <v>717</v>
      </c>
    </row>
    <row r="144" spans="1:5" x14ac:dyDescent="0.2">
      <c r="A144" s="54" t="s">
        <v>592</v>
      </c>
      <c r="B144" s="5" t="s">
        <v>94</v>
      </c>
      <c r="C144" s="5" t="s">
        <v>95</v>
      </c>
      <c r="D144" s="5" t="s">
        <v>108</v>
      </c>
      <c r="E144" s="58" t="s">
        <v>718</v>
      </c>
    </row>
    <row r="145" spans="1:5" x14ac:dyDescent="0.2">
      <c r="A145" s="54" t="s">
        <v>623</v>
      </c>
      <c r="B145" s="5" t="s">
        <v>94</v>
      </c>
      <c r="C145" s="5" t="s">
        <v>289</v>
      </c>
      <c r="D145" s="5" t="s">
        <v>249</v>
      </c>
      <c r="E145" s="58" t="s">
        <v>719</v>
      </c>
    </row>
    <row r="146" spans="1:5" x14ac:dyDescent="0.2">
      <c r="A146" s="54" t="s">
        <v>628</v>
      </c>
      <c r="B146" s="5" t="s">
        <v>94</v>
      </c>
      <c r="C146" s="5" t="s">
        <v>289</v>
      </c>
      <c r="D146" s="5" t="s">
        <v>108</v>
      </c>
      <c r="E146" s="58" t="s">
        <v>720</v>
      </c>
    </row>
    <row r="147" spans="1:5" x14ac:dyDescent="0.2">
      <c r="A147" s="54" t="s">
        <v>682</v>
      </c>
      <c r="B147" s="5" t="s">
        <v>94</v>
      </c>
      <c r="C147" s="5" t="s">
        <v>98</v>
      </c>
      <c r="D147" s="5" t="s">
        <v>225</v>
      </c>
      <c r="E147" s="58" t="s">
        <v>721</v>
      </c>
    </row>
    <row r="148" spans="1:5" x14ac:dyDescent="0.2">
      <c r="A148" s="54" t="s">
        <v>595</v>
      </c>
      <c r="B148" s="5" t="s">
        <v>94</v>
      </c>
      <c r="C148" s="5" t="s">
        <v>95</v>
      </c>
      <c r="D148" s="5" t="s">
        <v>122</v>
      </c>
      <c r="E148" s="58" t="s">
        <v>722</v>
      </c>
    </row>
    <row r="149" spans="1:5" x14ac:dyDescent="0.2">
      <c r="A149" s="54" t="s">
        <v>633</v>
      </c>
      <c r="B149" s="5" t="s">
        <v>94</v>
      </c>
      <c r="C149" s="5" t="s">
        <v>289</v>
      </c>
      <c r="D149" s="5" t="s">
        <v>52</v>
      </c>
      <c r="E149" s="58" t="s">
        <v>723</v>
      </c>
    </row>
    <row r="150" spans="1:5" x14ac:dyDescent="0.2">
      <c r="A150" s="54" t="s">
        <v>600</v>
      </c>
      <c r="B150" s="5" t="s">
        <v>94</v>
      </c>
      <c r="C150" s="5" t="s">
        <v>95</v>
      </c>
      <c r="D150" s="5" t="s">
        <v>107</v>
      </c>
      <c r="E150" s="58" t="s">
        <v>724</v>
      </c>
    </row>
    <row r="151" spans="1:5" x14ac:dyDescent="0.2">
      <c r="A151" s="54" t="s">
        <v>528</v>
      </c>
      <c r="B151" s="5" t="s">
        <v>94</v>
      </c>
      <c r="C151" s="5" t="s">
        <v>284</v>
      </c>
      <c r="D151" s="5" t="s">
        <v>39</v>
      </c>
      <c r="E151" s="58" t="s">
        <v>725</v>
      </c>
    </row>
    <row r="152" spans="1:5" x14ac:dyDescent="0.2">
      <c r="A152" s="54" t="s">
        <v>665</v>
      </c>
      <c r="B152" s="5" t="s">
        <v>94</v>
      </c>
      <c r="C152" s="5" t="s">
        <v>139</v>
      </c>
      <c r="D152" s="5" t="s">
        <v>108</v>
      </c>
      <c r="E152" s="58" t="s">
        <v>726</v>
      </c>
    </row>
    <row r="154" spans="1:5" ht="14.25" x14ac:dyDescent="0.2">
      <c r="A154" s="55"/>
      <c r="B154" s="56" t="s">
        <v>135</v>
      </c>
    </row>
    <row r="155" spans="1:5" ht="15" x14ac:dyDescent="0.2">
      <c r="A155" s="57" t="s">
        <v>0</v>
      </c>
      <c r="B155" s="57" t="s">
        <v>82</v>
      </c>
      <c r="C155" s="57" t="s">
        <v>83</v>
      </c>
      <c r="D155" s="57" t="s">
        <v>84</v>
      </c>
      <c r="E155" s="57" t="s">
        <v>24</v>
      </c>
    </row>
    <row r="156" spans="1:5" x14ac:dyDescent="0.2">
      <c r="A156" s="54" t="s">
        <v>584</v>
      </c>
      <c r="B156" s="5" t="s">
        <v>283</v>
      </c>
      <c r="C156" s="5" t="s">
        <v>95</v>
      </c>
      <c r="D156" s="5" t="s">
        <v>74</v>
      </c>
      <c r="E156" s="58" t="s">
        <v>727</v>
      </c>
    </row>
    <row r="157" spans="1:5" x14ac:dyDescent="0.2">
      <c r="A157" s="54" t="s">
        <v>653</v>
      </c>
      <c r="B157" s="5" t="s">
        <v>136</v>
      </c>
      <c r="C157" s="5" t="s">
        <v>139</v>
      </c>
      <c r="D157" s="5" t="s">
        <v>74</v>
      </c>
      <c r="E157" s="58" t="s">
        <v>728</v>
      </c>
    </row>
    <row r="158" spans="1:5" x14ac:dyDescent="0.2">
      <c r="A158" s="54" t="s">
        <v>657</v>
      </c>
      <c r="B158" s="5" t="s">
        <v>136</v>
      </c>
      <c r="C158" s="5" t="s">
        <v>139</v>
      </c>
      <c r="D158" s="5" t="s">
        <v>325</v>
      </c>
      <c r="E158" s="58" t="s">
        <v>729</v>
      </c>
    </row>
    <row r="159" spans="1:5" x14ac:dyDescent="0.2">
      <c r="A159" s="54" t="s">
        <v>640</v>
      </c>
      <c r="B159" s="5" t="s">
        <v>286</v>
      </c>
      <c r="C159" s="5" t="s">
        <v>289</v>
      </c>
      <c r="D159" s="5" t="s">
        <v>644</v>
      </c>
      <c r="E159" s="58" t="s">
        <v>730</v>
      </c>
    </row>
    <row r="160" spans="1:5" x14ac:dyDescent="0.2">
      <c r="A160" s="54" t="s">
        <v>645</v>
      </c>
      <c r="B160" s="5" t="s">
        <v>286</v>
      </c>
      <c r="C160" s="5" t="s">
        <v>289</v>
      </c>
      <c r="D160" s="5" t="s">
        <v>627</v>
      </c>
      <c r="E160" s="58" t="s">
        <v>731</v>
      </c>
    </row>
    <row r="161" spans="1:5" x14ac:dyDescent="0.2">
      <c r="A161" s="54" t="s">
        <v>649</v>
      </c>
      <c r="B161" s="5" t="s">
        <v>286</v>
      </c>
      <c r="C161" s="5" t="s">
        <v>289</v>
      </c>
      <c r="D161" s="5" t="s">
        <v>52</v>
      </c>
      <c r="E161" s="58" t="s">
        <v>732</v>
      </c>
    </row>
    <row r="162" spans="1:5" x14ac:dyDescent="0.2">
      <c r="A162" s="54" t="s">
        <v>686</v>
      </c>
      <c r="B162" s="5" t="s">
        <v>144</v>
      </c>
      <c r="C162" s="5" t="s">
        <v>98</v>
      </c>
      <c r="D162" s="5" t="s">
        <v>39</v>
      </c>
      <c r="E162" s="58" t="s">
        <v>733</v>
      </c>
    </row>
    <row r="163" spans="1:5" x14ac:dyDescent="0.2">
      <c r="A163" s="54" t="s">
        <v>607</v>
      </c>
      <c r="B163" s="5" t="s">
        <v>136</v>
      </c>
      <c r="C163" s="5" t="s">
        <v>95</v>
      </c>
      <c r="D163" s="5" t="s">
        <v>38</v>
      </c>
      <c r="E163" s="58" t="s">
        <v>734</v>
      </c>
    </row>
    <row r="164" spans="1:5" x14ac:dyDescent="0.2">
      <c r="A164" s="54" t="s">
        <v>545</v>
      </c>
      <c r="B164" s="5" t="s">
        <v>286</v>
      </c>
      <c r="C164" s="5" t="s">
        <v>300</v>
      </c>
      <c r="D164" s="5" t="s">
        <v>110</v>
      </c>
      <c r="E164" s="58" t="s">
        <v>735</v>
      </c>
    </row>
  </sheetData>
  <mergeCells count="24">
    <mergeCell ref="A44:L44"/>
    <mergeCell ref="A55:L55"/>
    <mergeCell ref="A68:L68"/>
    <mergeCell ref="A77:L77"/>
    <mergeCell ref="A17:L17"/>
    <mergeCell ref="A20:L20"/>
    <mergeCell ref="A23:L23"/>
    <mergeCell ref="A26:L26"/>
    <mergeCell ref="A32:L32"/>
    <mergeCell ref="A39:L39"/>
    <mergeCell ref="K3:K4"/>
    <mergeCell ref="L3:L4"/>
    <mergeCell ref="M3:M4"/>
    <mergeCell ref="A5:L5"/>
    <mergeCell ref="A10:L10"/>
    <mergeCell ref="A14:L1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14.7109375" style="5" bestFit="1" customWidth="1"/>
    <col min="3" max="3" width="7.7109375" style="5" bestFit="1" customWidth="1"/>
    <col min="4" max="4" width="7.28515625" style="5" customWidth="1"/>
    <col min="5" max="5" width="17.28515625" style="4" bestFit="1" customWidth="1"/>
    <col min="6" max="6" width="14.5703125" style="4" bestFit="1" customWidth="1"/>
    <col min="7" max="9" width="2.140625" style="5" bestFit="1" customWidth="1"/>
    <col min="10" max="10" width="5" style="5" bestFit="1" customWidth="1"/>
    <col min="11" max="13" width="2.140625" style="5" bestFit="1" customWidth="1"/>
    <col min="14" max="14" width="5" style="5" bestFit="1" customWidth="1"/>
    <col min="15" max="17" width="2.140625" style="5" bestFit="1" customWidth="1"/>
    <col min="18" max="18" width="5" style="5" bestFit="1" customWidth="1"/>
    <col min="19" max="19" width="6.140625" style="4" bestFit="1" customWidth="1"/>
    <col min="20" max="20" width="4.28515625" style="5" bestFit="1" customWidth="1"/>
    <col min="21" max="21" width="7.42578125" style="4" bestFit="1" customWidth="1"/>
    <col min="22" max="16384" width="9.140625" style="3"/>
  </cols>
  <sheetData>
    <row r="1" spans="1:21" s="2" customFormat="1" ht="29.1" customHeight="1" x14ac:dyDescent="0.2">
      <c r="A1" s="35" t="s">
        <v>504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 x14ac:dyDescent="0.2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41" t="s">
        <v>11</v>
      </c>
      <c r="T3" s="26" t="s">
        <v>7</v>
      </c>
      <c r="U3" s="27" t="s">
        <v>6</v>
      </c>
    </row>
    <row r="4" spans="1:21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42"/>
      <c r="T4" s="30"/>
      <c r="U4" s="31"/>
    </row>
    <row r="5" spans="1:21" s="5" customFormat="1" x14ac:dyDescent="0.2">
      <c r="A5" s="4"/>
      <c r="E5" s="4"/>
      <c r="F5" s="4"/>
      <c r="S5" s="4"/>
      <c r="U5" s="4"/>
    </row>
    <row r="6" spans="1:21" s="5" customFormat="1" ht="15" x14ac:dyDescent="0.2">
      <c r="A6" s="4"/>
      <c r="E6" s="34" t="s">
        <v>15</v>
      </c>
      <c r="F6" s="4"/>
      <c r="S6" s="4"/>
      <c r="U6" s="4"/>
    </row>
    <row r="7" spans="1:21" s="5" customFormat="1" ht="15" x14ac:dyDescent="0.2">
      <c r="A7" s="4"/>
      <c r="E7" s="34" t="s">
        <v>16</v>
      </c>
      <c r="F7" s="4"/>
      <c r="S7" s="4"/>
      <c r="U7" s="4"/>
    </row>
    <row r="8" spans="1:21" ht="15" x14ac:dyDescent="0.2">
      <c r="E8" s="34" t="s">
        <v>17</v>
      </c>
    </row>
    <row r="9" spans="1:21" x14ac:dyDescent="0.2">
      <c r="E9" s="4" t="s">
        <v>18</v>
      </c>
    </row>
    <row r="10" spans="1:21" x14ac:dyDescent="0.2">
      <c r="E10" s="4" t="s">
        <v>19</v>
      </c>
    </row>
    <row r="11" spans="1:21" x14ac:dyDescent="0.2">
      <c r="E11" s="4" t="s">
        <v>20</v>
      </c>
    </row>
    <row r="14" spans="1:21" ht="18" x14ac:dyDescent="0.25">
      <c r="A14" s="43" t="s">
        <v>21</v>
      </c>
      <c r="B14" s="44"/>
    </row>
  </sheetData>
  <mergeCells count="13"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14.7109375" style="5" bestFit="1" customWidth="1"/>
    <col min="3" max="3" width="7.7109375" style="5" bestFit="1" customWidth="1"/>
    <col min="4" max="4" width="7.28515625" style="5" customWidth="1"/>
    <col min="5" max="5" width="17.28515625" style="4" bestFit="1" customWidth="1"/>
    <col min="6" max="6" width="14.5703125" style="4" bestFit="1" customWidth="1"/>
    <col min="7" max="9" width="2.140625" style="5" bestFit="1" customWidth="1"/>
    <col min="10" max="10" width="5" style="5" bestFit="1" customWidth="1"/>
    <col min="11" max="13" width="2.140625" style="5" bestFit="1" customWidth="1"/>
    <col min="14" max="14" width="5" style="5" bestFit="1" customWidth="1"/>
    <col min="15" max="17" width="2.140625" style="5" bestFit="1" customWidth="1"/>
    <col min="18" max="18" width="5" style="5" bestFit="1" customWidth="1"/>
    <col min="19" max="19" width="6.140625" style="4" bestFit="1" customWidth="1"/>
    <col min="20" max="20" width="4.28515625" style="5" bestFit="1" customWidth="1"/>
    <col min="21" max="21" width="7.42578125" style="4" bestFit="1" customWidth="1"/>
    <col min="22" max="16384" width="9.140625" style="3"/>
  </cols>
  <sheetData>
    <row r="1" spans="1:21" s="2" customFormat="1" ht="29.1" customHeight="1" x14ac:dyDescent="0.2">
      <c r="A1" s="35" t="s">
        <v>503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 x14ac:dyDescent="0.2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41" t="s">
        <v>11</v>
      </c>
      <c r="T3" s="26" t="s">
        <v>7</v>
      </c>
      <c r="U3" s="27" t="s">
        <v>6</v>
      </c>
    </row>
    <row r="4" spans="1:21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42"/>
      <c r="T4" s="30"/>
      <c r="U4" s="31"/>
    </row>
    <row r="5" spans="1:21" s="5" customFormat="1" x14ac:dyDescent="0.2">
      <c r="A5" s="4"/>
      <c r="E5" s="4"/>
      <c r="F5" s="4"/>
      <c r="S5" s="4"/>
      <c r="U5" s="4"/>
    </row>
    <row r="6" spans="1:21" s="5" customFormat="1" ht="15" x14ac:dyDescent="0.2">
      <c r="A6" s="4"/>
      <c r="E6" s="34" t="s">
        <v>15</v>
      </c>
      <c r="F6" s="4"/>
      <c r="S6" s="4"/>
      <c r="U6" s="4"/>
    </row>
    <row r="7" spans="1:21" s="5" customFormat="1" ht="15" x14ac:dyDescent="0.2">
      <c r="A7" s="4"/>
      <c r="E7" s="34" t="s">
        <v>16</v>
      </c>
      <c r="F7" s="4"/>
      <c r="S7" s="4"/>
      <c r="U7" s="4"/>
    </row>
    <row r="8" spans="1:21" ht="15" x14ac:dyDescent="0.2">
      <c r="E8" s="34" t="s">
        <v>17</v>
      </c>
    </row>
    <row r="9" spans="1:21" x14ac:dyDescent="0.2">
      <c r="E9" s="4" t="s">
        <v>18</v>
      </c>
    </row>
    <row r="10" spans="1:21" x14ac:dyDescent="0.2">
      <c r="E10" s="4" t="s">
        <v>19</v>
      </c>
    </row>
    <row r="11" spans="1:21" x14ac:dyDescent="0.2">
      <c r="E11" s="4" t="s">
        <v>20</v>
      </c>
    </row>
    <row r="14" spans="1:21" ht="18" x14ac:dyDescent="0.25">
      <c r="A14" s="43" t="s">
        <v>21</v>
      </c>
      <c r="B14" s="44"/>
    </row>
  </sheetData>
  <mergeCells count="13"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26.85546875" style="5" bestFit="1" customWidth="1"/>
    <col min="3" max="3" width="7.7109375" style="5" bestFit="1" customWidth="1"/>
    <col min="4" max="4" width="6.85546875" style="5" bestFit="1" customWidth="1"/>
    <col min="5" max="5" width="17.28515625" style="4" bestFit="1" customWidth="1"/>
    <col min="6" max="6" width="31.7109375" style="4" bestFit="1" customWidth="1"/>
    <col min="7" max="9" width="5.5703125" style="5" bestFit="1" customWidth="1"/>
    <col min="10" max="10" width="5" style="5" bestFit="1" customWidth="1"/>
    <col min="11" max="13" width="5.5703125" style="5" bestFit="1" customWidth="1"/>
    <col min="14" max="14" width="5" style="5" bestFit="1" customWidth="1"/>
    <col min="15" max="17" width="5.5703125" style="5" bestFit="1" customWidth="1"/>
    <col min="18" max="18" width="5" style="5" bestFit="1" customWidth="1"/>
    <col min="19" max="19" width="6.140625" style="4" bestFit="1" customWidth="1"/>
    <col min="20" max="20" width="8.5703125" style="5" bestFit="1" customWidth="1"/>
    <col min="21" max="21" width="7.42578125" style="4" bestFit="1" customWidth="1"/>
    <col min="22" max="16384" width="9.140625" style="3"/>
  </cols>
  <sheetData>
    <row r="1" spans="1:21" s="2" customFormat="1" ht="29.1" customHeight="1" x14ac:dyDescent="0.2">
      <c r="A1" s="35" t="s">
        <v>485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 x14ac:dyDescent="0.2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41" t="s">
        <v>11</v>
      </c>
      <c r="T3" s="26" t="s">
        <v>7</v>
      </c>
      <c r="U3" s="27" t="s">
        <v>6</v>
      </c>
    </row>
    <row r="4" spans="1:21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42"/>
      <c r="T4" s="30"/>
      <c r="U4" s="31"/>
    </row>
    <row r="5" spans="1:21" s="5" customFormat="1" ht="15" x14ac:dyDescent="0.2">
      <c r="A5" s="45" t="s">
        <v>168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"/>
    </row>
    <row r="6" spans="1:21" s="5" customFormat="1" x14ac:dyDescent="0.2">
      <c r="A6" s="46" t="s">
        <v>487</v>
      </c>
      <c r="B6" s="47" t="s">
        <v>488</v>
      </c>
      <c r="C6" s="47" t="s">
        <v>489</v>
      </c>
      <c r="D6" s="47" t="str">
        <f>"1,0306"</f>
        <v>1,0306</v>
      </c>
      <c r="E6" s="46" t="s">
        <v>30</v>
      </c>
      <c r="F6" s="46" t="s">
        <v>106</v>
      </c>
      <c r="G6" s="47" t="s">
        <v>112</v>
      </c>
      <c r="H6" s="47" t="s">
        <v>213</v>
      </c>
      <c r="I6" s="47" t="s">
        <v>49</v>
      </c>
      <c r="J6" s="48"/>
      <c r="K6" s="47" t="s">
        <v>111</v>
      </c>
      <c r="L6" s="47" t="s">
        <v>32</v>
      </c>
      <c r="M6" s="48" t="s">
        <v>382</v>
      </c>
      <c r="N6" s="48"/>
      <c r="O6" s="47" t="s">
        <v>212</v>
      </c>
      <c r="P6" s="47" t="s">
        <v>49</v>
      </c>
      <c r="Q6" s="47" t="s">
        <v>189</v>
      </c>
      <c r="R6" s="48"/>
      <c r="S6" s="46" t="str">
        <f>"340,0"</f>
        <v>340,0</v>
      </c>
      <c r="T6" s="47" t="str">
        <f>"365,4714"</f>
        <v>365,4714</v>
      </c>
      <c r="U6" s="46"/>
    </row>
    <row r="7" spans="1:21" s="5" customFormat="1" x14ac:dyDescent="0.2">
      <c r="A7" s="4"/>
      <c r="E7" s="4"/>
      <c r="F7" s="4"/>
      <c r="S7" s="4"/>
      <c r="U7" s="4"/>
    </row>
    <row r="8" spans="1:21" ht="15" x14ac:dyDescent="0.2">
      <c r="A8" s="50" t="s">
        <v>55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spans="1:21" x14ac:dyDescent="0.2">
      <c r="A9" s="46" t="s">
        <v>491</v>
      </c>
      <c r="B9" s="47" t="s">
        <v>492</v>
      </c>
      <c r="C9" s="47" t="s">
        <v>493</v>
      </c>
      <c r="D9" s="47" t="str">
        <f>"0,6387"</f>
        <v>0,6387</v>
      </c>
      <c r="E9" s="46" t="s">
        <v>30</v>
      </c>
      <c r="F9" s="46" t="s">
        <v>494</v>
      </c>
      <c r="G9" s="47" t="s">
        <v>108</v>
      </c>
      <c r="H9" s="47" t="s">
        <v>54</v>
      </c>
      <c r="I9" s="48" t="s">
        <v>64</v>
      </c>
      <c r="J9" s="48"/>
      <c r="K9" s="47" t="s">
        <v>39</v>
      </c>
      <c r="L9" s="47" t="s">
        <v>40</v>
      </c>
      <c r="M9" s="48" t="s">
        <v>46</v>
      </c>
      <c r="N9" s="48"/>
      <c r="O9" s="47" t="s">
        <v>108</v>
      </c>
      <c r="P9" s="47" t="s">
        <v>225</v>
      </c>
      <c r="Q9" s="48"/>
      <c r="R9" s="48"/>
      <c r="S9" s="46" t="str">
        <f>"430,0"</f>
        <v>430,0</v>
      </c>
      <c r="T9" s="47" t="str">
        <f>"398,2295"</f>
        <v>398,2295</v>
      </c>
      <c r="U9" s="46"/>
    </row>
    <row r="11" spans="1:21" ht="15" x14ac:dyDescent="0.2">
      <c r="A11" s="50" t="s">
        <v>219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1:21" x14ac:dyDescent="0.2">
      <c r="A12" s="46" t="s">
        <v>496</v>
      </c>
      <c r="B12" s="47" t="s">
        <v>497</v>
      </c>
      <c r="C12" s="47" t="s">
        <v>498</v>
      </c>
      <c r="D12" s="47" t="str">
        <f>"0,5943"</f>
        <v>0,5943</v>
      </c>
      <c r="E12" s="46" t="s">
        <v>30</v>
      </c>
      <c r="F12" s="46" t="s">
        <v>106</v>
      </c>
      <c r="G12" s="48" t="s">
        <v>74</v>
      </c>
      <c r="H12" s="47" t="s">
        <v>74</v>
      </c>
      <c r="I12" s="48" t="s">
        <v>218</v>
      </c>
      <c r="J12" s="48"/>
      <c r="K12" s="47" t="s">
        <v>48</v>
      </c>
      <c r="L12" s="48" t="s">
        <v>189</v>
      </c>
      <c r="M12" s="48" t="s">
        <v>107</v>
      </c>
      <c r="N12" s="48"/>
      <c r="O12" s="48" t="s">
        <v>64</v>
      </c>
      <c r="P12" s="47" t="s">
        <v>64</v>
      </c>
      <c r="Q12" s="47" t="s">
        <v>218</v>
      </c>
      <c r="R12" s="48"/>
      <c r="S12" s="46" t="str">
        <f>"490,0"</f>
        <v>490,0</v>
      </c>
      <c r="T12" s="47" t="str">
        <f>"291,2070"</f>
        <v>291,2070</v>
      </c>
      <c r="U12" s="46"/>
    </row>
    <row r="14" spans="1:21" ht="15" x14ac:dyDescent="0.2">
      <c r="E14" s="34" t="s">
        <v>15</v>
      </c>
    </row>
    <row r="15" spans="1:21" ht="15" x14ac:dyDescent="0.2">
      <c r="E15" s="34" t="s">
        <v>16</v>
      </c>
    </row>
    <row r="16" spans="1:21" ht="15" x14ac:dyDescent="0.2">
      <c r="E16" s="34" t="s">
        <v>17</v>
      </c>
    </row>
    <row r="17" spans="1:5" x14ac:dyDescent="0.2">
      <c r="E17" s="4" t="s">
        <v>18</v>
      </c>
    </row>
    <row r="18" spans="1:5" x14ac:dyDescent="0.2">
      <c r="E18" s="4" t="s">
        <v>19</v>
      </c>
    </row>
    <row r="19" spans="1:5" x14ac:dyDescent="0.2">
      <c r="E19" s="4" t="s">
        <v>20</v>
      </c>
    </row>
    <row r="22" spans="1:5" ht="18" x14ac:dyDescent="0.25">
      <c r="A22" s="43" t="s">
        <v>21</v>
      </c>
      <c r="B22" s="44"/>
    </row>
    <row r="23" spans="1:5" ht="15" x14ac:dyDescent="0.2">
      <c r="A23" s="52" t="s">
        <v>80</v>
      </c>
      <c r="B23" s="53"/>
    </row>
    <row r="24" spans="1:5" ht="14.25" x14ac:dyDescent="0.2">
      <c r="A24" s="55"/>
      <c r="B24" s="56" t="s">
        <v>135</v>
      </c>
    </row>
    <row r="25" spans="1:5" ht="15" x14ac:dyDescent="0.2">
      <c r="A25" s="57" t="s">
        <v>0</v>
      </c>
      <c r="B25" s="57" t="s">
        <v>82</v>
      </c>
      <c r="C25" s="57" t="s">
        <v>83</v>
      </c>
      <c r="D25" s="57" t="s">
        <v>84</v>
      </c>
      <c r="E25" s="57" t="s">
        <v>24</v>
      </c>
    </row>
    <row r="26" spans="1:5" x14ac:dyDescent="0.2">
      <c r="A26" s="54" t="s">
        <v>486</v>
      </c>
      <c r="B26" s="5" t="s">
        <v>286</v>
      </c>
      <c r="C26" s="5" t="s">
        <v>284</v>
      </c>
      <c r="D26" s="5" t="s">
        <v>480</v>
      </c>
      <c r="E26" s="58" t="s">
        <v>499</v>
      </c>
    </row>
    <row r="29" spans="1:5" ht="15" x14ac:dyDescent="0.2">
      <c r="A29" s="52" t="s">
        <v>89</v>
      </c>
      <c r="B29" s="53"/>
    </row>
    <row r="30" spans="1:5" ht="14.25" x14ac:dyDescent="0.2">
      <c r="A30" s="55"/>
      <c r="B30" s="56" t="s">
        <v>162</v>
      </c>
    </row>
    <row r="31" spans="1:5" ht="15" x14ac:dyDescent="0.2">
      <c r="A31" s="57" t="s">
        <v>0</v>
      </c>
      <c r="B31" s="57" t="s">
        <v>82</v>
      </c>
      <c r="C31" s="57" t="s">
        <v>83</v>
      </c>
      <c r="D31" s="57" t="s">
        <v>84</v>
      </c>
      <c r="E31" s="57" t="s">
        <v>24</v>
      </c>
    </row>
    <row r="32" spans="1:5" x14ac:dyDescent="0.2">
      <c r="A32" s="54" t="s">
        <v>495</v>
      </c>
      <c r="B32" s="5" t="s">
        <v>163</v>
      </c>
      <c r="C32" s="5" t="s">
        <v>289</v>
      </c>
      <c r="D32" s="5" t="s">
        <v>478</v>
      </c>
      <c r="E32" s="58" t="s">
        <v>500</v>
      </c>
    </row>
    <row r="34" spans="1:5" ht="14.25" x14ac:dyDescent="0.2">
      <c r="A34" s="55"/>
      <c r="B34" s="56" t="s">
        <v>135</v>
      </c>
    </row>
    <row r="35" spans="1:5" ht="15" x14ac:dyDescent="0.2">
      <c r="A35" s="57" t="s">
        <v>0</v>
      </c>
      <c r="B35" s="57" t="s">
        <v>82</v>
      </c>
      <c r="C35" s="57" t="s">
        <v>83</v>
      </c>
      <c r="D35" s="57" t="s">
        <v>84</v>
      </c>
      <c r="E35" s="57" t="s">
        <v>24</v>
      </c>
    </row>
    <row r="36" spans="1:5" x14ac:dyDescent="0.2">
      <c r="A36" s="54" t="s">
        <v>490</v>
      </c>
      <c r="B36" s="5" t="s">
        <v>144</v>
      </c>
      <c r="C36" s="5" t="s">
        <v>95</v>
      </c>
      <c r="D36" s="5" t="s">
        <v>501</v>
      </c>
      <c r="E36" s="58" t="s">
        <v>502</v>
      </c>
    </row>
  </sheetData>
  <mergeCells count="16">
    <mergeCell ref="S3:S4"/>
    <mergeCell ref="T3:T4"/>
    <mergeCell ref="U3:U4"/>
    <mergeCell ref="A5:T5"/>
    <mergeCell ref="A8:T8"/>
    <mergeCell ref="A11:T11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26.85546875" style="5" bestFit="1" customWidth="1"/>
    <col min="3" max="3" width="7.7109375" style="5" bestFit="1" customWidth="1"/>
    <col min="4" max="4" width="6.85546875" style="5" bestFit="1" customWidth="1"/>
    <col min="5" max="5" width="17.28515625" style="4" bestFit="1" customWidth="1"/>
    <col min="6" max="6" width="27.42578125" style="4" bestFit="1" customWidth="1"/>
    <col min="7" max="9" width="5.5703125" style="5" bestFit="1" customWidth="1"/>
    <col min="10" max="10" width="5" style="5" bestFit="1" customWidth="1"/>
    <col min="11" max="13" width="5.5703125" style="5" bestFit="1" customWidth="1"/>
    <col min="14" max="14" width="5" style="5" bestFit="1" customWidth="1"/>
    <col min="15" max="17" width="5.5703125" style="5" bestFit="1" customWidth="1"/>
    <col min="18" max="18" width="5" style="5" bestFit="1" customWidth="1"/>
    <col min="19" max="19" width="6.140625" style="4" bestFit="1" customWidth="1"/>
    <col min="20" max="20" width="8.5703125" style="5" bestFit="1" customWidth="1"/>
    <col min="21" max="21" width="7.42578125" style="4" bestFit="1" customWidth="1"/>
    <col min="22" max="16384" width="9.140625" style="3"/>
  </cols>
  <sheetData>
    <row r="1" spans="1:21" s="2" customFormat="1" ht="29.1" customHeight="1" x14ac:dyDescent="0.2">
      <c r="A1" s="35" t="s">
        <v>375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 x14ac:dyDescent="0.2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41" t="s">
        <v>11</v>
      </c>
      <c r="T3" s="26" t="s">
        <v>7</v>
      </c>
      <c r="U3" s="27" t="s">
        <v>6</v>
      </c>
    </row>
    <row r="4" spans="1:21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42"/>
      <c r="T4" s="30"/>
      <c r="U4" s="31"/>
    </row>
    <row r="5" spans="1:21" s="5" customFormat="1" ht="15" x14ac:dyDescent="0.2">
      <c r="A5" s="45" t="s">
        <v>376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"/>
    </row>
    <row r="6" spans="1:21" s="5" customFormat="1" x14ac:dyDescent="0.2">
      <c r="A6" s="46" t="s">
        <v>378</v>
      </c>
      <c r="B6" s="47" t="s">
        <v>379</v>
      </c>
      <c r="C6" s="47" t="s">
        <v>380</v>
      </c>
      <c r="D6" s="47" t="str">
        <f>"1,2058"</f>
        <v>1,2058</v>
      </c>
      <c r="E6" s="46" t="s">
        <v>30</v>
      </c>
      <c r="F6" s="46" t="s">
        <v>31</v>
      </c>
      <c r="G6" s="48" t="s">
        <v>381</v>
      </c>
      <c r="H6" s="47" t="s">
        <v>32</v>
      </c>
      <c r="I6" s="47" t="s">
        <v>33</v>
      </c>
      <c r="J6" s="48"/>
      <c r="K6" s="47" t="s">
        <v>36</v>
      </c>
      <c r="L6" s="48" t="s">
        <v>37</v>
      </c>
      <c r="M6" s="47" t="s">
        <v>37</v>
      </c>
      <c r="N6" s="48"/>
      <c r="O6" s="47" t="s">
        <v>381</v>
      </c>
      <c r="P6" s="47" t="s">
        <v>382</v>
      </c>
      <c r="Q6" s="48" t="s">
        <v>34</v>
      </c>
      <c r="R6" s="48"/>
      <c r="S6" s="46" t="str">
        <f>"205,0"</f>
        <v>205,0</v>
      </c>
      <c r="T6" s="47" t="str">
        <f>"247,1890"</f>
        <v>247,1890</v>
      </c>
      <c r="U6" s="46"/>
    </row>
    <row r="7" spans="1:21" s="5" customFormat="1" x14ac:dyDescent="0.2">
      <c r="A7" s="4"/>
      <c r="E7" s="4"/>
      <c r="F7" s="4"/>
      <c r="S7" s="4"/>
      <c r="U7" s="4"/>
    </row>
    <row r="8" spans="1:21" ht="15" x14ac:dyDescent="0.2">
      <c r="A8" s="50" t="s">
        <v>383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spans="1:21" x14ac:dyDescent="0.2">
      <c r="A9" s="61" t="s">
        <v>385</v>
      </c>
      <c r="B9" s="59" t="s">
        <v>386</v>
      </c>
      <c r="C9" s="59" t="s">
        <v>387</v>
      </c>
      <c r="D9" s="59" t="str">
        <f>"1,1513"</f>
        <v>1,1513</v>
      </c>
      <c r="E9" s="61" t="s">
        <v>30</v>
      </c>
      <c r="F9" s="61" t="s">
        <v>31</v>
      </c>
      <c r="G9" s="59" t="s">
        <v>109</v>
      </c>
      <c r="H9" s="59" t="s">
        <v>111</v>
      </c>
      <c r="I9" s="62" t="s">
        <v>382</v>
      </c>
      <c r="J9" s="62"/>
      <c r="K9" s="59" t="s">
        <v>388</v>
      </c>
      <c r="L9" s="59" t="s">
        <v>389</v>
      </c>
      <c r="M9" s="62" t="s">
        <v>35</v>
      </c>
      <c r="N9" s="62"/>
      <c r="O9" s="59" t="s">
        <v>109</v>
      </c>
      <c r="P9" s="59" t="s">
        <v>111</v>
      </c>
      <c r="Q9" s="59" t="s">
        <v>33</v>
      </c>
      <c r="R9" s="62"/>
      <c r="S9" s="61" t="str">
        <f>"187,5"</f>
        <v>187,5</v>
      </c>
      <c r="T9" s="59" t="str">
        <f>"215,8687"</f>
        <v>215,8687</v>
      </c>
      <c r="U9" s="61"/>
    </row>
    <row r="10" spans="1:21" x14ac:dyDescent="0.2">
      <c r="A10" s="63" t="s">
        <v>391</v>
      </c>
      <c r="B10" s="60" t="s">
        <v>392</v>
      </c>
      <c r="C10" s="60" t="s">
        <v>393</v>
      </c>
      <c r="D10" s="60" t="str">
        <f>"1,1352"</f>
        <v>1,1352</v>
      </c>
      <c r="E10" s="63" t="s">
        <v>30</v>
      </c>
      <c r="F10" s="63" t="s">
        <v>31</v>
      </c>
      <c r="G10" s="60" t="s">
        <v>394</v>
      </c>
      <c r="H10" s="64" t="s">
        <v>381</v>
      </c>
      <c r="I10" s="64" t="s">
        <v>381</v>
      </c>
      <c r="J10" s="64"/>
      <c r="K10" s="60" t="s">
        <v>395</v>
      </c>
      <c r="L10" s="60" t="s">
        <v>36</v>
      </c>
      <c r="M10" s="60" t="s">
        <v>37</v>
      </c>
      <c r="N10" s="64"/>
      <c r="O10" s="60" t="s">
        <v>50</v>
      </c>
      <c r="P10" s="60" t="s">
        <v>173</v>
      </c>
      <c r="Q10" s="64" t="s">
        <v>396</v>
      </c>
      <c r="R10" s="64"/>
      <c r="S10" s="63" t="str">
        <f>"205,0"</f>
        <v>205,0</v>
      </c>
      <c r="T10" s="60" t="str">
        <f>"232,7160"</f>
        <v>232,7160</v>
      </c>
      <c r="U10" s="63"/>
    </row>
    <row r="12" spans="1:21" ht="15" x14ac:dyDescent="0.2">
      <c r="A12" s="50" t="s">
        <v>25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21" x14ac:dyDescent="0.2">
      <c r="A13" s="46" t="s">
        <v>398</v>
      </c>
      <c r="B13" s="47" t="s">
        <v>399</v>
      </c>
      <c r="C13" s="47" t="s">
        <v>400</v>
      </c>
      <c r="D13" s="47" t="str">
        <f>"1,0701"</f>
        <v>1,0701</v>
      </c>
      <c r="E13" s="46" t="s">
        <v>30</v>
      </c>
      <c r="F13" s="46" t="s">
        <v>31</v>
      </c>
      <c r="G13" s="48" t="s">
        <v>111</v>
      </c>
      <c r="H13" s="48" t="s">
        <v>111</v>
      </c>
      <c r="I13" s="47" t="s">
        <v>33</v>
      </c>
      <c r="J13" s="48"/>
      <c r="K13" s="47" t="s">
        <v>401</v>
      </c>
      <c r="L13" s="47" t="s">
        <v>109</v>
      </c>
      <c r="M13" s="48" t="s">
        <v>110</v>
      </c>
      <c r="N13" s="48"/>
      <c r="O13" s="47" t="s">
        <v>39</v>
      </c>
      <c r="P13" s="47" t="s">
        <v>40</v>
      </c>
      <c r="Q13" s="48" t="s">
        <v>46</v>
      </c>
      <c r="R13" s="48"/>
      <c r="S13" s="46" t="str">
        <f>"245,0"</f>
        <v>245,0</v>
      </c>
      <c r="T13" s="47" t="str">
        <f>"262,1745"</f>
        <v>262,1745</v>
      </c>
      <c r="U13" s="46"/>
    </row>
    <row r="15" spans="1:21" ht="15" x14ac:dyDescent="0.2">
      <c r="A15" s="50" t="s">
        <v>168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</row>
    <row r="16" spans="1:21" x14ac:dyDescent="0.2">
      <c r="A16" s="46" t="s">
        <v>403</v>
      </c>
      <c r="B16" s="47" t="s">
        <v>404</v>
      </c>
      <c r="C16" s="47" t="s">
        <v>405</v>
      </c>
      <c r="D16" s="47" t="str">
        <f>"1,0220"</f>
        <v>1,0220</v>
      </c>
      <c r="E16" s="46" t="s">
        <v>30</v>
      </c>
      <c r="F16" s="46" t="s">
        <v>31</v>
      </c>
      <c r="G16" s="47" t="s">
        <v>111</v>
      </c>
      <c r="H16" s="47" t="s">
        <v>33</v>
      </c>
      <c r="I16" s="48" t="s">
        <v>50</v>
      </c>
      <c r="J16" s="48"/>
      <c r="K16" s="47" t="s">
        <v>406</v>
      </c>
      <c r="L16" s="47" t="s">
        <v>35</v>
      </c>
      <c r="M16" s="47" t="s">
        <v>36</v>
      </c>
      <c r="N16" s="48"/>
      <c r="O16" s="47" t="s">
        <v>50</v>
      </c>
      <c r="P16" s="47" t="s">
        <v>38</v>
      </c>
      <c r="Q16" s="47" t="s">
        <v>407</v>
      </c>
      <c r="R16" s="48"/>
      <c r="S16" s="46" t="str">
        <f>"227,5"</f>
        <v>227,5</v>
      </c>
      <c r="T16" s="47" t="str">
        <f>"232,5050"</f>
        <v>232,5050</v>
      </c>
      <c r="U16" s="46"/>
    </row>
    <row r="18" spans="1:21" ht="15" x14ac:dyDescent="0.2">
      <c r="A18" s="50" t="s">
        <v>183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</row>
    <row r="19" spans="1:21" x14ac:dyDescent="0.2">
      <c r="A19" s="61" t="s">
        <v>409</v>
      </c>
      <c r="B19" s="59" t="s">
        <v>410</v>
      </c>
      <c r="C19" s="59" t="s">
        <v>411</v>
      </c>
      <c r="D19" s="59" t="str">
        <f>"0,9511"</f>
        <v>0,9511</v>
      </c>
      <c r="E19" s="61" t="s">
        <v>30</v>
      </c>
      <c r="F19" s="61" t="s">
        <v>31</v>
      </c>
      <c r="G19" s="59" t="s">
        <v>111</v>
      </c>
      <c r="H19" s="62" t="s">
        <v>33</v>
      </c>
      <c r="I19" s="62" t="s">
        <v>33</v>
      </c>
      <c r="J19" s="62"/>
      <c r="K19" s="59" t="s">
        <v>35</v>
      </c>
      <c r="L19" s="59" t="s">
        <v>36</v>
      </c>
      <c r="M19" s="62" t="s">
        <v>412</v>
      </c>
      <c r="N19" s="62"/>
      <c r="O19" s="59" t="s">
        <v>33</v>
      </c>
      <c r="P19" s="59" t="s">
        <v>173</v>
      </c>
      <c r="Q19" s="62" t="s">
        <v>38</v>
      </c>
      <c r="R19" s="62"/>
      <c r="S19" s="61" t="str">
        <f>"205,0"</f>
        <v>205,0</v>
      </c>
      <c r="T19" s="59" t="str">
        <f>"194,9755"</f>
        <v>194,9755</v>
      </c>
      <c r="U19" s="61"/>
    </row>
    <row r="20" spans="1:21" x14ac:dyDescent="0.2">
      <c r="A20" s="63" t="s">
        <v>414</v>
      </c>
      <c r="B20" s="60" t="s">
        <v>415</v>
      </c>
      <c r="C20" s="60" t="s">
        <v>416</v>
      </c>
      <c r="D20" s="60" t="str">
        <f>"0,9589"</f>
        <v>0,9589</v>
      </c>
      <c r="E20" s="63" t="s">
        <v>30</v>
      </c>
      <c r="F20" s="63" t="s">
        <v>31</v>
      </c>
      <c r="G20" s="60" t="s">
        <v>388</v>
      </c>
      <c r="H20" s="64" t="s">
        <v>406</v>
      </c>
      <c r="I20" s="64" t="s">
        <v>406</v>
      </c>
      <c r="J20" s="64"/>
      <c r="K20" s="60" t="s">
        <v>417</v>
      </c>
      <c r="L20" s="60" t="s">
        <v>418</v>
      </c>
      <c r="M20" s="64" t="s">
        <v>388</v>
      </c>
      <c r="N20" s="64"/>
      <c r="O20" s="60" t="s">
        <v>412</v>
      </c>
      <c r="P20" s="60" t="s">
        <v>401</v>
      </c>
      <c r="Q20" s="60" t="s">
        <v>109</v>
      </c>
      <c r="R20" s="64"/>
      <c r="S20" s="63" t="str">
        <f>"117,5"</f>
        <v>117,5</v>
      </c>
      <c r="T20" s="60" t="str">
        <f>"113,8034"</f>
        <v>113,8034</v>
      </c>
      <c r="U20" s="63"/>
    </row>
    <row r="22" spans="1:21" ht="15" x14ac:dyDescent="0.2">
      <c r="A22" s="50" t="s">
        <v>183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</row>
    <row r="23" spans="1:21" x14ac:dyDescent="0.2">
      <c r="A23" s="46" t="s">
        <v>420</v>
      </c>
      <c r="B23" s="47" t="s">
        <v>421</v>
      </c>
      <c r="C23" s="47" t="s">
        <v>422</v>
      </c>
      <c r="D23" s="47" t="str">
        <f>"0,8288"</f>
        <v>0,8288</v>
      </c>
      <c r="E23" s="46" t="s">
        <v>30</v>
      </c>
      <c r="F23" s="46" t="s">
        <v>423</v>
      </c>
      <c r="G23" s="47" t="s">
        <v>39</v>
      </c>
      <c r="H23" s="47" t="s">
        <v>46</v>
      </c>
      <c r="I23" s="48" t="s">
        <v>48</v>
      </c>
      <c r="J23" s="48"/>
      <c r="K23" s="47" t="s">
        <v>111</v>
      </c>
      <c r="L23" s="47" t="s">
        <v>382</v>
      </c>
      <c r="M23" s="47" t="s">
        <v>33</v>
      </c>
      <c r="N23" s="48"/>
      <c r="O23" s="47" t="s">
        <v>212</v>
      </c>
      <c r="P23" s="47" t="s">
        <v>48</v>
      </c>
      <c r="Q23" s="47" t="s">
        <v>189</v>
      </c>
      <c r="R23" s="48"/>
      <c r="S23" s="46" t="str">
        <f>"325,0"</f>
        <v>325,0</v>
      </c>
      <c r="T23" s="47" t="str">
        <f>"269,3762"</f>
        <v>269,3762</v>
      </c>
      <c r="U23" s="46"/>
    </row>
    <row r="25" spans="1:21" ht="15" x14ac:dyDescent="0.2">
      <c r="A25" s="50" t="s">
        <v>41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</row>
    <row r="26" spans="1:21" x14ac:dyDescent="0.2">
      <c r="A26" s="61" t="s">
        <v>425</v>
      </c>
      <c r="B26" s="59" t="s">
        <v>426</v>
      </c>
      <c r="C26" s="59" t="s">
        <v>427</v>
      </c>
      <c r="D26" s="59" t="str">
        <f>"0,7447"</f>
        <v>0,7447</v>
      </c>
      <c r="E26" s="61" t="s">
        <v>30</v>
      </c>
      <c r="F26" s="61" t="s">
        <v>423</v>
      </c>
      <c r="G26" s="59" t="s">
        <v>46</v>
      </c>
      <c r="H26" s="59" t="s">
        <v>212</v>
      </c>
      <c r="I26" s="59" t="s">
        <v>49</v>
      </c>
      <c r="J26" s="62"/>
      <c r="K26" s="59" t="s">
        <v>38</v>
      </c>
      <c r="L26" s="59" t="s">
        <v>407</v>
      </c>
      <c r="M26" s="59" t="s">
        <v>40</v>
      </c>
      <c r="N26" s="62"/>
      <c r="O26" s="59" t="s">
        <v>49</v>
      </c>
      <c r="P26" s="59" t="s">
        <v>107</v>
      </c>
      <c r="Q26" s="59" t="s">
        <v>108</v>
      </c>
      <c r="R26" s="62"/>
      <c r="S26" s="61" t="str">
        <f>"385,0"</f>
        <v>385,0</v>
      </c>
      <c r="T26" s="59" t="str">
        <f>"286,7095"</f>
        <v>286,7095</v>
      </c>
      <c r="U26" s="61"/>
    </row>
    <row r="27" spans="1:21" x14ac:dyDescent="0.2">
      <c r="A27" s="66" t="s">
        <v>429</v>
      </c>
      <c r="B27" s="65" t="s">
        <v>430</v>
      </c>
      <c r="C27" s="65" t="s">
        <v>431</v>
      </c>
      <c r="D27" s="65" t="str">
        <f>"0,7132"</f>
        <v>0,7132</v>
      </c>
      <c r="E27" s="66" t="s">
        <v>30</v>
      </c>
      <c r="F27" s="66" t="s">
        <v>31</v>
      </c>
      <c r="G27" s="65" t="s">
        <v>49</v>
      </c>
      <c r="H27" s="65" t="s">
        <v>107</v>
      </c>
      <c r="I27" s="65" t="s">
        <v>225</v>
      </c>
      <c r="J27" s="67"/>
      <c r="K27" s="65" t="s">
        <v>39</v>
      </c>
      <c r="L27" s="65" t="s">
        <v>46</v>
      </c>
      <c r="M27" s="67" t="s">
        <v>47</v>
      </c>
      <c r="N27" s="67"/>
      <c r="O27" s="65" t="s">
        <v>108</v>
      </c>
      <c r="P27" s="65" t="s">
        <v>194</v>
      </c>
      <c r="Q27" s="67" t="s">
        <v>75</v>
      </c>
      <c r="R27" s="67"/>
      <c r="S27" s="66" t="str">
        <f>"447,5"</f>
        <v>447,5</v>
      </c>
      <c r="T27" s="65" t="str">
        <f>"319,1794"</f>
        <v>319,1794</v>
      </c>
      <c r="U27" s="66"/>
    </row>
    <row r="28" spans="1:21" x14ac:dyDescent="0.2">
      <c r="A28" s="66" t="s">
        <v>433</v>
      </c>
      <c r="B28" s="65" t="s">
        <v>434</v>
      </c>
      <c r="C28" s="65" t="s">
        <v>435</v>
      </c>
      <c r="D28" s="65" t="str">
        <f>"0,7429"</f>
        <v>0,7429</v>
      </c>
      <c r="E28" s="66" t="s">
        <v>30</v>
      </c>
      <c r="F28" s="66" t="s">
        <v>31</v>
      </c>
      <c r="G28" s="67" t="s">
        <v>46</v>
      </c>
      <c r="H28" s="65" t="s">
        <v>46</v>
      </c>
      <c r="I28" s="65" t="s">
        <v>212</v>
      </c>
      <c r="J28" s="67"/>
      <c r="K28" s="65" t="s">
        <v>111</v>
      </c>
      <c r="L28" s="65" t="s">
        <v>33</v>
      </c>
      <c r="M28" s="65" t="s">
        <v>173</v>
      </c>
      <c r="N28" s="67"/>
      <c r="O28" s="65" t="s">
        <v>46</v>
      </c>
      <c r="P28" s="65" t="s">
        <v>212</v>
      </c>
      <c r="Q28" s="65" t="s">
        <v>49</v>
      </c>
      <c r="R28" s="67"/>
      <c r="S28" s="66" t="str">
        <f>"340,0"</f>
        <v>340,0</v>
      </c>
      <c r="T28" s="65" t="str">
        <f>"252,5690"</f>
        <v>252,5690</v>
      </c>
      <c r="U28" s="66"/>
    </row>
    <row r="29" spans="1:21" x14ac:dyDescent="0.2">
      <c r="A29" s="63" t="s">
        <v>437</v>
      </c>
      <c r="B29" s="60" t="s">
        <v>438</v>
      </c>
      <c r="C29" s="60" t="s">
        <v>181</v>
      </c>
      <c r="D29" s="60" t="str">
        <f>"0,7056"</f>
        <v>0,7056</v>
      </c>
      <c r="E29" s="63" t="s">
        <v>30</v>
      </c>
      <c r="F29" s="63" t="s">
        <v>31</v>
      </c>
      <c r="G29" s="60" t="s">
        <v>39</v>
      </c>
      <c r="H29" s="60" t="s">
        <v>46</v>
      </c>
      <c r="I29" s="60" t="s">
        <v>212</v>
      </c>
      <c r="J29" s="64"/>
      <c r="K29" s="60" t="s">
        <v>111</v>
      </c>
      <c r="L29" s="60" t="s">
        <v>32</v>
      </c>
      <c r="M29" s="60" t="s">
        <v>33</v>
      </c>
      <c r="N29" s="64"/>
      <c r="O29" s="60" t="s">
        <v>107</v>
      </c>
      <c r="P29" s="60" t="s">
        <v>108</v>
      </c>
      <c r="Q29" s="60" t="s">
        <v>225</v>
      </c>
      <c r="R29" s="64"/>
      <c r="S29" s="63" t="str">
        <f>"360,0"</f>
        <v>360,0</v>
      </c>
      <c r="T29" s="60" t="str">
        <f>"391,9744"</f>
        <v>391,9744</v>
      </c>
      <c r="U29" s="63"/>
    </row>
    <row r="31" spans="1:21" ht="15" x14ac:dyDescent="0.2">
      <c r="A31" s="50" t="s">
        <v>202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</row>
    <row r="32" spans="1:21" x14ac:dyDescent="0.2">
      <c r="A32" s="46" t="s">
        <v>440</v>
      </c>
      <c r="B32" s="47" t="s">
        <v>441</v>
      </c>
      <c r="C32" s="47" t="s">
        <v>442</v>
      </c>
      <c r="D32" s="47" t="str">
        <f>"0,6561"</f>
        <v>0,6561</v>
      </c>
      <c r="E32" s="46" t="s">
        <v>30</v>
      </c>
      <c r="F32" s="46" t="s">
        <v>31</v>
      </c>
      <c r="G32" s="47" t="s">
        <v>64</v>
      </c>
      <c r="H32" s="47" t="s">
        <v>218</v>
      </c>
      <c r="I32" s="47" t="s">
        <v>123</v>
      </c>
      <c r="J32" s="48"/>
      <c r="K32" s="47" t="s">
        <v>189</v>
      </c>
      <c r="L32" s="48" t="s">
        <v>52</v>
      </c>
      <c r="M32" s="48" t="s">
        <v>52</v>
      </c>
      <c r="N32" s="48"/>
      <c r="O32" s="47" t="s">
        <v>347</v>
      </c>
      <c r="P32" s="48" t="s">
        <v>157</v>
      </c>
      <c r="Q32" s="48" t="s">
        <v>157</v>
      </c>
      <c r="R32" s="48"/>
      <c r="S32" s="46" t="str">
        <f>"565,0"</f>
        <v>565,0</v>
      </c>
      <c r="T32" s="47" t="str">
        <f>"370,7247"</f>
        <v>370,7247</v>
      </c>
      <c r="U32" s="46"/>
    </row>
    <row r="34" spans="1:21" ht="15" x14ac:dyDescent="0.2">
      <c r="A34" s="50" t="s">
        <v>219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</row>
    <row r="35" spans="1:21" x14ac:dyDescent="0.2">
      <c r="A35" s="61" t="s">
        <v>444</v>
      </c>
      <c r="B35" s="59" t="s">
        <v>445</v>
      </c>
      <c r="C35" s="59" t="s">
        <v>446</v>
      </c>
      <c r="D35" s="59" t="str">
        <f>"0,6040"</f>
        <v>0,6040</v>
      </c>
      <c r="E35" s="61" t="s">
        <v>30</v>
      </c>
      <c r="F35" s="61" t="s">
        <v>31</v>
      </c>
      <c r="G35" s="59" t="s">
        <v>108</v>
      </c>
      <c r="H35" s="59" t="s">
        <v>225</v>
      </c>
      <c r="I35" s="59" t="s">
        <v>64</v>
      </c>
      <c r="J35" s="62"/>
      <c r="K35" s="59" t="s">
        <v>49</v>
      </c>
      <c r="L35" s="62" t="s">
        <v>107</v>
      </c>
      <c r="M35" s="62" t="s">
        <v>107</v>
      </c>
      <c r="N35" s="62"/>
      <c r="O35" s="59" t="s">
        <v>74</v>
      </c>
      <c r="P35" s="59" t="s">
        <v>218</v>
      </c>
      <c r="Q35" s="62" t="s">
        <v>275</v>
      </c>
      <c r="R35" s="62"/>
      <c r="S35" s="61" t="str">
        <f>"490,0"</f>
        <v>490,0</v>
      </c>
      <c r="T35" s="59" t="str">
        <f>"295,9600"</f>
        <v>295,9600</v>
      </c>
      <c r="U35" s="61"/>
    </row>
    <row r="36" spans="1:21" x14ac:dyDescent="0.2">
      <c r="A36" s="63" t="s">
        <v>448</v>
      </c>
      <c r="B36" s="60" t="s">
        <v>449</v>
      </c>
      <c r="C36" s="60" t="s">
        <v>450</v>
      </c>
      <c r="D36" s="60" t="str">
        <f>"0,5898"</f>
        <v>0,5898</v>
      </c>
      <c r="E36" s="63" t="s">
        <v>30</v>
      </c>
      <c r="F36" s="63" t="s">
        <v>451</v>
      </c>
      <c r="G36" s="60" t="s">
        <v>123</v>
      </c>
      <c r="H36" s="60" t="s">
        <v>124</v>
      </c>
      <c r="I36" s="60" t="s">
        <v>120</v>
      </c>
      <c r="J36" s="64"/>
      <c r="K36" s="60" t="s">
        <v>48</v>
      </c>
      <c r="L36" s="60" t="s">
        <v>189</v>
      </c>
      <c r="M36" s="60" t="s">
        <v>52</v>
      </c>
      <c r="N36" s="64"/>
      <c r="O36" s="64" t="s">
        <v>123</v>
      </c>
      <c r="P36" s="60" t="s">
        <v>275</v>
      </c>
      <c r="Q36" s="60" t="s">
        <v>119</v>
      </c>
      <c r="R36" s="64"/>
      <c r="S36" s="63" t="str">
        <f>"580,0"</f>
        <v>580,0</v>
      </c>
      <c r="T36" s="60" t="str">
        <f>"342,0840"</f>
        <v>342,0840</v>
      </c>
      <c r="U36" s="63"/>
    </row>
    <row r="38" spans="1:21" ht="15" x14ac:dyDescent="0.2">
      <c r="A38" s="50" t="s">
        <v>113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</row>
    <row r="39" spans="1:21" x14ac:dyDescent="0.2">
      <c r="A39" s="46" t="s">
        <v>453</v>
      </c>
      <c r="B39" s="47" t="s">
        <v>454</v>
      </c>
      <c r="C39" s="47" t="s">
        <v>455</v>
      </c>
      <c r="D39" s="47" t="str">
        <f>"0,5640"</f>
        <v>0,5640</v>
      </c>
      <c r="E39" s="46" t="s">
        <v>30</v>
      </c>
      <c r="F39" s="46" t="s">
        <v>199</v>
      </c>
      <c r="G39" s="47" t="s">
        <v>107</v>
      </c>
      <c r="H39" s="47" t="s">
        <v>108</v>
      </c>
      <c r="I39" s="47" t="s">
        <v>225</v>
      </c>
      <c r="J39" s="48"/>
      <c r="K39" s="47" t="s">
        <v>381</v>
      </c>
      <c r="L39" s="47" t="s">
        <v>33</v>
      </c>
      <c r="M39" s="48" t="s">
        <v>182</v>
      </c>
      <c r="N39" s="48"/>
      <c r="O39" s="47" t="s">
        <v>54</v>
      </c>
      <c r="P39" s="47" t="s">
        <v>74</v>
      </c>
      <c r="Q39" s="47" t="s">
        <v>132</v>
      </c>
      <c r="R39" s="48"/>
      <c r="S39" s="46" t="str">
        <f>"425,0"</f>
        <v>425,0</v>
      </c>
      <c r="T39" s="47" t="str">
        <f>"239,6788"</f>
        <v>239,6788</v>
      </c>
      <c r="U39" s="46"/>
    </row>
    <row r="41" spans="1:21" ht="15" x14ac:dyDescent="0.2">
      <c r="E41" s="34" t="s">
        <v>15</v>
      </c>
    </row>
    <row r="42" spans="1:21" ht="15" x14ac:dyDescent="0.2">
      <c r="E42" s="34" t="s">
        <v>16</v>
      </c>
    </row>
    <row r="43" spans="1:21" ht="15" x14ac:dyDescent="0.2">
      <c r="E43" s="34" t="s">
        <v>17</v>
      </c>
    </row>
    <row r="44" spans="1:21" x14ac:dyDescent="0.2">
      <c r="E44" s="4" t="s">
        <v>18</v>
      </c>
    </row>
    <row r="45" spans="1:21" x14ac:dyDescent="0.2">
      <c r="E45" s="4" t="s">
        <v>19</v>
      </c>
    </row>
    <row r="46" spans="1:21" x14ac:dyDescent="0.2">
      <c r="E46" s="4" t="s">
        <v>20</v>
      </c>
    </row>
    <row r="49" spans="1:5" ht="18" x14ac:dyDescent="0.25">
      <c r="A49" s="43" t="s">
        <v>21</v>
      </c>
      <c r="B49" s="44"/>
    </row>
    <row r="50" spans="1:5" ht="15" x14ac:dyDescent="0.2">
      <c r="A50" s="52" t="s">
        <v>80</v>
      </c>
      <c r="B50" s="53"/>
    </row>
    <row r="51" spans="1:5" ht="14.25" x14ac:dyDescent="0.2">
      <c r="A51" s="55"/>
      <c r="B51" s="56" t="s">
        <v>162</v>
      </c>
    </row>
    <row r="52" spans="1:5" ht="15" x14ac:dyDescent="0.2">
      <c r="A52" s="57" t="s">
        <v>0</v>
      </c>
      <c r="B52" s="57" t="s">
        <v>82</v>
      </c>
      <c r="C52" s="57" t="s">
        <v>83</v>
      </c>
      <c r="D52" s="57" t="s">
        <v>84</v>
      </c>
      <c r="E52" s="57" t="s">
        <v>24</v>
      </c>
    </row>
    <row r="53" spans="1:5" x14ac:dyDescent="0.2">
      <c r="A53" s="54" t="s">
        <v>384</v>
      </c>
      <c r="B53" s="5" t="s">
        <v>163</v>
      </c>
      <c r="C53" s="5" t="s">
        <v>456</v>
      </c>
      <c r="D53" s="5" t="s">
        <v>457</v>
      </c>
      <c r="E53" s="58" t="s">
        <v>458</v>
      </c>
    </row>
    <row r="55" spans="1:5" ht="14.25" x14ac:dyDescent="0.2">
      <c r="A55" s="55"/>
      <c r="B55" s="56" t="s">
        <v>94</v>
      </c>
    </row>
    <row r="56" spans="1:5" ht="15" x14ac:dyDescent="0.2">
      <c r="A56" s="57" t="s">
        <v>0</v>
      </c>
      <c r="B56" s="57" t="s">
        <v>82</v>
      </c>
      <c r="C56" s="57" t="s">
        <v>83</v>
      </c>
      <c r="D56" s="57" t="s">
        <v>84</v>
      </c>
      <c r="E56" s="57" t="s">
        <v>24</v>
      </c>
    </row>
    <row r="57" spans="1:5" x14ac:dyDescent="0.2">
      <c r="A57" s="54" t="s">
        <v>377</v>
      </c>
      <c r="B57" s="5" t="s">
        <v>94</v>
      </c>
      <c r="C57" s="5" t="s">
        <v>459</v>
      </c>
      <c r="D57" s="5" t="s">
        <v>460</v>
      </c>
      <c r="E57" s="58" t="s">
        <v>461</v>
      </c>
    </row>
    <row r="58" spans="1:5" x14ac:dyDescent="0.2">
      <c r="A58" s="54" t="s">
        <v>390</v>
      </c>
      <c r="B58" s="5" t="s">
        <v>94</v>
      </c>
      <c r="C58" s="5" t="s">
        <v>456</v>
      </c>
      <c r="D58" s="5" t="s">
        <v>460</v>
      </c>
      <c r="E58" s="58" t="s">
        <v>462</v>
      </c>
    </row>
    <row r="59" spans="1:5" x14ac:dyDescent="0.2">
      <c r="A59" s="54" t="s">
        <v>402</v>
      </c>
      <c r="B59" s="5" t="s">
        <v>94</v>
      </c>
      <c r="C59" s="5" t="s">
        <v>284</v>
      </c>
      <c r="D59" s="5" t="s">
        <v>463</v>
      </c>
      <c r="E59" s="58" t="s">
        <v>464</v>
      </c>
    </row>
    <row r="60" spans="1:5" x14ac:dyDescent="0.2">
      <c r="A60" s="54" t="s">
        <v>408</v>
      </c>
      <c r="B60" s="5" t="s">
        <v>94</v>
      </c>
      <c r="C60" s="5" t="s">
        <v>300</v>
      </c>
      <c r="D60" s="5" t="s">
        <v>460</v>
      </c>
      <c r="E60" s="58" t="s">
        <v>465</v>
      </c>
    </row>
    <row r="62" spans="1:5" ht="14.25" x14ac:dyDescent="0.2">
      <c r="A62" s="55"/>
      <c r="B62" s="56" t="s">
        <v>135</v>
      </c>
    </row>
    <row r="63" spans="1:5" ht="15" x14ac:dyDescent="0.2">
      <c r="A63" s="57" t="s">
        <v>0</v>
      </c>
      <c r="B63" s="57" t="s">
        <v>82</v>
      </c>
      <c r="C63" s="57" t="s">
        <v>83</v>
      </c>
      <c r="D63" s="57" t="s">
        <v>84</v>
      </c>
      <c r="E63" s="57" t="s">
        <v>24</v>
      </c>
    </row>
    <row r="64" spans="1:5" x14ac:dyDescent="0.2">
      <c r="A64" s="54" t="s">
        <v>397</v>
      </c>
      <c r="B64" s="5" t="s">
        <v>286</v>
      </c>
      <c r="C64" s="5" t="s">
        <v>86</v>
      </c>
      <c r="D64" s="5" t="s">
        <v>157</v>
      </c>
      <c r="E64" s="58" t="s">
        <v>466</v>
      </c>
    </row>
    <row r="65" spans="1:5" x14ac:dyDescent="0.2">
      <c r="A65" s="54" t="s">
        <v>413</v>
      </c>
      <c r="B65" s="5" t="s">
        <v>286</v>
      </c>
      <c r="C65" s="5" t="s">
        <v>300</v>
      </c>
      <c r="D65" s="5" t="s">
        <v>47</v>
      </c>
      <c r="E65" s="58" t="s">
        <v>467</v>
      </c>
    </row>
    <row r="68" spans="1:5" ht="15" x14ac:dyDescent="0.2">
      <c r="A68" s="52" t="s">
        <v>89</v>
      </c>
      <c r="B68" s="53"/>
    </row>
    <row r="69" spans="1:5" ht="14.25" x14ac:dyDescent="0.2">
      <c r="A69" s="55"/>
      <c r="B69" s="56" t="s">
        <v>81</v>
      </c>
    </row>
    <row r="70" spans="1:5" ht="15" x14ac:dyDescent="0.2">
      <c r="A70" s="57" t="s">
        <v>0</v>
      </c>
      <c r="B70" s="57" t="s">
        <v>82</v>
      </c>
      <c r="C70" s="57" t="s">
        <v>83</v>
      </c>
      <c r="D70" s="57" t="s">
        <v>84</v>
      </c>
      <c r="E70" s="57" t="s">
        <v>24</v>
      </c>
    </row>
    <row r="71" spans="1:5" x14ac:dyDescent="0.2">
      <c r="A71" s="54" t="s">
        <v>424</v>
      </c>
      <c r="B71" s="5" t="s">
        <v>288</v>
      </c>
      <c r="C71" s="5" t="s">
        <v>91</v>
      </c>
      <c r="D71" s="5" t="s">
        <v>468</v>
      </c>
      <c r="E71" s="58" t="s">
        <v>469</v>
      </c>
    </row>
    <row r="72" spans="1:5" x14ac:dyDescent="0.2">
      <c r="A72" s="54" t="s">
        <v>419</v>
      </c>
      <c r="B72" s="5" t="s">
        <v>85</v>
      </c>
      <c r="C72" s="5" t="s">
        <v>300</v>
      </c>
      <c r="D72" s="5" t="s">
        <v>470</v>
      </c>
      <c r="E72" s="58" t="s">
        <v>471</v>
      </c>
    </row>
    <row r="73" spans="1:5" x14ac:dyDescent="0.2">
      <c r="A73" s="54" t="s">
        <v>452</v>
      </c>
      <c r="B73" s="5" t="s">
        <v>85</v>
      </c>
      <c r="C73" s="5" t="s">
        <v>139</v>
      </c>
      <c r="D73" s="5" t="s">
        <v>472</v>
      </c>
      <c r="E73" s="58" t="s">
        <v>473</v>
      </c>
    </row>
    <row r="75" spans="1:5" ht="14.25" x14ac:dyDescent="0.2">
      <c r="A75" s="55"/>
      <c r="B75" s="56" t="s">
        <v>94</v>
      </c>
    </row>
    <row r="76" spans="1:5" ht="15" x14ac:dyDescent="0.2">
      <c r="A76" s="57" t="s">
        <v>0</v>
      </c>
      <c r="B76" s="57" t="s">
        <v>82</v>
      </c>
      <c r="C76" s="57" t="s">
        <v>83</v>
      </c>
      <c r="D76" s="57" t="s">
        <v>84</v>
      </c>
      <c r="E76" s="57" t="s">
        <v>24</v>
      </c>
    </row>
    <row r="77" spans="1:5" x14ac:dyDescent="0.2">
      <c r="A77" s="54" t="s">
        <v>439</v>
      </c>
      <c r="B77" s="5" t="s">
        <v>94</v>
      </c>
      <c r="C77" s="5" t="s">
        <v>293</v>
      </c>
      <c r="D77" s="5" t="s">
        <v>474</v>
      </c>
      <c r="E77" s="58" t="s">
        <v>475</v>
      </c>
    </row>
    <row r="78" spans="1:5" x14ac:dyDescent="0.2">
      <c r="A78" s="54" t="s">
        <v>428</v>
      </c>
      <c r="B78" s="5" t="s">
        <v>94</v>
      </c>
      <c r="C78" s="5" t="s">
        <v>91</v>
      </c>
      <c r="D78" s="5" t="s">
        <v>476</v>
      </c>
      <c r="E78" s="58" t="s">
        <v>477</v>
      </c>
    </row>
    <row r="79" spans="1:5" x14ac:dyDescent="0.2">
      <c r="A79" s="54" t="s">
        <v>443</v>
      </c>
      <c r="B79" s="5" t="s">
        <v>94</v>
      </c>
      <c r="C79" s="5" t="s">
        <v>289</v>
      </c>
      <c r="D79" s="5" t="s">
        <v>478</v>
      </c>
      <c r="E79" s="58" t="s">
        <v>479</v>
      </c>
    </row>
    <row r="80" spans="1:5" x14ac:dyDescent="0.2">
      <c r="A80" s="54" t="s">
        <v>432</v>
      </c>
      <c r="B80" s="5" t="s">
        <v>94</v>
      </c>
      <c r="C80" s="5" t="s">
        <v>91</v>
      </c>
      <c r="D80" s="5" t="s">
        <v>480</v>
      </c>
      <c r="E80" s="58" t="s">
        <v>481</v>
      </c>
    </row>
    <row r="82" spans="1:5" ht="14.25" x14ac:dyDescent="0.2">
      <c r="A82" s="55"/>
      <c r="B82" s="56" t="s">
        <v>135</v>
      </c>
    </row>
    <row r="83" spans="1:5" ht="15" x14ac:dyDescent="0.2">
      <c r="A83" s="57" t="s">
        <v>0</v>
      </c>
      <c r="B83" s="57" t="s">
        <v>82</v>
      </c>
      <c r="C83" s="57" t="s">
        <v>83</v>
      </c>
      <c r="D83" s="57" t="s">
        <v>84</v>
      </c>
      <c r="E83" s="57" t="s">
        <v>24</v>
      </c>
    </row>
    <row r="84" spans="1:5" x14ac:dyDescent="0.2">
      <c r="A84" s="54" t="s">
        <v>436</v>
      </c>
      <c r="B84" s="5" t="s">
        <v>312</v>
      </c>
      <c r="C84" s="5" t="s">
        <v>91</v>
      </c>
      <c r="D84" s="5" t="s">
        <v>156</v>
      </c>
      <c r="E84" s="58" t="s">
        <v>482</v>
      </c>
    </row>
    <row r="85" spans="1:5" x14ac:dyDescent="0.2">
      <c r="A85" s="54" t="s">
        <v>447</v>
      </c>
      <c r="B85" s="5" t="s">
        <v>286</v>
      </c>
      <c r="C85" s="5" t="s">
        <v>289</v>
      </c>
      <c r="D85" s="5" t="s">
        <v>483</v>
      </c>
      <c r="E85" s="58" t="s">
        <v>484</v>
      </c>
    </row>
  </sheetData>
  <mergeCells count="23">
    <mergeCell ref="A38:T38"/>
    <mergeCell ref="A15:T15"/>
    <mergeCell ref="A18:T18"/>
    <mergeCell ref="A22:T22"/>
    <mergeCell ref="A25:T25"/>
    <mergeCell ref="A31:T31"/>
    <mergeCell ref="A34:T34"/>
    <mergeCell ref="S3:S4"/>
    <mergeCell ref="T3:T4"/>
    <mergeCell ref="U3:U4"/>
    <mergeCell ref="A5:T5"/>
    <mergeCell ref="A8:T8"/>
    <mergeCell ref="A12:T12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14.7109375" style="5" bestFit="1" customWidth="1"/>
    <col min="3" max="3" width="7.7109375" style="5" bestFit="1" customWidth="1"/>
    <col min="4" max="4" width="7.28515625" style="5" customWidth="1"/>
    <col min="5" max="5" width="17.28515625" style="4" bestFit="1" customWidth="1"/>
    <col min="6" max="6" width="14.5703125" style="4" bestFit="1" customWidth="1"/>
    <col min="7" max="9" width="2.140625" style="5" bestFit="1" customWidth="1"/>
    <col min="10" max="10" width="5" style="5" bestFit="1" customWidth="1"/>
    <col min="11" max="11" width="6.140625" style="4" bestFit="1" customWidth="1"/>
    <col min="12" max="12" width="4.28515625" style="5" bestFit="1" customWidth="1"/>
    <col min="13" max="13" width="7.42578125" style="4" bestFit="1" customWidth="1"/>
    <col min="14" max="16384" width="9.140625" style="3"/>
  </cols>
  <sheetData>
    <row r="1" spans="1:13" s="2" customFormat="1" ht="29.1" customHeight="1" x14ac:dyDescent="0.2">
      <c r="A1" s="35" t="s">
        <v>374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4</v>
      </c>
      <c r="H3" s="26"/>
      <c r="I3" s="26"/>
      <c r="J3" s="27"/>
      <c r="K3" s="41" t="s">
        <v>314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x14ac:dyDescent="0.2">
      <c r="A5" s="4"/>
      <c r="E5" s="4"/>
      <c r="F5" s="4"/>
      <c r="K5" s="4"/>
      <c r="M5" s="4"/>
    </row>
    <row r="6" spans="1:13" s="5" customFormat="1" ht="15" x14ac:dyDescent="0.2">
      <c r="A6" s="4"/>
      <c r="E6" s="34" t="s">
        <v>15</v>
      </c>
      <c r="F6" s="4"/>
      <c r="K6" s="4"/>
      <c r="M6" s="4"/>
    </row>
    <row r="7" spans="1:13" s="5" customFormat="1" ht="15" x14ac:dyDescent="0.2">
      <c r="A7" s="4"/>
      <c r="E7" s="34" t="s">
        <v>16</v>
      </c>
      <c r="F7" s="4"/>
      <c r="K7" s="4"/>
      <c r="M7" s="4"/>
    </row>
    <row r="8" spans="1:13" ht="15" x14ac:dyDescent="0.2">
      <c r="E8" s="34" t="s">
        <v>17</v>
      </c>
    </row>
    <row r="9" spans="1:13" x14ac:dyDescent="0.2">
      <c r="E9" s="4" t="s">
        <v>18</v>
      </c>
    </row>
    <row r="10" spans="1:13" x14ac:dyDescent="0.2">
      <c r="E10" s="4" t="s">
        <v>19</v>
      </c>
    </row>
    <row r="11" spans="1:13" x14ac:dyDescent="0.2">
      <c r="E11" s="4" t="s">
        <v>20</v>
      </c>
    </row>
    <row r="14" spans="1:13" ht="18" x14ac:dyDescent="0.25">
      <c r="A14" s="43" t="s">
        <v>21</v>
      </c>
      <c r="B14" s="44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26.85546875" style="5" bestFit="1" customWidth="1"/>
    <col min="3" max="3" width="7.7109375" style="5" bestFit="1" customWidth="1"/>
    <col min="4" max="4" width="6.85546875" style="5" bestFit="1" customWidth="1"/>
    <col min="5" max="5" width="17.28515625" style="4" bestFit="1" customWidth="1"/>
    <col min="6" max="6" width="28.7109375" style="4" bestFit="1" customWidth="1"/>
    <col min="7" max="9" width="5.5703125" style="5" bestFit="1" customWidth="1"/>
    <col min="10" max="10" width="5" style="5" bestFit="1" customWidth="1"/>
    <col min="11" max="11" width="6.140625" style="4" bestFit="1" customWidth="1"/>
    <col min="12" max="12" width="8.5703125" style="5" bestFit="1" customWidth="1"/>
    <col min="13" max="13" width="7.42578125" style="4" bestFit="1" customWidth="1"/>
    <col min="14" max="16384" width="9.140625" style="3"/>
  </cols>
  <sheetData>
    <row r="1" spans="1:13" s="2" customFormat="1" ht="29.1" customHeight="1" x14ac:dyDescent="0.2">
      <c r="A1" s="35" t="s">
        <v>317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4</v>
      </c>
      <c r="H3" s="26"/>
      <c r="I3" s="26"/>
      <c r="J3" s="27"/>
      <c r="K3" s="41" t="s">
        <v>314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ht="15" x14ac:dyDescent="0.2">
      <c r="A5" s="45" t="s">
        <v>41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"/>
    </row>
    <row r="6" spans="1:13" s="5" customFormat="1" x14ac:dyDescent="0.2">
      <c r="A6" s="46" t="s">
        <v>319</v>
      </c>
      <c r="B6" s="47" t="s">
        <v>320</v>
      </c>
      <c r="C6" s="47" t="s">
        <v>45</v>
      </c>
      <c r="D6" s="47" t="str">
        <f>"0,8453"</f>
        <v>0,8453</v>
      </c>
      <c r="E6" s="46" t="s">
        <v>30</v>
      </c>
      <c r="F6" s="46" t="s">
        <v>31</v>
      </c>
      <c r="G6" s="47" t="s">
        <v>52</v>
      </c>
      <c r="H6" s="47" t="s">
        <v>249</v>
      </c>
      <c r="I6" s="47" t="s">
        <v>225</v>
      </c>
      <c r="J6" s="48"/>
      <c r="K6" s="46" t="str">
        <f>"160,0"</f>
        <v>160,0</v>
      </c>
      <c r="L6" s="47" t="str">
        <f>"135,2400"</f>
        <v>135,2400</v>
      </c>
      <c r="M6" s="46"/>
    </row>
    <row r="7" spans="1:13" s="5" customFormat="1" x14ac:dyDescent="0.2">
      <c r="A7" s="4"/>
      <c r="E7" s="4"/>
      <c r="F7" s="4"/>
      <c r="K7" s="4"/>
      <c r="M7" s="4"/>
    </row>
    <row r="8" spans="1:13" ht="15" x14ac:dyDescent="0.2">
      <c r="A8" s="50" t="s">
        <v>41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3" x14ac:dyDescent="0.2">
      <c r="A9" s="61" t="s">
        <v>322</v>
      </c>
      <c r="B9" s="59" t="s">
        <v>323</v>
      </c>
      <c r="C9" s="59" t="s">
        <v>324</v>
      </c>
      <c r="D9" s="59" t="str">
        <f>"0,6906"</f>
        <v>0,6906</v>
      </c>
      <c r="E9" s="61" t="s">
        <v>30</v>
      </c>
      <c r="F9" s="61" t="s">
        <v>153</v>
      </c>
      <c r="G9" s="59" t="s">
        <v>54</v>
      </c>
      <c r="H9" s="59" t="s">
        <v>325</v>
      </c>
      <c r="I9" s="59" t="s">
        <v>194</v>
      </c>
      <c r="J9" s="62"/>
      <c r="K9" s="61" t="str">
        <f>"177,5"</f>
        <v>177,5</v>
      </c>
      <c r="L9" s="59" t="str">
        <f>"122,5815"</f>
        <v>122,5815</v>
      </c>
      <c r="M9" s="61"/>
    </row>
    <row r="10" spans="1:13" x14ac:dyDescent="0.2">
      <c r="A10" s="63" t="s">
        <v>322</v>
      </c>
      <c r="B10" s="60" t="s">
        <v>326</v>
      </c>
      <c r="C10" s="60" t="s">
        <v>324</v>
      </c>
      <c r="D10" s="60" t="str">
        <f>"0,6906"</f>
        <v>0,6906</v>
      </c>
      <c r="E10" s="63" t="s">
        <v>30</v>
      </c>
      <c r="F10" s="63" t="s">
        <v>153</v>
      </c>
      <c r="G10" s="60" t="s">
        <v>54</v>
      </c>
      <c r="H10" s="60" t="s">
        <v>325</v>
      </c>
      <c r="I10" s="60" t="s">
        <v>194</v>
      </c>
      <c r="J10" s="64"/>
      <c r="K10" s="63" t="str">
        <f>"177,5"</f>
        <v>177,5</v>
      </c>
      <c r="L10" s="60" t="str">
        <f>"152,7365"</f>
        <v>152,7365</v>
      </c>
      <c r="M10" s="63"/>
    </row>
    <row r="12" spans="1:13" ht="15" x14ac:dyDescent="0.2">
      <c r="A12" s="50" t="s">
        <v>202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1:13" x14ac:dyDescent="0.2">
      <c r="A13" s="46" t="s">
        <v>328</v>
      </c>
      <c r="B13" s="47" t="s">
        <v>329</v>
      </c>
      <c r="C13" s="47" t="s">
        <v>330</v>
      </c>
      <c r="D13" s="47" t="str">
        <f>"0,6567"</f>
        <v>0,6567</v>
      </c>
      <c r="E13" s="46" t="s">
        <v>30</v>
      </c>
      <c r="F13" s="46" t="s">
        <v>31</v>
      </c>
      <c r="G13" s="47" t="s">
        <v>49</v>
      </c>
      <c r="H13" s="47" t="s">
        <v>52</v>
      </c>
      <c r="I13" s="48" t="s">
        <v>54</v>
      </c>
      <c r="J13" s="48"/>
      <c r="K13" s="46" t="str">
        <f>"145,0"</f>
        <v>145,0</v>
      </c>
      <c r="L13" s="47" t="str">
        <f>"95,2215"</f>
        <v>95,2215</v>
      </c>
      <c r="M13" s="46"/>
    </row>
    <row r="15" spans="1:13" ht="15" x14ac:dyDescent="0.2">
      <c r="A15" s="50" t="s">
        <v>55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1:13" x14ac:dyDescent="0.2">
      <c r="A16" s="61" t="s">
        <v>332</v>
      </c>
      <c r="B16" s="59" t="s">
        <v>333</v>
      </c>
      <c r="C16" s="59" t="s">
        <v>334</v>
      </c>
      <c r="D16" s="59" t="str">
        <f>"0,6173"</f>
        <v>0,6173</v>
      </c>
      <c r="E16" s="61" t="s">
        <v>30</v>
      </c>
      <c r="F16" s="61" t="s">
        <v>31</v>
      </c>
      <c r="G16" s="59" t="s">
        <v>335</v>
      </c>
      <c r="H16" s="62" t="s">
        <v>336</v>
      </c>
      <c r="I16" s="59" t="s">
        <v>337</v>
      </c>
      <c r="J16" s="62"/>
      <c r="K16" s="61" t="str">
        <f>"302,5"</f>
        <v>302,5</v>
      </c>
      <c r="L16" s="59" t="str">
        <f>"186,7332"</f>
        <v>186,7332</v>
      </c>
      <c r="M16" s="61"/>
    </row>
    <row r="17" spans="1:13" x14ac:dyDescent="0.2">
      <c r="A17" s="66" t="s">
        <v>339</v>
      </c>
      <c r="B17" s="65" t="s">
        <v>340</v>
      </c>
      <c r="C17" s="65" t="s">
        <v>341</v>
      </c>
      <c r="D17" s="65" t="str">
        <f>"0,6222"</f>
        <v>0,6222</v>
      </c>
      <c r="E17" s="66" t="s">
        <v>30</v>
      </c>
      <c r="F17" s="66" t="s">
        <v>31</v>
      </c>
      <c r="G17" s="65" t="s">
        <v>77</v>
      </c>
      <c r="H17" s="65" t="s">
        <v>342</v>
      </c>
      <c r="I17" s="67" t="s">
        <v>336</v>
      </c>
      <c r="J17" s="67"/>
      <c r="K17" s="66" t="str">
        <f>"297,5"</f>
        <v>297,5</v>
      </c>
      <c r="L17" s="65" t="str">
        <f>"185,0896"</f>
        <v>185,0896</v>
      </c>
      <c r="M17" s="66"/>
    </row>
    <row r="18" spans="1:13" x14ac:dyDescent="0.2">
      <c r="A18" s="63" t="s">
        <v>344</v>
      </c>
      <c r="B18" s="60" t="s">
        <v>345</v>
      </c>
      <c r="C18" s="60" t="s">
        <v>346</v>
      </c>
      <c r="D18" s="60" t="str">
        <f>"0,6119"</f>
        <v>0,6119</v>
      </c>
      <c r="E18" s="63" t="s">
        <v>30</v>
      </c>
      <c r="F18" s="63" t="s">
        <v>244</v>
      </c>
      <c r="G18" s="60" t="s">
        <v>347</v>
      </c>
      <c r="H18" s="60" t="s">
        <v>62</v>
      </c>
      <c r="I18" s="60" t="s">
        <v>348</v>
      </c>
      <c r="J18" s="64"/>
      <c r="K18" s="63" t="str">
        <f>"252,5"</f>
        <v>252,5</v>
      </c>
      <c r="L18" s="60" t="str">
        <f>"154,4921"</f>
        <v>154,4921</v>
      </c>
      <c r="M18" s="63"/>
    </row>
    <row r="20" spans="1:13" ht="15" x14ac:dyDescent="0.2">
      <c r="A20" s="50" t="s">
        <v>219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</row>
    <row r="21" spans="1:13" x14ac:dyDescent="0.2">
      <c r="A21" s="61" t="s">
        <v>350</v>
      </c>
      <c r="B21" s="59" t="s">
        <v>351</v>
      </c>
      <c r="C21" s="59" t="s">
        <v>352</v>
      </c>
      <c r="D21" s="59" t="str">
        <f>"0,5900"</f>
        <v>0,5900</v>
      </c>
      <c r="E21" s="61" t="s">
        <v>30</v>
      </c>
      <c r="F21" s="61" t="s">
        <v>244</v>
      </c>
      <c r="G21" s="59" t="s">
        <v>353</v>
      </c>
      <c r="H21" s="59" t="s">
        <v>154</v>
      </c>
      <c r="I21" s="59" t="s">
        <v>155</v>
      </c>
      <c r="J21" s="62"/>
      <c r="K21" s="61" t="str">
        <f>"350,0"</f>
        <v>350,0</v>
      </c>
      <c r="L21" s="59" t="str">
        <f>"206,4825"</f>
        <v>206,4825</v>
      </c>
      <c r="M21" s="61"/>
    </row>
    <row r="22" spans="1:13" x14ac:dyDescent="0.2">
      <c r="A22" s="66" t="s">
        <v>355</v>
      </c>
      <c r="B22" s="65" t="s">
        <v>356</v>
      </c>
      <c r="C22" s="65" t="s">
        <v>357</v>
      </c>
      <c r="D22" s="65" t="str">
        <f>"0,5873"</f>
        <v>0,5873</v>
      </c>
      <c r="E22" s="66" t="s">
        <v>30</v>
      </c>
      <c r="F22" s="66" t="s">
        <v>31</v>
      </c>
      <c r="G22" s="67" t="s">
        <v>62</v>
      </c>
      <c r="H22" s="65" t="s">
        <v>62</v>
      </c>
      <c r="I22" s="65" t="s">
        <v>63</v>
      </c>
      <c r="J22" s="67"/>
      <c r="K22" s="66" t="str">
        <f>"250,0"</f>
        <v>250,0</v>
      </c>
      <c r="L22" s="65" t="str">
        <f>"146,8250"</f>
        <v>146,8250</v>
      </c>
      <c r="M22" s="66"/>
    </row>
    <row r="23" spans="1:13" x14ac:dyDescent="0.2">
      <c r="A23" s="66" t="s">
        <v>358</v>
      </c>
      <c r="B23" s="65" t="s">
        <v>359</v>
      </c>
      <c r="C23" s="65" t="s">
        <v>360</v>
      </c>
      <c r="D23" s="65" t="str">
        <f>"0,5842"</f>
        <v>0,5842</v>
      </c>
      <c r="E23" s="66" t="s">
        <v>30</v>
      </c>
      <c r="F23" s="66" t="s">
        <v>31</v>
      </c>
      <c r="G23" s="67" t="s">
        <v>65</v>
      </c>
      <c r="H23" s="67" t="s">
        <v>65</v>
      </c>
      <c r="I23" s="67" t="s">
        <v>65</v>
      </c>
      <c r="J23" s="67"/>
      <c r="K23" s="66" t="str">
        <f>"0.00"</f>
        <v>0.00</v>
      </c>
      <c r="L23" s="65" t="str">
        <f>"0,0000"</f>
        <v>0,0000</v>
      </c>
      <c r="M23" s="66"/>
    </row>
    <row r="24" spans="1:13" x14ac:dyDescent="0.2">
      <c r="A24" s="66" t="s">
        <v>241</v>
      </c>
      <c r="B24" s="65" t="s">
        <v>242</v>
      </c>
      <c r="C24" s="65" t="s">
        <v>243</v>
      </c>
      <c r="D24" s="65" t="str">
        <f>"0,5838"</f>
        <v>0,5838</v>
      </c>
      <c r="E24" s="66" t="s">
        <v>30</v>
      </c>
      <c r="F24" s="66" t="s">
        <v>244</v>
      </c>
      <c r="G24" s="65" t="s">
        <v>63</v>
      </c>
      <c r="H24" s="67" t="s">
        <v>65</v>
      </c>
      <c r="I24" s="67" t="s">
        <v>65</v>
      </c>
      <c r="J24" s="67"/>
      <c r="K24" s="66" t="str">
        <f>"250,0"</f>
        <v>250,0</v>
      </c>
      <c r="L24" s="65" t="str">
        <f>"147,4095"</f>
        <v>147,4095</v>
      </c>
      <c r="M24" s="66"/>
    </row>
    <row r="25" spans="1:13" x14ac:dyDescent="0.2">
      <c r="A25" s="63" t="s">
        <v>255</v>
      </c>
      <c r="B25" s="60" t="s">
        <v>256</v>
      </c>
      <c r="C25" s="60" t="s">
        <v>257</v>
      </c>
      <c r="D25" s="60" t="str">
        <f>"0,6047"</f>
        <v>0,6047</v>
      </c>
      <c r="E25" s="63" t="s">
        <v>30</v>
      </c>
      <c r="F25" s="63" t="s">
        <v>199</v>
      </c>
      <c r="G25" s="60" t="s">
        <v>107</v>
      </c>
      <c r="H25" s="60" t="s">
        <v>108</v>
      </c>
      <c r="I25" s="60" t="s">
        <v>361</v>
      </c>
      <c r="J25" s="64"/>
      <c r="K25" s="63" t="str">
        <f>"152,5"</f>
        <v>152,5</v>
      </c>
      <c r="L25" s="60" t="str">
        <f>"125,9681"</f>
        <v>125,9681</v>
      </c>
      <c r="M25" s="63"/>
    </row>
    <row r="27" spans="1:13" ht="15" x14ac:dyDescent="0.2">
      <c r="A27" s="50" t="s">
        <v>276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</row>
    <row r="28" spans="1:13" x14ac:dyDescent="0.2">
      <c r="A28" s="46" t="s">
        <v>278</v>
      </c>
      <c r="B28" s="47" t="s">
        <v>279</v>
      </c>
      <c r="C28" s="47" t="s">
        <v>280</v>
      </c>
      <c r="D28" s="47" t="str">
        <f>"0,5193"</f>
        <v>0,5193</v>
      </c>
      <c r="E28" s="46" t="s">
        <v>30</v>
      </c>
      <c r="F28" s="46" t="s">
        <v>31</v>
      </c>
      <c r="G28" s="47" t="s">
        <v>158</v>
      </c>
      <c r="H28" s="47" t="s">
        <v>66</v>
      </c>
      <c r="I28" s="47" t="s">
        <v>336</v>
      </c>
      <c r="J28" s="48"/>
      <c r="K28" s="46" t="str">
        <f>"300,0"</f>
        <v>300,0</v>
      </c>
      <c r="L28" s="47" t="str">
        <f>"155,7846"</f>
        <v>155,7846</v>
      </c>
      <c r="M28" s="46"/>
    </row>
    <row r="30" spans="1:13" ht="15" x14ac:dyDescent="0.2">
      <c r="E30" s="34" t="s">
        <v>15</v>
      </c>
    </row>
    <row r="31" spans="1:13" ht="15" x14ac:dyDescent="0.2">
      <c r="E31" s="34" t="s">
        <v>16</v>
      </c>
    </row>
    <row r="32" spans="1:13" ht="15" x14ac:dyDescent="0.2">
      <c r="E32" s="34" t="s">
        <v>17</v>
      </c>
    </row>
    <row r="33" spans="1:5" x14ac:dyDescent="0.2">
      <c r="E33" s="4" t="s">
        <v>18</v>
      </c>
    </row>
    <row r="34" spans="1:5" x14ac:dyDescent="0.2">
      <c r="E34" s="4" t="s">
        <v>19</v>
      </c>
    </row>
    <row r="35" spans="1:5" x14ac:dyDescent="0.2">
      <c r="E35" s="4" t="s">
        <v>20</v>
      </c>
    </row>
    <row r="38" spans="1:5" ht="18" x14ac:dyDescent="0.25">
      <c r="A38" s="43" t="s">
        <v>21</v>
      </c>
      <c r="B38" s="44"/>
    </row>
    <row r="39" spans="1:5" ht="15" x14ac:dyDescent="0.2">
      <c r="A39" s="52" t="s">
        <v>80</v>
      </c>
      <c r="B39" s="53"/>
    </row>
    <row r="40" spans="1:5" ht="14.25" x14ac:dyDescent="0.2">
      <c r="A40" s="55"/>
      <c r="B40" s="56" t="s">
        <v>94</v>
      </c>
    </row>
    <row r="41" spans="1:5" ht="15" x14ac:dyDescent="0.2">
      <c r="A41" s="57" t="s">
        <v>0</v>
      </c>
      <c r="B41" s="57" t="s">
        <v>82</v>
      </c>
      <c r="C41" s="57" t="s">
        <v>83</v>
      </c>
      <c r="D41" s="57" t="s">
        <v>84</v>
      </c>
      <c r="E41" s="57" t="s">
        <v>24</v>
      </c>
    </row>
    <row r="42" spans="1:5" x14ac:dyDescent="0.2">
      <c r="A42" s="54" t="s">
        <v>318</v>
      </c>
      <c r="B42" s="5" t="s">
        <v>94</v>
      </c>
      <c r="C42" s="5" t="s">
        <v>91</v>
      </c>
      <c r="D42" s="5" t="s">
        <v>225</v>
      </c>
      <c r="E42" s="58" t="s">
        <v>362</v>
      </c>
    </row>
    <row r="45" spans="1:5" ht="15" x14ac:dyDescent="0.2">
      <c r="A45" s="52" t="s">
        <v>89</v>
      </c>
      <c r="B45" s="53"/>
    </row>
    <row r="46" spans="1:5" ht="14.25" x14ac:dyDescent="0.2">
      <c r="A46" s="55"/>
      <c r="B46" s="56" t="s">
        <v>94</v>
      </c>
    </row>
    <row r="47" spans="1:5" ht="15" x14ac:dyDescent="0.2">
      <c r="A47" s="57" t="s">
        <v>0</v>
      </c>
      <c r="B47" s="57" t="s">
        <v>82</v>
      </c>
      <c r="C47" s="57" t="s">
        <v>83</v>
      </c>
      <c r="D47" s="57" t="s">
        <v>84</v>
      </c>
      <c r="E47" s="57" t="s">
        <v>24</v>
      </c>
    </row>
    <row r="48" spans="1:5" x14ac:dyDescent="0.2">
      <c r="A48" s="54" t="s">
        <v>349</v>
      </c>
      <c r="B48" s="5" t="s">
        <v>94</v>
      </c>
      <c r="C48" s="5" t="s">
        <v>289</v>
      </c>
      <c r="D48" s="5" t="s">
        <v>155</v>
      </c>
      <c r="E48" s="58" t="s">
        <v>363</v>
      </c>
    </row>
    <row r="49" spans="1:5" x14ac:dyDescent="0.2">
      <c r="A49" s="54" t="s">
        <v>331</v>
      </c>
      <c r="B49" s="5" t="s">
        <v>94</v>
      </c>
      <c r="C49" s="5" t="s">
        <v>95</v>
      </c>
      <c r="D49" s="5" t="s">
        <v>337</v>
      </c>
      <c r="E49" s="58" t="s">
        <v>364</v>
      </c>
    </row>
    <row r="50" spans="1:5" x14ac:dyDescent="0.2">
      <c r="A50" s="54" t="s">
        <v>338</v>
      </c>
      <c r="B50" s="5" t="s">
        <v>94</v>
      </c>
      <c r="C50" s="5" t="s">
        <v>95</v>
      </c>
      <c r="D50" s="5" t="s">
        <v>342</v>
      </c>
      <c r="E50" s="58" t="s">
        <v>365</v>
      </c>
    </row>
    <row r="51" spans="1:5" x14ac:dyDescent="0.2">
      <c r="A51" s="54" t="s">
        <v>277</v>
      </c>
      <c r="B51" s="5" t="s">
        <v>94</v>
      </c>
      <c r="C51" s="5" t="s">
        <v>297</v>
      </c>
      <c r="D51" s="5" t="s">
        <v>336</v>
      </c>
      <c r="E51" s="58" t="s">
        <v>366</v>
      </c>
    </row>
    <row r="52" spans="1:5" x14ac:dyDescent="0.2">
      <c r="A52" s="54" t="s">
        <v>343</v>
      </c>
      <c r="B52" s="5" t="s">
        <v>94</v>
      </c>
      <c r="C52" s="5" t="s">
        <v>95</v>
      </c>
      <c r="D52" s="5" t="s">
        <v>348</v>
      </c>
      <c r="E52" s="58" t="s">
        <v>367</v>
      </c>
    </row>
    <row r="53" spans="1:5" x14ac:dyDescent="0.2">
      <c r="A53" s="54" t="s">
        <v>354</v>
      </c>
      <c r="B53" s="5" t="s">
        <v>94</v>
      </c>
      <c r="C53" s="5" t="s">
        <v>289</v>
      </c>
      <c r="D53" s="5" t="s">
        <v>63</v>
      </c>
      <c r="E53" s="58" t="s">
        <v>368</v>
      </c>
    </row>
    <row r="54" spans="1:5" x14ac:dyDescent="0.2">
      <c r="A54" s="54" t="s">
        <v>321</v>
      </c>
      <c r="B54" s="5" t="s">
        <v>94</v>
      </c>
      <c r="C54" s="5" t="s">
        <v>91</v>
      </c>
      <c r="D54" s="5" t="s">
        <v>194</v>
      </c>
      <c r="E54" s="58" t="s">
        <v>369</v>
      </c>
    </row>
    <row r="55" spans="1:5" x14ac:dyDescent="0.2">
      <c r="A55" s="54" t="s">
        <v>327</v>
      </c>
      <c r="B55" s="5" t="s">
        <v>94</v>
      </c>
      <c r="C55" s="5" t="s">
        <v>293</v>
      </c>
      <c r="D55" s="5" t="s">
        <v>52</v>
      </c>
      <c r="E55" s="58" t="s">
        <v>370</v>
      </c>
    </row>
    <row r="57" spans="1:5" ht="14.25" x14ac:dyDescent="0.2">
      <c r="A57" s="55"/>
      <c r="B57" s="56" t="s">
        <v>135</v>
      </c>
    </row>
    <row r="58" spans="1:5" ht="15" x14ac:dyDescent="0.2">
      <c r="A58" s="57" t="s">
        <v>0</v>
      </c>
      <c r="B58" s="57" t="s">
        <v>82</v>
      </c>
      <c r="C58" s="57" t="s">
        <v>83</v>
      </c>
      <c r="D58" s="57" t="s">
        <v>84</v>
      </c>
      <c r="E58" s="57" t="s">
        <v>24</v>
      </c>
    </row>
    <row r="59" spans="1:5" x14ac:dyDescent="0.2">
      <c r="A59" s="54" t="s">
        <v>321</v>
      </c>
      <c r="B59" s="5" t="s">
        <v>142</v>
      </c>
      <c r="C59" s="5" t="s">
        <v>91</v>
      </c>
      <c r="D59" s="5" t="s">
        <v>194</v>
      </c>
      <c r="E59" s="58" t="s">
        <v>371</v>
      </c>
    </row>
    <row r="60" spans="1:5" x14ac:dyDescent="0.2">
      <c r="A60" s="54" t="s">
        <v>240</v>
      </c>
      <c r="B60" s="5" t="s">
        <v>286</v>
      </c>
      <c r="C60" s="5" t="s">
        <v>289</v>
      </c>
      <c r="D60" s="5" t="s">
        <v>63</v>
      </c>
      <c r="E60" s="58" t="s">
        <v>372</v>
      </c>
    </row>
    <row r="61" spans="1:5" x14ac:dyDescent="0.2">
      <c r="A61" s="54" t="s">
        <v>254</v>
      </c>
      <c r="B61" s="5" t="s">
        <v>144</v>
      </c>
      <c r="C61" s="5" t="s">
        <v>289</v>
      </c>
      <c r="D61" s="5" t="s">
        <v>361</v>
      </c>
      <c r="E61" s="58" t="s">
        <v>373</v>
      </c>
    </row>
  </sheetData>
  <mergeCells count="17">
    <mergeCell ref="A15:L15"/>
    <mergeCell ref="A20:L20"/>
    <mergeCell ref="A27:L27"/>
    <mergeCell ref="K3:K4"/>
    <mergeCell ref="L3:L4"/>
    <mergeCell ref="M3:M4"/>
    <mergeCell ref="A5:L5"/>
    <mergeCell ref="A8:L8"/>
    <mergeCell ref="A12:L12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14.7109375" style="5" bestFit="1" customWidth="1"/>
    <col min="3" max="3" width="7.7109375" style="5" bestFit="1" customWidth="1"/>
    <col min="4" max="4" width="7.28515625" style="5" customWidth="1"/>
    <col min="5" max="5" width="17.28515625" style="4" bestFit="1" customWidth="1"/>
    <col min="6" max="6" width="14.5703125" style="4" bestFit="1" customWidth="1"/>
    <col min="7" max="9" width="2.140625" style="5" bestFit="1" customWidth="1"/>
    <col min="10" max="10" width="5" style="5" bestFit="1" customWidth="1"/>
    <col min="11" max="11" width="6.140625" style="4" bestFit="1" customWidth="1"/>
    <col min="12" max="12" width="4.28515625" style="5" bestFit="1" customWidth="1"/>
    <col min="13" max="13" width="7.42578125" style="4" bestFit="1" customWidth="1"/>
    <col min="14" max="16384" width="9.140625" style="3"/>
  </cols>
  <sheetData>
    <row r="1" spans="1:13" s="2" customFormat="1" ht="29.1" customHeight="1" x14ac:dyDescent="0.2">
      <c r="A1" s="35" t="s">
        <v>316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4</v>
      </c>
      <c r="H3" s="26"/>
      <c r="I3" s="26"/>
      <c r="J3" s="27"/>
      <c r="K3" s="41" t="s">
        <v>314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x14ac:dyDescent="0.2">
      <c r="A5" s="4"/>
      <c r="E5" s="4"/>
      <c r="F5" s="4"/>
      <c r="K5" s="4"/>
      <c r="M5" s="4"/>
    </row>
    <row r="6" spans="1:13" s="5" customFormat="1" ht="15" x14ac:dyDescent="0.2">
      <c r="A6" s="4"/>
      <c r="E6" s="34" t="s">
        <v>15</v>
      </c>
      <c r="F6" s="4"/>
      <c r="K6" s="4"/>
      <c r="M6" s="4"/>
    </row>
    <row r="7" spans="1:13" s="5" customFormat="1" ht="15" x14ac:dyDescent="0.2">
      <c r="A7" s="4"/>
      <c r="E7" s="34" t="s">
        <v>16</v>
      </c>
      <c r="F7" s="4"/>
      <c r="K7" s="4"/>
      <c r="M7" s="4"/>
    </row>
    <row r="8" spans="1:13" ht="15" x14ac:dyDescent="0.2">
      <c r="E8" s="34" t="s">
        <v>17</v>
      </c>
    </row>
    <row r="9" spans="1:13" x14ac:dyDescent="0.2">
      <c r="E9" s="4" t="s">
        <v>18</v>
      </c>
    </row>
    <row r="10" spans="1:13" x14ac:dyDescent="0.2">
      <c r="E10" s="4" t="s">
        <v>19</v>
      </c>
    </row>
    <row r="11" spans="1:13" x14ac:dyDescent="0.2">
      <c r="E11" s="4" t="s">
        <v>20</v>
      </c>
    </row>
    <row r="14" spans="1:13" ht="18" x14ac:dyDescent="0.25">
      <c r="A14" s="43" t="s">
        <v>21</v>
      </c>
      <c r="B14" s="44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sqref="A1:M2"/>
    </sheetView>
  </sheetViews>
  <sheetFormatPr defaultRowHeight="12.75" x14ac:dyDescent="0.2"/>
  <cols>
    <col min="1" max="1" width="27" style="4" bestFit="1" customWidth="1"/>
    <col min="2" max="2" width="14.7109375" style="5" bestFit="1" customWidth="1"/>
    <col min="3" max="3" width="7.7109375" style="5" bestFit="1" customWidth="1"/>
    <col min="4" max="4" width="7.28515625" style="5" customWidth="1"/>
    <col min="5" max="5" width="17.28515625" style="4" bestFit="1" customWidth="1"/>
    <col min="6" max="6" width="14.5703125" style="4" bestFit="1" customWidth="1"/>
    <col min="7" max="9" width="2.140625" style="5" bestFit="1" customWidth="1"/>
    <col min="10" max="10" width="5" style="5" bestFit="1" customWidth="1"/>
    <col min="11" max="11" width="6.140625" style="4" bestFit="1" customWidth="1"/>
    <col min="12" max="12" width="4.28515625" style="5" bestFit="1" customWidth="1"/>
    <col min="13" max="13" width="7.42578125" style="4" bestFit="1" customWidth="1"/>
    <col min="14" max="16384" width="9.140625" style="3"/>
  </cols>
  <sheetData>
    <row r="1" spans="1:13" s="2" customFormat="1" ht="29.1" customHeight="1" x14ac:dyDescent="0.2">
      <c r="A1" s="35" t="s">
        <v>903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5</v>
      </c>
      <c r="H3" s="26"/>
      <c r="I3" s="26"/>
      <c r="J3" s="27"/>
      <c r="K3" s="41" t="s">
        <v>314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x14ac:dyDescent="0.2">
      <c r="A5" s="4"/>
      <c r="E5" s="4"/>
      <c r="F5" s="4"/>
      <c r="K5" s="4"/>
      <c r="M5" s="4"/>
    </row>
    <row r="6" spans="1:13" s="5" customFormat="1" ht="15" x14ac:dyDescent="0.2">
      <c r="A6" s="4"/>
      <c r="E6" s="34" t="s">
        <v>15</v>
      </c>
      <c r="F6" s="4"/>
      <c r="K6" s="4"/>
      <c r="M6" s="4"/>
    </row>
    <row r="7" spans="1:13" s="5" customFormat="1" ht="15" x14ac:dyDescent="0.2">
      <c r="A7" s="4"/>
      <c r="E7" s="34" t="s">
        <v>16</v>
      </c>
      <c r="F7" s="4"/>
      <c r="K7" s="4"/>
      <c r="M7" s="4"/>
    </row>
    <row r="8" spans="1:13" ht="15" x14ac:dyDescent="0.2">
      <c r="E8" s="34" t="s">
        <v>17</v>
      </c>
    </row>
    <row r="9" spans="1:13" x14ac:dyDescent="0.2">
      <c r="E9" s="4" t="s">
        <v>18</v>
      </c>
    </row>
    <row r="10" spans="1:13" x14ac:dyDescent="0.2">
      <c r="E10" s="4" t="s">
        <v>19</v>
      </c>
    </row>
    <row r="11" spans="1:13" x14ac:dyDescent="0.2">
      <c r="E11" s="4" t="s">
        <v>20</v>
      </c>
    </row>
    <row r="14" spans="1:13" ht="18" x14ac:dyDescent="0.25">
      <c r="A14" s="43" t="s">
        <v>21</v>
      </c>
      <c r="B14" s="44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14.7109375" style="5" bestFit="1" customWidth="1"/>
    <col min="3" max="3" width="7.7109375" style="5" bestFit="1" customWidth="1"/>
    <col min="4" max="4" width="7.28515625" style="5" customWidth="1"/>
    <col min="5" max="5" width="17.28515625" style="4" bestFit="1" customWidth="1"/>
    <col min="6" max="6" width="14.5703125" style="4" bestFit="1" customWidth="1"/>
    <col min="7" max="9" width="2.140625" style="5" bestFit="1" customWidth="1"/>
    <col min="10" max="10" width="5" style="5" bestFit="1" customWidth="1"/>
    <col min="11" max="11" width="6.140625" style="4" bestFit="1" customWidth="1"/>
    <col min="12" max="12" width="4.28515625" style="5" bestFit="1" customWidth="1"/>
    <col min="13" max="13" width="7.42578125" style="4" bestFit="1" customWidth="1"/>
    <col min="14" max="16384" width="9.140625" style="3"/>
  </cols>
  <sheetData>
    <row r="1" spans="1:13" s="2" customFormat="1" ht="29.1" customHeight="1" x14ac:dyDescent="0.2">
      <c r="A1" s="35" t="s">
        <v>315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4</v>
      </c>
      <c r="H3" s="26"/>
      <c r="I3" s="26"/>
      <c r="J3" s="27"/>
      <c r="K3" s="41" t="s">
        <v>314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x14ac:dyDescent="0.2">
      <c r="A5" s="4"/>
      <c r="E5" s="4"/>
      <c r="F5" s="4"/>
      <c r="K5" s="4"/>
      <c r="M5" s="4"/>
    </row>
    <row r="6" spans="1:13" s="5" customFormat="1" ht="15" x14ac:dyDescent="0.2">
      <c r="A6" s="4"/>
      <c r="E6" s="34" t="s">
        <v>15</v>
      </c>
      <c r="F6" s="4"/>
      <c r="K6" s="4"/>
      <c r="M6" s="4"/>
    </row>
    <row r="7" spans="1:13" s="5" customFormat="1" ht="15" x14ac:dyDescent="0.2">
      <c r="A7" s="4"/>
      <c r="E7" s="34" t="s">
        <v>16</v>
      </c>
      <c r="F7" s="4"/>
      <c r="K7" s="4"/>
      <c r="M7" s="4"/>
    </row>
    <row r="8" spans="1:13" ht="15" x14ac:dyDescent="0.2">
      <c r="E8" s="34" t="s">
        <v>17</v>
      </c>
    </row>
    <row r="9" spans="1:13" x14ac:dyDescent="0.2">
      <c r="E9" s="4" t="s">
        <v>18</v>
      </c>
    </row>
    <row r="10" spans="1:13" x14ac:dyDescent="0.2">
      <c r="E10" s="4" t="s">
        <v>19</v>
      </c>
    </row>
    <row r="11" spans="1:13" x14ac:dyDescent="0.2">
      <c r="E11" s="4" t="s">
        <v>20</v>
      </c>
    </row>
    <row r="14" spans="1:13" ht="18" x14ac:dyDescent="0.25">
      <c r="A14" s="43" t="s">
        <v>21</v>
      </c>
      <c r="B14" s="44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26.85546875" style="5" bestFit="1" customWidth="1"/>
    <col min="3" max="3" width="7.7109375" style="5" bestFit="1" customWidth="1"/>
    <col min="4" max="4" width="6.85546875" style="5" bestFit="1" customWidth="1"/>
    <col min="5" max="5" width="17.28515625" style="4" bestFit="1" customWidth="1"/>
    <col min="6" max="6" width="25.140625" style="4" bestFit="1" customWidth="1"/>
    <col min="7" max="9" width="5.5703125" style="5" bestFit="1" customWidth="1"/>
    <col min="10" max="10" width="5" style="5" bestFit="1" customWidth="1"/>
    <col min="11" max="11" width="6.140625" style="4" bestFit="1" customWidth="1"/>
    <col min="12" max="12" width="8.5703125" style="5" bestFit="1" customWidth="1"/>
    <col min="13" max="13" width="7.42578125" style="4" bestFit="1" customWidth="1"/>
    <col min="14" max="16384" width="9.140625" style="3"/>
  </cols>
  <sheetData>
    <row r="1" spans="1:13" s="2" customFormat="1" ht="29.1" customHeight="1" x14ac:dyDescent="0.2">
      <c r="A1" s="35" t="s">
        <v>167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4</v>
      </c>
      <c r="H3" s="26"/>
      <c r="I3" s="26"/>
      <c r="J3" s="27"/>
      <c r="K3" s="41" t="s">
        <v>314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ht="15" x14ac:dyDescent="0.2">
      <c r="A5" s="45" t="s">
        <v>168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"/>
    </row>
    <row r="6" spans="1:13" s="5" customFormat="1" x14ac:dyDescent="0.2">
      <c r="A6" s="46" t="s">
        <v>170</v>
      </c>
      <c r="B6" s="47" t="s">
        <v>171</v>
      </c>
      <c r="C6" s="47" t="s">
        <v>172</v>
      </c>
      <c r="D6" s="47" t="str">
        <f>"1,0072"</f>
        <v>1,0072</v>
      </c>
      <c r="E6" s="46" t="s">
        <v>30</v>
      </c>
      <c r="F6" s="46" t="s">
        <v>31</v>
      </c>
      <c r="G6" s="47" t="s">
        <v>173</v>
      </c>
      <c r="H6" s="47" t="s">
        <v>51</v>
      </c>
      <c r="I6" s="47" t="s">
        <v>38</v>
      </c>
      <c r="J6" s="48"/>
      <c r="K6" s="46" t="str">
        <f>"95,0"</f>
        <v>95,0</v>
      </c>
      <c r="L6" s="47" t="str">
        <f>"109,7495"</f>
        <v>109,7495</v>
      </c>
      <c r="M6" s="46"/>
    </row>
    <row r="7" spans="1:13" s="5" customFormat="1" x14ac:dyDescent="0.2">
      <c r="A7" s="4"/>
      <c r="E7" s="4"/>
      <c r="F7" s="4"/>
      <c r="K7" s="4"/>
      <c r="M7" s="4"/>
    </row>
    <row r="8" spans="1:13" ht="15" x14ac:dyDescent="0.2">
      <c r="A8" s="50" t="s">
        <v>41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3" x14ac:dyDescent="0.2">
      <c r="A9" s="61" t="s">
        <v>175</v>
      </c>
      <c r="B9" s="59" t="s">
        <v>176</v>
      </c>
      <c r="C9" s="59" t="s">
        <v>177</v>
      </c>
      <c r="D9" s="59" t="str">
        <f>"0,8507"</f>
        <v>0,8507</v>
      </c>
      <c r="E9" s="61" t="s">
        <v>30</v>
      </c>
      <c r="F9" s="61" t="s">
        <v>31</v>
      </c>
      <c r="G9" s="59" t="s">
        <v>40</v>
      </c>
      <c r="H9" s="59" t="s">
        <v>46</v>
      </c>
      <c r="I9" s="62" t="s">
        <v>47</v>
      </c>
      <c r="J9" s="62"/>
      <c r="K9" s="61" t="str">
        <f>"110,0"</f>
        <v>110,0</v>
      </c>
      <c r="L9" s="59" t="str">
        <f>"93,5770"</f>
        <v>93,5770</v>
      </c>
      <c r="M9" s="61"/>
    </row>
    <row r="10" spans="1:13" x14ac:dyDescent="0.2">
      <c r="A10" s="63" t="s">
        <v>179</v>
      </c>
      <c r="B10" s="60" t="s">
        <v>180</v>
      </c>
      <c r="C10" s="60" t="s">
        <v>181</v>
      </c>
      <c r="D10" s="60" t="str">
        <f>"0,8547"</f>
        <v>0,8547</v>
      </c>
      <c r="E10" s="63" t="s">
        <v>30</v>
      </c>
      <c r="F10" s="63" t="s">
        <v>31</v>
      </c>
      <c r="G10" s="60" t="s">
        <v>32</v>
      </c>
      <c r="H10" s="60" t="s">
        <v>33</v>
      </c>
      <c r="I10" s="64" t="s">
        <v>182</v>
      </c>
      <c r="J10" s="64"/>
      <c r="K10" s="63" t="str">
        <f>"80,0"</f>
        <v>80,0</v>
      </c>
      <c r="L10" s="60" t="str">
        <f>"69,7435"</f>
        <v>69,7435</v>
      </c>
      <c r="M10" s="63"/>
    </row>
    <row r="12" spans="1:13" ht="15" x14ac:dyDescent="0.2">
      <c r="A12" s="50" t="s">
        <v>183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1:13" x14ac:dyDescent="0.2">
      <c r="A13" s="46" t="s">
        <v>185</v>
      </c>
      <c r="B13" s="47" t="s">
        <v>186</v>
      </c>
      <c r="C13" s="47" t="s">
        <v>187</v>
      </c>
      <c r="D13" s="47" t="str">
        <f>"0,7484"</f>
        <v>0,7484</v>
      </c>
      <c r="E13" s="46" t="s">
        <v>30</v>
      </c>
      <c r="F13" s="46" t="s">
        <v>31</v>
      </c>
      <c r="G13" s="47" t="s">
        <v>188</v>
      </c>
      <c r="H13" s="47" t="s">
        <v>189</v>
      </c>
      <c r="I13" s="48" t="s">
        <v>107</v>
      </c>
      <c r="J13" s="48"/>
      <c r="K13" s="46" t="str">
        <f>"135,0"</f>
        <v>135,0</v>
      </c>
      <c r="L13" s="47" t="str">
        <f>"101,0340"</f>
        <v>101,0340</v>
      </c>
      <c r="M13" s="46"/>
    </row>
    <row r="15" spans="1:13" ht="15" x14ac:dyDescent="0.2">
      <c r="A15" s="50" t="s">
        <v>41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1:13" x14ac:dyDescent="0.2">
      <c r="A16" s="61" t="s">
        <v>191</v>
      </c>
      <c r="B16" s="59" t="s">
        <v>192</v>
      </c>
      <c r="C16" s="59" t="s">
        <v>193</v>
      </c>
      <c r="D16" s="59" t="str">
        <f>"0,6913"</f>
        <v>0,6913</v>
      </c>
      <c r="E16" s="61" t="s">
        <v>30</v>
      </c>
      <c r="F16" s="61" t="s">
        <v>31</v>
      </c>
      <c r="G16" s="59" t="s">
        <v>64</v>
      </c>
      <c r="H16" s="59" t="s">
        <v>194</v>
      </c>
      <c r="I16" s="62" t="s">
        <v>76</v>
      </c>
      <c r="J16" s="62"/>
      <c r="K16" s="61" t="str">
        <f>"177,5"</f>
        <v>177,5</v>
      </c>
      <c r="L16" s="59" t="str">
        <f>"122,6969"</f>
        <v>122,6969</v>
      </c>
      <c r="M16" s="61"/>
    </row>
    <row r="17" spans="1:13" x14ac:dyDescent="0.2">
      <c r="A17" s="66" t="s">
        <v>196</v>
      </c>
      <c r="B17" s="65" t="s">
        <v>197</v>
      </c>
      <c r="C17" s="65" t="s">
        <v>198</v>
      </c>
      <c r="D17" s="65" t="str">
        <f>"0,6927"</f>
        <v>0,6927</v>
      </c>
      <c r="E17" s="66" t="s">
        <v>30</v>
      </c>
      <c r="F17" s="66" t="s">
        <v>199</v>
      </c>
      <c r="G17" s="65" t="s">
        <v>49</v>
      </c>
      <c r="H17" s="65" t="s">
        <v>107</v>
      </c>
      <c r="I17" s="67" t="s">
        <v>52</v>
      </c>
      <c r="J17" s="67"/>
      <c r="K17" s="66" t="str">
        <f>"140,0"</f>
        <v>140,0</v>
      </c>
      <c r="L17" s="65" t="str">
        <f>"96,9710"</f>
        <v>96,9710</v>
      </c>
      <c r="M17" s="66"/>
    </row>
    <row r="18" spans="1:13" x14ac:dyDescent="0.2">
      <c r="A18" s="63" t="s">
        <v>200</v>
      </c>
      <c r="B18" s="60" t="s">
        <v>201</v>
      </c>
      <c r="C18" s="60" t="s">
        <v>198</v>
      </c>
      <c r="D18" s="60" t="str">
        <f>"0,6927"</f>
        <v>0,6927</v>
      </c>
      <c r="E18" s="63" t="s">
        <v>30</v>
      </c>
      <c r="F18" s="63" t="s">
        <v>199</v>
      </c>
      <c r="G18" s="60" t="s">
        <v>49</v>
      </c>
      <c r="H18" s="60" t="s">
        <v>107</v>
      </c>
      <c r="I18" s="64" t="s">
        <v>52</v>
      </c>
      <c r="J18" s="64"/>
      <c r="K18" s="63" t="str">
        <f>"140,0"</f>
        <v>140,0</v>
      </c>
      <c r="L18" s="60" t="str">
        <f>"103,5650"</f>
        <v>103,5650</v>
      </c>
      <c r="M18" s="63"/>
    </row>
    <row r="20" spans="1:13" ht="15" x14ac:dyDescent="0.2">
      <c r="A20" s="50" t="s">
        <v>202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</row>
    <row r="21" spans="1:13" x14ac:dyDescent="0.2">
      <c r="A21" s="61" t="s">
        <v>204</v>
      </c>
      <c r="B21" s="59" t="s">
        <v>205</v>
      </c>
      <c r="C21" s="59" t="s">
        <v>206</v>
      </c>
      <c r="D21" s="59" t="str">
        <f>"0,6449"</f>
        <v>0,6449</v>
      </c>
      <c r="E21" s="61" t="s">
        <v>30</v>
      </c>
      <c r="F21" s="61" t="s">
        <v>31</v>
      </c>
      <c r="G21" s="59" t="s">
        <v>74</v>
      </c>
      <c r="H21" s="59" t="s">
        <v>132</v>
      </c>
      <c r="I21" s="59" t="s">
        <v>134</v>
      </c>
      <c r="J21" s="62"/>
      <c r="K21" s="61" t="str">
        <f>"195,0"</f>
        <v>195,0</v>
      </c>
      <c r="L21" s="59" t="str">
        <f>"125,7458"</f>
        <v>125,7458</v>
      </c>
      <c r="M21" s="61"/>
    </row>
    <row r="22" spans="1:13" x14ac:dyDescent="0.2">
      <c r="A22" s="63" t="s">
        <v>204</v>
      </c>
      <c r="B22" s="60" t="s">
        <v>207</v>
      </c>
      <c r="C22" s="60" t="s">
        <v>206</v>
      </c>
      <c r="D22" s="60" t="str">
        <f>"0,6449"</f>
        <v>0,6449</v>
      </c>
      <c r="E22" s="63" t="s">
        <v>30</v>
      </c>
      <c r="F22" s="63" t="s">
        <v>31</v>
      </c>
      <c r="G22" s="60" t="s">
        <v>74</v>
      </c>
      <c r="H22" s="60" t="s">
        <v>132</v>
      </c>
      <c r="I22" s="60" t="s">
        <v>134</v>
      </c>
      <c r="J22" s="64"/>
      <c r="K22" s="63" t="str">
        <f>"195,0"</f>
        <v>195,0</v>
      </c>
      <c r="L22" s="60" t="str">
        <f>"134,2965"</f>
        <v>134,2965</v>
      </c>
      <c r="M22" s="63"/>
    </row>
    <row r="24" spans="1:13" ht="15" x14ac:dyDescent="0.2">
      <c r="A24" s="50" t="s">
        <v>55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3" x14ac:dyDescent="0.2">
      <c r="A25" s="61" t="s">
        <v>209</v>
      </c>
      <c r="B25" s="59" t="s">
        <v>210</v>
      </c>
      <c r="C25" s="59" t="s">
        <v>211</v>
      </c>
      <c r="D25" s="59" t="str">
        <f>"0,6263"</f>
        <v>0,6263</v>
      </c>
      <c r="E25" s="61" t="s">
        <v>30</v>
      </c>
      <c r="F25" s="61" t="s">
        <v>31</v>
      </c>
      <c r="G25" s="59" t="s">
        <v>46</v>
      </c>
      <c r="H25" s="59" t="s">
        <v>212</v>
      </c>
      <c r="I25" s="59" t="s">
        <v>213</v>
      </c>
      <c r="J25" s="62"/>
      <c r="K25" s="61" t="str">
        <f>"122,5"</f>
        <v>122,5</v>
      </c>
      <c r="L25" s="59" t="str">
        <f>"76,7279"</f>
        <v>76,7279</v>
      </c>
      <c r="M25" s="61"/>
    </row>
    <row r="26" spans="1:13" x14ac:dyDescent="0.2">
      <c r="A26" s="63" t="s">
        <v>215</v>
      </c>
      <c r="B26" s="60" t="s">
        <v>216</v>
      </c>
      <c r="C26" s="60" t="s">
        <v>217</v>
      </c>
      <c r="D26" s="60" t="str">
        <f>"0,6128"</f>
        <v>0,6128</v>
      </c>
      <c r="E26" s="63" t="s">
        <v>30</v>
      </c>
      <c r="F26" s="63" t="s">
        <v>199</v>
      </c>
      <c r="G26" s="60" t="s">
        <v>75</v>
      </c>
      <c r="H26" s="60" t="s">
        <v>218</v>
      </c>
      <c r="I26" s="60" t="s">
        <v>123</v>
      </c>
      <c r="J26" s="64"/>
      <c r="K26" s="63" t="str">
        <f>"200,0"</f>
        <v>200,0</v>
      </c>
      <c r="L26" s="60" t="str">
        <f>"122,5600"</f>
        <v>122,5600</v>
      </c>
      <c r="M26" s="63"/>
    </row>
    <row r="28" spans="1:13" ht="15" x14ac:dyDescent="0.2">
      <c r="A28" s="50" t="s">
        <v>219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</row>
    <row r="29" spans="1:13" x14ac:dyDescent="0.2">
      <c r="A29" s="61" t="s">
        <v>221</v>
      </c>
      <c r="B29" s="59" t="s">
        <v>222</v>
      </c>
      <c r="C29" s="59" t="s">
        <v>223</v>
      </c>
      <c r="D29" s="59" t="str">
        <f>"0,6058"</f>
        <v>0,6058</v>
      </c>
      <c r="E29" s="61" t="s">
        <v>30</v>
      </c>
      <c r="F29" s="61" t="s">
        <v>224</v>
      </c>
      <c r="G29" s="59" t="s">
        <v>225</v>
      </c>
      <c r="H29" s="62" t="s">
        <v>54</v>
      </c>
      <c r="I29" s="62" t="s">
        <v>54</v>
      </c>
      <c r="J29" s="62"/>
      <c r="K29" s="61" t="str">
        <f>"160,0"</f>
        <v>160,0</v>
      </c>
      <c r="L29" s="59" t="str">
        <f>"96,9200"</f>
        <v>96,9200</v>
      </c>
      <c r="M29" s="61"/>
    </row>
    <row r="30" spans="1:13" x14ac:dyDescent="0.2">
      <c r="A30" s="66" t="s">
        <v>227</v>
      </c>
      <c r="B30" s="65" t="s">
        <v>228</v>
      </c>
      <c r="C30" s="65" t="s">
        <v>229</v>
      </c>
      <c r="D30" s="65" t="str">
        <f>"0,5868"</f>
        <v>0,5868</v>
      </c>
      <c r="E30" s="66" t="s">
        <v>30</v>
      </c>
      <c r="F30" s="66" t="s">
        <v>31</v>
      </c>
      <c r="G30" s="65" t="s">
        <v>132</v>
      </c>
      <c r="H30" s="65" t="s">
        <v>218</v>
      </c>
      <c r="I30" s="65" t="s">
        <v>230</v>
      </c>
      <c r="J30" s="67"/>
      <c r="K30" s="66" t="str">
        <f>"192,5"</f>
        <v>192,5</v>
      </c>
      <c r="L30" s="65" t="str">
        <f>"112,9590"</f>
        <v>112,9590</v>
      </c>
      <c r="M30" s="66"/>
    </row>
    <row r="31" spans="1:13" x14ac:dyDescent="0.2">
      <c r="A31" s="66" t="s">
        <v>232</v>
      </c>
      <c r="B31" s="65" t="s">
        <v>233</v>
      </c>
      <c r="C31" s="65" t="s">
        <v>234</v>
      </c>
      <c r="D31" s="65" t="str">
        <f>"0,5831"</f>
        <v>0,5831</v>
      </c>
      <c r="E31" s="66" t="s">
        <v>30</v>
      </c>
      <c r="F31" s="66" t="s">
        <v>31</v>
      </c>
      <c r="G31" s="67" t="s">
        <v>132</v>
      </c>
      <c r="H31" s="65" t="s">
        <v>132</v>
      </c>
      <c r="I31" s="67" t="s">
        <v>218</v>
      </c>
      <c r="J31" s="67"/>
      <c r="K31" s="66" t="str">
        <f>"185,0"</f>
        <v>185,0</v>
      </c>
      <c r="L31" s="65" t="str">
        <f>"107,8643"</f>
        <v>107,8643</v>
      </c>
      <c r="M31" s="66"/>
    </row>
    <row r="32" spans="1:13" x14ac:dyDescent="0.2">
      <c r="A32" s="66" t="s">
        <v>235</v>
      </c>
      <c r="B32" s="65" t="s">
        <v>236</v>
      </c>
      <c r="C32" s="65" t="s">
        <v>223</v>
      </c>
      <c r="D32" s="65" t="str">
        <f>"0,6058"</f>
        <v>0,6058</v>
      </c>
      <c r="E32" s="66" t="s">
        <v>30</v>
      </c>
      <c r="F32" s="66" t="s">
        <v>224</v>
      </c>
      <c r="G32" s="65" t="s">
        <v>225</v>
      </c>
      <c r="H32" s="67" t="s">
        <v>54</v>
      </c>
      <c r="I32" s="67" t="s">
        <v>54</v>
      </c>
      <c r="J32" s="67"/>
      <c r="K32" s="66" t="str">
        <f>"160,0"</f>
        <v>160,0</v>
      </c>
      <c r="L32" s="65" t="str">
        <f>"96,9200"</f>
        <v>96,9200</v>
      </c>
      <c r="M32" s="66"/>
    </row>
    <row r="33" spans="1:13" x14ac:dyDescent="0.2">
      <c r="A33" s="66" t="s">
        <v>237</v>
      </c>
      <c r="B33" s="65" t="s">
        <v>238</v>
      </c>
      <c r="C33" s="65" t="s">
        <v>239</v>
      </c>
      <c r="D33" s="65" t="str">
        <f>"0,5942"</f>
        <v>0,5942</v>
      </c>
      <c r="E33" s="66" t="s">
        <v>30</v>
      </c>
      <c r="F33" s="66" t="s">
        <v>31</v>
      </c>
      <c r="G33" s="67" t="s">
        <v>132</v>
      </c>
      <c r="H33" s="67" t="s">
        <v>132</v>
      </c>
      <c r="I33" s="67" t="s">
        <v>132</v>
      </c>
      <c r="J33" s="67"/>
      <c r="K33" s="66" t="str">
        <f>"0.00"</f>
        <v>0.00</v>
      </c>
      <c r="L33" s="65" t="str">
        <f>"0,0000"</f>
        <v>0,0000</v>
      </c>
      <c r="M33" s="66"/>
    </row>
    <row r="34" spans="1:13" x14ac:dyDescent="0.2">
      <c r="A34" s="66" t="s">
        <v>241</v>
      </c>
      <c r="B34" s="65" t="s">
        <v>242</v>
      </c>
      <c r="C34" s="65" t="s">
        <v>243</v>
      </c>
      <c r="D34" s="65" t="str">
        <f>"0,5838"</f>
        <v>0,5838</v>
      </c>
      <c r="E34" s="66" t="s">
        <v>30</v>
      </c>
      <c r="F34" s="66" t="s">
        <v>244</v>
      </c>
      <c r="G34" s="65" t="s">
        <v>64</v>
      </c>
      <c r="H34" s="67" t="s">
        <v>75</v>
      </c>
      <c r="I34" s="67"/>
      <c r="J34" s="67"/>
      <c r="K34" s="66" t="str">
        <f>"170,0"</f>
        <v>170,0</v>
      </c>
      <c r="L34" s="65" t="str">
        <f>"100,2385"</f>
        <v>100,2385</v>
      </c>
      <c r="M34" s="66"/>
    </row>
    <row r="35" spans="1:13" x14ac:dyDescent="0.2">
      <c r="A35" s="66" t="s">
        <v>246</v>
      </c>
      <c r="B35" s="65" t="s">
        <v>247</v>
      </c>
      <c r="C35" s="65" t="s">
        <v>248</v>
      </c>
      <c r="D35" s="65" t="str">
        <f>"0,5963"</f>
        <v>0,5963</v>
      </c>
      <c r="E35" s="66" t="s">
        <v>30</v>
      </c>
      <c r="F35" s="66" t="s">
        <v>199</v>
      </c>
      <c r="G35" s="65" t="s">
        <v>249</v>
      </c>
      <c r="H35" s="67" t="s">
        <v>225</v>
      </c>
      <c r="I35" s="67" t="s">
        <v>225</v>
      </c>
      <c r="J35" s="67"/>
      <c r="K35" s="66" t="str">
        <f>"155,0"</f>
        <v>155,0</v>
      </c>
      <c r="L35" s="65" t="str">
        <f>"102,8707"</f>
        <v>102,8707</v>
      </c>
      <c r="M35" s="66"/>
    </row>
    <row r="36" spans="1:13" x14ac:dyDescent="0.2">
      <c r="A36" s="66" t="s">
        <v>251</v>
      </c>
      <c r="B36" s="65" t="s">
        <v>252</v>
      </c>
      <c r="C36" s="65" t="s">
        <v>253</v>
      </c>
      <c r="D36" s="65" t="str">
        <f>"0,5905"</f>
        <v>0,5905</v>
      </c>
      <c r="E36" s="66" t="s">
        <v>30</v>
      </c>
      <c r="F36" s="66" t="s">
        <v>199</v>
      </c>
      <c r="G36" s="65" t="s">
        <v>107</v>
      </c>
      <c r="H36" s="65" t="s">
        <v>108</v>
      </c>
      <c r="I36" s="65" t="s">
        <v>225</v>
      </c>
      <c r="J36" s="67"/>
      <c r="K36" s="66" t="str">
        <f>"160,0"</f>
        <v>160,0</v>
      </c>
      <c r="L36" s="65" t="str">
        <f>"119,8006"</f>
        <v>119,8006</v>
      </c>
      <c r="M36" s="66"/>
    </row>
    <row r="37" spans="1:13" x14ac:dyDescent="0.2">
      <c r="A37" s="66" t="s">
        <v>255</v>
      </c>
      <c r="B37" s="65" t="s">
        <v>256</v>
      </c>
      <c r="C37" s="65" t="s">
        <v>257</v>
      </c>
      <c r="D37" s="65" t="str">
        <f>"0,6047"</f>
        <v>0,6047</v>
      </c>
      <c r="E37" s="66" t="s">
        <v>30</v>
      </c>
      <c r="F37" s="66" t="s">
        <v>199</v>
      </c>
      <c r="G37" s="65" t="s">
        <v>46</v>
      </c>
      <c r="H37" s="65" t="s">
        <v>112</v>
      </c>
      <c r="I37" s="65" t="s">
        <v>47</v>
      </c>
      <c r="J37" s="67"/>
      <c r="K37" s="66" t="str">
        <f>"117,5"</f>
        <v>117,5</v>
      </c>
      <c r="L37" s="65" t="str">
        <f>"97,0574"</f>
        <v>97,0574</v>
      </c>
      <c r="M37" s="66"/>
    </row>
    <row r="38" spans="1:13" x14ac:dyDescent="0.2">
      <c r="A38" s="63" t="s">
        <v>259</v>
      </c>
      <c r="B38" s="60" t="s">
        <v>260</v>
      </c>
      <c r="C38" s="60" t="s">
        <v>261</v>
      </c>
      <c r="D38" s="60" t="str">
        <f>"0,5813"</f>
        <v>0,5813</v>
      </c>
      <c r="E38" s="63" t="s">
        <v>30</v>
      </c>
      <c r="F38" s="63" t="s">
        <v>262</v>
      </c>
      <c r="G38" s="60" t="s">
        <v>33</v>
      </c>
      <c r="H38" s="60" t="s">
        <v>173</v>
      </c>
      <c r="I38" s="64" t="s">
        <v>39</v>
      </c>
      <c r="J38" s="64"/>
      <c r="K38" s="63" t="str">
        <f>"90,0"</f>
        <v>90,0</v>
      </c>
      <c r="L38" s="60" t="str">
        <f>"82,4516"</f>
        <v>82,4516</v>
      </c>
      <c r="M38" s="63"/>
    </row>
    <row r="40" spans="1:13" ht="15" x14ac:dyDescent="0.2">
      <c r="A40" s="50" t="s">
        <v>67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</row>
    <row r="41" spans="1:13" x14ac:dyDescent="0.2">
      <c r="A41" s="61" t="s">
        <v>264</v>
      </c>
      <c r="B41" s="59" t="s">
        <v>265</v>
      </c>
      <c r="C41" s="59" t="s">
        <v>266</v>
      </c>
      <c r="D41" s="59" t="str">
        <f>"0,5480"</f>
        <v>0,5480</v>
      </c>
      <c r="E41" s="61" t="s">
        <v>30</v>
      </c>
      <c r="F41" s="61" t="s">
        <v>31</v>
      </c>
      <c r="G41" s="59" t="s">
        <v>108</v>
      </c>
      <c r="H41" s="59" t="s">
        <v>225</v>
      </c>
      <c r="I41" s="62" t="s">
        <v>54</v>
      </c>
      <c r="J41" s="62"/>
      <c r="K41" s="61" t="str">
        <f>"160,0"</f>
        <v>160,0</v>
      </c>
      <c r="L41" s="59" t="str">
        <f>"97,5878"</f>
        <v>97,5878</v>
      </c>
      <c r="M41" s="61"/>
    </row>
    <row r="42" spans="1:13" x14ac:dyDescent="0.2">
      <c r="A42" s="66" t="s">
        <v>268</v>
      </c>
      <c r="B42" s="65" t="s">
        <v>269</v>
      </c>
      <c r="C42" s="65" t="s">
        <v>270</v>
      </c>
      <c r="D42" s="65" t="str">
        <f>"0,5515"</f>
        <v>0,5515</v>
      </c>
      <c r="E42" s="66" t="s">
        <v>30</v>
      </c>
      <c r="F42" s="66" t="s">
        <v>31</v>
      </c>
      <c r="G42" s="65" t="s">
        <v>134</v>
      </c>
      <c r="H42" s="65" t="s">
        <v>123</v>
      </c>
      <c r="I42" s="67"/>
      <c r="J42" s="67"/>
      <c r="K42" s="66" t="str">
        <f>"200,0"</f>
        <v>200,0</v>
      </c>
      <c r="L42" s="65" t="str">
        <f>"126,5256"</f>
        <v>126,5256</v>
      </c>
      <c r="M42" s="66"/>
    </row>
    <row r="43" spans="1:13" x14ac:dyDescent="0.2">
      <c r="A43" s="63" t="s">
        <v>272</v>
      </c>
      <c r="B43" s="60" t="s">
        <v>273</v>
      </c>
      <c r="C43" s="60" t="s">
        <v>274</v>
      </c>
      <c r="D43" s="60" t="str">
        <f>"0,5468"</f>
        <v>0,5468</v>
      </c>
      <c r="E43" s="63" t="s">
        <v>30</v>
      </c>
      <c r="F43" s="63" t="s">
        <v>31</v>
      </c>
      <c r="G43" s="60" t="s">
        <v>218</v>
      </c>
      <c r="H43" s="60" t="s">
        <v>123</v>
      </c>
      <c r="I43" s="64" t="s">
        <v>275</v>
      </c>
      <c r="J43" s="64"/>
      <c r="K43" s="63" t="str">
        <f>"200,0"</f>
        <v>200,0</v>
      </c>
      <c r="L43" s="60" t="str">
        <f>"125,4245"</f>
        <v>125,4245</v>
      </c>
      <c r="M43" s="63"/>
    </row>
    <row r="45" spans="1:13" ht="15" x14ac:dyDescent="0.2">
      <c r="A45" s="50" t="s">
        <v>276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1:13" x14ac:dyDescent="0.2">
      <c r="A46" s="46" t="s">
        <v>278</v>
      </c>
      <c r="B46" s="47" t="s">
        <v>279</v>
      </c>
      <c r="C46" s="47" t="s">
        <v>280</v>
      </c>
      <c r="D46" s="47" t="str">
        <f>"0,5193"</f>
        <v>0,5193</v>
      </c>
      <c r="E46" s="46" t="s">
        <v>30</v>
      </c>
      <c r="F46" s="46" t="s">
        <v>31</v>
      </c>
      <c r="G46" s="47" t="s">
        <v>119</v>
      </c>
      <c r="H46" s="47" t="s">
        <v>61</v>
      </c>
      <c r="I46" s="48" t="s">
        <v>281</v>
      </c>
      <c r="J46" s="48"/>
      <c r="K46" s="46" t="str">
        <f>"225,0"</f>
        <v>225,0</v>
      </c>
      <c r="L46" s="47" t="str">
        <f>"116,8384"</f>
        <v>116,8384</v>
      </c>
      <c r="M46" s="46"/>
    </row>
    <row r="48" spans="1:13" ht="15" x14ac:dyDescent="0.2">
      <c r="E48" s="34" t="s">
        <v>15</v>
      </c>
    </row>
    <row r="49" spans="1:5" ht="15" x14ac:dyDescent="0.2">
      <c r="E49" s="34" t="s">
        <v>16</v>
      </c>
    </row>
    <row r="50" spans="1:5" ht="15" x14ac:dyDescent="0.2">
      <c r="E50" s="34" t="s">
        <v>17</v>
      </c>
    </row>
    <row r="51" spans="1:5" x14ac:dyDescent="0.2">
      <c r="E51" s="4" t="s">
        <v>18</v>
      </c>
    </row>
    <row r="52" spans="1:5" x14ac:dyDescent="0.2">
      <c r="E52" s="4" t="s">
        <v>19</v>
      </c>
    </row>
    <row r="53" spans="1:5" x14ac:dyDescent="0.2">
      <c r="E53" s="4" t="s">
        <v>20</v>
      </c>
    </row>
    <row r="56" spans="1:5" ht="18" x14ac:dyDescent="0.25">
      <c r="A56" s="43" t="s">
        <v>21</v>
      </c>
      <c r="B56" s="44"/>
    </row>
    <row r="57" spans="1:5" ht="15" x14ac:dyDescent="0.2">
      <c r="A57" s="52" t="s">
        <v>80</v>
      </c>
      <c r="B57" s="53"/>
    </row>
    <row r="58" spans="1:5" ht="14.25" x14ac:dyDescent="0.2">
      <c r="A58" s="55"/>
      <c r="B58" s="56" t="s">
        <v>94</v>
      </c>
    </row>
    <row r="59" spans="1:5" ht="15" x14ac:dyDescent="0.2">
      <c r="A59" s="57" t="s">
        <v>0</v>
      </c>
      <c r="B59" s="57" t="s">
        <v>82</v>
      </c>
      <c r="C59" s="57" t="s">
        <v>83</v>
      </c>
      <c r="D59" s="57" t="s">
        <v>84</v>
      </c>
      <c r="E59" s="57" t="s">
        <v>24</v>
      </c>
    </row>
    <row r="60" spans="1:5" x14ac:dyDescent="0.2">
      <c r="A60" s="54" t="s">
        <v>174</v>
      </c>
      <c r="B60" s="5" t="s">
        <v>94</v>
      </c>
      <c r="C60" s="5" t="s">
        <v>91</v>
      </c>
      <c r="D60" s="5" t="s">
        <v>46</v>
      </c>
      <c r="E60" s="58" t="s">
        <v>282</v>
      </c>
    </row>
    <row r="62" spans="1:5" ht="14.25" x14ac:dyDescent="0.2">
      <c r="A62" s="55"/>
      <c r="B62" s="56" t="s">
        <v>135</v>
      </c>
    </row>
    <row r="63" spans="1:5" ht="15" x14ac:dyDescent="0.2">
      <c r="A63" s="57" t="s">
        <v>0</v>
      </c>
      <c r="B63" s="57" t="s">
        <v>82</v>
      </c>
      <c r="C63" s="57" t="s">
        <v>83</v>
      </c>
      <c r="D63" s="57" t="s">
        <v>84</v>
      </c>
      <c r="E63" s="57" t="s">
        <v>24</v>
      </c>
    </row>
    <row r="64" spans="1:5" x14ac:dyDescent="0.2">
      <c r="A64" s="54" t="s">
        <v>169</v>
      </c>
      <c r="B64" s="5" t="s">
        <v>283</v>
      </c>
      <c r="C64" s="5" t="s">
        <v>284</v>
      </c>
      <c r="D64" s="5" t="s">
        <v>38</v>
      </c>
      <c r="E64" s="58" t="s">
        <v>285</v>
      </c>
    </row>
    <row r="65" spans="1:5" x14ac:dyDescent="0.2">
      <c r="A65" s="54" t="s">
        <v>178</v>
      </c>
      <c r="B65" s="5" t="s">
        <v>286</v>
      </c>
      <c r="C65" s="5" t="s">
        <v>91</v>
      </c>
      <c r="D65" s="5" t="s">
        <v>33</v>
      </c>
      <c r="E65" s="58" t="s">
        <v>287</v>
      </c>
    </row>
    <row r="68" spans="1:5" ht="15" x14ac:dyDescent="0.2">
      <c r="A68" s="52" t="s">
        <v>89</v>
      </c>
      <c r="B68" s="53"/>
    </row>
    <row r="69" spans="1:5" ht="14.25" x14ac:dyDescent="0.2">
      <c r="A69" s="55"/>
      <c r="B69" s="56" t="s">
        <v>81</v>
      </c>
    </row>
    <row r="70" spans="1:5" ht="15" x14ac:dyDescent="0.2">
      <c r="A70" s="57" t="s">
        <v>0</v>
      </c>
      <c r="B70" s="57" t="s">
        <v>82</v>
      </c>
      <c r="C70" s="57" t="s">
        <v>83</v>
      </c>
      <c r="D70" s="57" t="s">
        <v>84</v>
      </c>
      <c r="E70" s="57" t="s">
        <v>24</v>
      </c>
    </row>
    <row r="71" spans="1:5" x14ac:dyDescent="0.2">
      <c r="A71" s="54" t="s">
        <v>220</v>
      </c>
      <c r="B71" s="5" t="s">
        <v>288</v>
      </c>
      <c r="C71" s="5" t="s">
        <v>289</v>
      </c>
      <c r="D71" s="5" t="s">
        <v>225</v>
      </c>
      <c r="E71" s="58" t="s">
        <v>290</v>
      </c>
    </row>
    <row r="72" spans="1:5" x14ac:dyDescent="0.2">
      <c r="A72" s="54" t="s">
        <v>208</v>
      </c>
      <c r="B72" s="5" t="s">
        <v>288</v>
      </c>
      <c r="C72" s="5" t="s">
        <v>95</v>
      </c>
      <c r="D72" s="5" t="s">
        <v>213</v>
      </c>
      <c r="E72" s="58" t="s">
        <v>291</v>
      </c>
    </row>
    <row r="74" spans="1:5" ht="14.25" x14ac:dyDescent="0.2">
      <c r="A74" s="55"/>
      <c r="B74" s="56" t="s">
        <v>162</v>
      </c>
    </row>
    <row r="75" spans="1:5" ht="15" x14ac:dyDescent="0.2">
      <c r="A75" s="57" t="s">
        <v>0</v>
      </c>
      <c r="B75" s="57" t="s">
        <v>82</v>
      </c>
      <c r="C75" s="57" t="s">
        <v>83</v>
      </c>
      <c r="D75" s="57" t="s">
        <v>84</v>
      </c>
      <c r="E75" s="57" t="s">
        <v>24</v>
      </c>
    </row>
    <row r="76" spans="1:5" x14ac:dyDescent="0.2">
      <c r="A76" s="54" t="s">
        <v>226</v>
      </c>
      <c r="B76" s="5" t="s">
        <v>163</v>
      </c>
      <c r="C76" s="5" t="s">
        <v>289</v>
      </c>
      <c r="D76" s="5" t="s">
        <v>230</v>
      </c>
      <c r="E76" s="58" t="s">
        <v>292</v>
      </c>
    </row>
    <row r="78" spans="1:5" ht="14.25" x14ac:dyDescent="0.2">
      <c r="A78" s="55"/>
      <c r="B78" s="56" t="s">
        <v>94</v>
      </c>
    </row>
    <row r="79" spans="1:5" ht="15" x14ac:dyDescent="0.2">
      <c r="A79" s="57" t="s">
        <v>0</v>
      </c>
      <c r="B79" s="57" t="s">
        <v>82</v>
      </c>
      <c r="C79" s="57" t="s">
        <v>83</v>
      </c>
      <c r="D79" s="57" t="s">
        <v>84</v>
      </c>
      <c r="E79" s="57" t="s">
        <v>24</v>
      </c>
    </row>
    <row r="80" spans="1:5" x14ac:dyDescent="0.2">
      <c r="A80" s="54" t="s">
        <v>203</v>
      </c>
      <c r="B80" s="5" t="s">
        <v>94</v>
      </c>
      <c r="C80" s="5" t="s">
        <v>293</v>
      </c>
      <c r="D80" s="5" t="s">
        <v>134</v>
      </c>
      <c r="E80" s="58" t="s">
        <v>294</v>
      </c>
    </row>
    <row r="81" spans="1:5" x14ac:dyDescent="0.2">
      <c r="A81" s="54" t="s">
        <v>190</v>
      </c>
      <c r="B81" s="5" t="s">
        <v>94</v>
      </c>
      <c r="C81" s="5" t="s">
        <v>91</v>
      </c>
      <c r="D81" s="5" t="s">
        <v>194</v>
      </c>
      <c r="E81" s="58" t="s">
        <v>295</v>
      </c>
    </row>
    <row r="82" spans="1:5" x14ac:dyDescent="0.2">
      <c r="A82" s="54" t="s">
        <v>214</v>
      </c>
      <c r="B82" s="5" t="s">
        <v>94</v>
      </c>
      <c r="C82" s="5" t="s">
        <v>95</v>
      </c>
      <c r="D82" s="5" t="s">
        <v>123</v>
      </c>
      <c r="E82" s="58" t="s">
        <v>296</v>
      </c>
    </row>
    <row r="83" spans="1:5" x14ac:dyDescent="0.2">
      <c r="A83" s="54" t="s">
        <v>277</v>
      </c>
      <c r="B83" s="5" t="s">
        <v>94</v>
      </c>
      <c r="C83" s="5" t="s">
        <v>297</v>
      </c>
      <c r="D83" s="5" t="s">
        <v>61</v>
      </c>
      <c r="E83" s="58" t="s">
        <v>298</v>
      </c>
    </row>
    <row r="84" spans="1:5" x14ac:dyDescent="0.2">
      <c r="A84" s="54" t="s">
        <v>231</v>
      </c>
      <c r="B84" s="5" t="s">
        <v>94</v>
      </c>
      <c r="C84" s="5" t="s">
        <v>289</v>
      </c>
      <c r="D84" s="5" t="s">
        <v>132</v>
      </c>
      <c r="E84" s="58" t="s">
        <v>299</v>
      </c>
    </row>
    <row r="85" spans="1:5" x14ac:dyDescent="0.2">
      <c r="A85" s="54" t="s">
        <v>184</v>
      </c>
      <c r="B85" s="5" t="s">
        <v>94</v>
      </c>
      <c r="C85" s="5" t="s">
        <v>300</v>
      </c>
      <c r="D85" s="5" t="s">
        <v>189</v>
      </c>
      <c r="E85" s="58" t="s">
        <v>301</v>
      </c>
    </row>
    <row r="86" spans="1:5" x14ac:dyDescent="0.2">
      <c r="A86" s="54" t="s">
        <v>195</v>
      </c>
      <c r="B86" s="5" t="s">
        <v>94</v>
      </c>
      <c r="C86" s="5" t="s">
        <v>91</v>
      </c>
      <c r="D86" s="5" t="s">
        <v>107</v>
      </c>
      <c r="E86" s="58" t="s">
        <v>302</v>
      </c>
    </row>
    <row r="87" spans="1:5" x14ac:dyDescent="0.2">
      <c r="A87" s="54" t="s">
        <v>220</v>
      </c>
      <c r="B87" s="5" t="s">
        <v>94</v>
      </c>
      <c r="C87" s="5" t="s">
        <v>289</v>
      </c>
      <c r="D87" s="5" t="s">
        <v>225</v>
      </c>
      <c r="E87" s="58" t="s">
        <v>290</v>
      </c>
    </row>
    <row r="89" spans="1:5" ht="14.25" x14ac:dyDescent="0.2">
      <c r="A89" s="55"/>
      <c r="B89" s="56" t="s">
        <v>135</v>
      </c>
    </row>
    <row r="90" spans="1:5" ht="15" x14ac:dyDescent="0.2">
      <c r="A90" s="57" t="s">
        <v>0</v>
      </c>
      <c r="B90" s="57" t="s">
        <v>82</v>
      </c>
      <c r="C90" s="57" t="s">
        <v>83</v>
      </c>
      <c r="D90" s="57" t="s">
        <v>84</v>
      </c>
      <c r="E90" s="57" t="s">
        <v>24</v>
      </c>
    </row>
    <row r="91" spans="1:5" x14ac:dyDescent="0.2">
      <c r="A91" s="54" t="s">
        <v>203</v>
      </c>
      <c r="B91" s="5" t="s">
        <v>136</v>
      </c>
      <c r="C91" s="5" t="s">
        <v>293</v>
      </c>
      <c r="D91" s="5" t="s">
        <v>134</v>
      </c>
      <c r="E91" s="58" t="s">
        <v>303</v>
      </c>
    </row>
    <row r="92" spans="1:5" x14ac:dyDescent="0.2">
      <c r="A92" s="54" t="s">
        <v>267</v>
      </c>
      <c r="B92" s="5" t="s">
        <v>283</v>
      </c>
      <c r="C92" s="5" t="s">
        <v>98</v>
      </c>
      <c r="D92" s="5" t="s">
        <v>123</v>
      </c>
      <c r="E92" s="58" t="s">
        <v>304</v>
      </c>
    </row>
    <row r="93" spans="1:5" x14ac:dyDescent="0.2">
      <c r="A93" s="54" t="s">
        <v>271</v>
      </c>
      <c r="B93" s="5" t="s">
        <v>283</v>
      </c>
      <c r="C93" s="5" t="s">
        <v>98</v>
      </c>
      <c r="D93" s="5" t="s">
        <v>123</v>
      </c>
      <c r="E93" s="58" t="s">
        <v>305</v>
      </c>
    </row>
    <row r="94" spans="1:5" x14ac:dyDescent="0.2">
      <c r="A94" s="54" t="s">
        <v>250</v>
      </c>
      <c r="B94" s="5" t="s">
        <v>142</v>
      </c>
      <c r="C94" s="5" t="s">
        <v>289</v>
      </c>
      <c r="D94" s="5" t="s">
        <v>225</v>
      </c>
      <c r="E94" s="58" t="s">
        <v>306</v>
      </c>
    </row>
    <row r="95" spans="1:5" x14ac:dyDescent="0.2">
      <c r="A95" s="54" t="s">
        <v>195</v>
      </c>
      <c r="B95" s="5" t="s">
        <v>136</v>
      </c>
      <c r="C95" s="5" t="s">
        <v>91</v>
      </c>
      <c r="D95" s="5" t="s">
        <v>107</v>
      </c>
      <c r="E95" s="58" t="s">
        <v>307</v>
      </c>
    </row>
    <row r="96" spans="1:5" x14ac:dyDescent="0.2">
      <c r="A96" s="54" t="s">
        <v>245</v>
      </c>
      <c r="B96" s="5" t="s">
        <v>136</v>
      </c>
      <c r="C96" s="5" t="s">
        <v>289</v>
      </c>
      <c r="D96" s="5" t="s">
        <v>249</v>
      </c>
      <c r="E96" s="58" t="s">
        <v>308</v>
      </c>
    </row>
    <row r="97" spans="1:5" x14ac:dyDescent="0.2">
      <c r="A97" s="54" t="s">
        <v>240</v>
      </c>
      <c r="B97" s="5" t="s">
        <v>286</v>
      </c>
      <c r="C97" s="5" t="s">
        <v>289</v>
      </c>
      <c r="D97" s="5" t="s">
        <v>64</v>
      </c>
      <c r="E97" s="58" t="s">
        <v>309</v>
      </c>
    </row>
    <row r="98" spans="1:5" x14ac:dyDescent="0.2">
      <c r="A98" s="54" t="s">
        <v>263</v>
      </c>
      <c r="B98" s="5" t="s">
        <v>136</v>
      </c>
      <c r="C98" s="5" t="s">
        <v>98</v>
      </c>
      <c r="D98" s="5" t="s">
        <v>225</v>
      </c>
      <c r="E98" s="58" t="s">
        <v>310</v>
      </c>
    </row>
    <row r="99" spans="1:5" x14ac:dyDescent="0.2">
      <c r="A99" s="54" t="s">
        <v>254</v>
      </c>
      <c r="B99" s="5" t="s">
        <v>144</v>
      </c>
      <c r="C99" s="5" t="s">
        <v>289</v>
      </c>
      <c r="D99" s="5" t="s">
        <v>47</v>
      </c>
      <c r="E99" s="58" t="s">
        <v>311</v>
      </c>
    </row>
    <row r="100" spans="1:5" x14ac:dyDescent="0.2">
      <c r="A100" s="54" t="s">
        <v>258</v>
      </c>
      <c r="B100" s="5" t="s">
        <v>312</v>
      </c>
      <c r="C100" s="5" t="s">
        <v>289</v>
      </c>
      <c r="D100" s="5" t="s">
        <v>173</v>
      </c>
      <c r="E100" s="58" t="s">
        <v>313</v>
      </c>
    </row>
  </sheetData>
  <mergeCells count="20">
    <mergeCell ref="A15:L15"/>
    <mergeCell ref="A20:L20"/>
    <mergeCell ref="A24:L24"/>
    <mergeCell ref="A28:L28"/>
    <mergeCell ref="A40:L40"/>
    <mergeCell ref="A45:L45"/>
    <mergeCell ref="K3:K4"/>
    <mergeCell ref="L3:L4"/>
    <mergeCell ref="M3:M4"/>
    <mergeCell ref="A5:L5"/>
    <mergeCell ref="A8:L8"/>
    <mergeCell ref="A12:L12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14.7109375" style="5" bestFit="1" customWidth="1"/>
    <col min="3" max="3" width="7.7109375" style="5" bestFit="1" customWidth="1"/>
    <col min="4" max="4" width="7.28515625" style="5" customWidth="1"/>
    <col min="5" max="5" width="17.28515625" style="4" bestFit="1" customWidth="1"/>
    <col min="6" max="6" width="14.5703125" style="4" bestFit="1" customWidth="1"/>
    <col min="7" max="9" width="2.140625" style="5" bestFit="1" customWidth="1"/>
    <col min="10" max="10" width="5" style="5" bestFit="1" customWidth="1"/>
    <col min="11" max="13" width="2.140625" style="5" bestFit="1" customWidth="1"/>
    <col min="14" max="14" width="5" style="5" bestFit="1" customWidth="1"/>
    <col min="15" max="17" width="2.140625" style="5" bestFit="1" customWidth="1"/>
    <col min="18" max="18" width="5" style="5" bestFit="1" customWidth="1"/>
    <col min="19" max="19" width="6.140625" style="4" bestFit="1" customWidth="1"/>
    <col min="20" max="20" width="4.28515625" style="5" bestFit="1" customWidth="1"/>
    <col min="21" max="21" width="7.42578125" style="4" bestFit="1" customWidth="1"/>
    <col min="22" max="16384" width="9.140625" style="3"/>
  </cols>
  <sheetData>
    <row r="1" spans="1:21" s="2" customFormat="1" ht="29.1" customHeight="1" x14ac:dyDescent="0.2">
      <c r="A1" s="35" t="s">
        <v>166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 x14ac:dyDescent="0.2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41" t="s">
        <v>11</v>
      </c>
      <c r="T3" s="26" t="s">
        <v>7</v>
      </c>
      <c r="U3" s="27" t="s">
        <v>6</v>
      </c>
    </row>
    <row r="4" spans="1:21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42"/>
      <c r="T4" s="30"/>
      <c r="U4" s="31"/>
    </row>
    <row r="5" spans="1:21" s="5" customFormat="1" x14ac:dyDescent="0.2">
      <c r="A5" s="4"/>
      <c r="E5" s="4"/>
      <c r="F5" s="4"/>
      <c r="S5" s="4"/>
      <c r="U5" s="4"/>
    </row>
    <row r="6" spans="1:21" s="5" customFormat="1" ht="15" x14ac:dyDescent="0.2">
      <c r="A6" s="4"/>
      <c r="E6" s="34" t="s">
        <v>15</v>
      </c>
      <c r="F6" s="4"/>
      <c r="S6" s="4"/>
      <c r="U6" s="4"/>
    </row>
    <row r="7" spans="1:21" s="5" customFormat="1" ht="15" x14ac:dyDescent="0.2">
      <c r="A7" s="4"/>
      <c r="E7" s="34" t="s">
        <v>16</v>
      </c>
      <c r="F7" s="4"/>
      <c r="S7" s="4"/>
      <c r="U7" s="4"/>
    </row>
    <row r="8" spans="1:21" ht="15" x14ac:dyDescent="0.2">
      <c r="E8" s="34" t="s">
        <v>17</v>
      </c>
    </row>
    <row r="9" spans="1:21" x14ac:dyDescent="0.2">
      <c r="E9" s="4" t="s">
        <v>18</v>
      </c>
    </row>
    <row r="10" spans="1:21" x14ac:dyDescent="0.2">
      <c r="E10" s="4" t="s">
        <v>19</v>
      </c>
    </row>
    <row r="11" spans="1:21" x14ac:dyDescent="0.2">
      <c r="E11" s="4" t="s">
        <v>20</v>
      </c>
    </row>
    <row r="14" spans="1:21" ht="18" x14ac:dyDescent="0.25">
      <c r="A14" s="43" t="s">
        <v>21</v>
      </c>
      <c r="B14" s="44"/>
    </row>
  </sheetData>
  <mergeCells count="13"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26" style="5" bestFit="1" customWidth="1"/>
    <col min="3" max="3" width="7.7109375" style="5" bestFit="1" customWidth="1"/>
    <col min="4" max="4" width="6.85546875" style="5" bestFit="1" customWidth="1"/>
    <col min="5" max="5" width="17.28515625" style="4" bestFit="1" customWidth="1"/>
    <col min="6" max="6" width="28.7109375" style="4" bestFit="1" customWidth="1"/>
    <col min="7" max="9" width="5.5703125" style="5" bestFit="1" customWidth="1"/>
    <col min="10" max="10" width="5" style="5" bestFit="1" customWidth="1"/>
    <col min="11" max="13" width="5.5703125" style="5" bestFit="1" customWidth="1"/>
    <col min="14" max="14" width="5" style="5" bestFit="1" customWidth="1"/>
    <col min="15" max="17" width="5.5703125" style="5" bestFit="1" customWidth="1"/>
    <col min="18" max="18" width="5" style="5" bestFit="1" customWidth="1"/>
    <col min="19" max="19" width="6.140625" style="4" bestFit="1" customWidth="1"/>
    <col min="20" max="20" width="8.5703125" style="5" bestFit="1" customWidth="1"/>
    <col min="21" max="21" width="7.42578125" style="4" bestFit="1" customWidth="1"/>
    <col min="22" max="16384" width="9.140625" style="3"/>
  </cols>
  <sheetData>
    <row r="1" spans="1:21" s="2" customFormat="1" ht="29.1" customHeight="1" x14ac:dyDescent="0.2">
      <c r="A1" s="35" t="s">
        <v>148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 x14ac:dyDescent="0.2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41" t="s">
        <v>11</v>
      </c>
      <c r="T3" s="26" t="s">
        <v>7</v>
      </c>
      <c r="U3" s="27" t="s">
        <v>6</v>
      </c>
    </row>
    <row r="4" spans="1:21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42"/>
      <c r="T4" s="30"/>
      <c r="U4" s="31"/>
    </row>
    <row r="5" spans="1:21" s="5" customFormat="1" ht="15" x14ac:dyDescent="0.2">
      <c r="A5" s="45" t="s">
        <v>67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"/>
    </row>
    <row r="6" spans="1:21" s="5" customFormat="1" x14ac:dyDescent="0.2">
      <c r="A6" s="61" t="s">
        <v>150</v>
      </c>
      <c r="B6" s="59" t="s">
        <v>151</v>
      </c>
      <c r="C6" s="59" t="s">
        <v>152</v>
      </c>
      <c r="D6" s="59" t="str">
        <f>"0,5547"</f>
        <v>0,5547</v>
      </c>
      <c r="E6" s="61" t="s">
        <v>30</v>
      </c>
      <c r="F6" s="61" t="s">
        <v>153</v>
      </c>
      <c r="G6" s="59" t="s">
        <v>154</v>
      </c>
      <c r="H6" s="59" t="s">
        <v>155</v>
      </c>
      <c r="I6" s="59" t="s">
        <v>156</v>
      </c>
      <c r="J6" s="62"/>
      <c r="K6" s="59" t="s">
        <v>157</v>
      </c>
      <c r="L6" s="59" t="s">
        <v>73</v>
      </c>
      <c r="M6" s="59" t="s">
        <v>158</v>
      </c>
      <c r="N6" s="62"/>
      <c r="O6" s="59" t="s">
        <v>159</v>
      </c>
      <c r="P6" s="62" t="s">
        <v>160</v>
      </c>
      <c r="Q6" s="62" t="s">
        <v>160</v>
      </c>
      <c r="R6" s="62"/>
      <c r="S6" s="61" t="str">
        <f>"975,0"</f>
        <v>975,0</v>
      </c>
      <c r="T6" s="59" t="str">
        <f>"540,8569"</f>
        <v>540,8569</v>
      </c>
      <c r="U6" s="61"/>
    </row>
    <row r="7" spans="1:21" s="5" customFormat="1" x14ac:dyDescent="0.2">
      <c r="A7" s="63" t="s">
        <v>150</v>
      </c>
      <c r="B7" s="60" t="s">
        <v>161</v>
      </c>
      <c r="C7" s="60" t="s">
        <v>152</v>
      </c>
      <c r="D7" s="60" t="str">
        <f>"0,5547"</f>
        <v>0,5547</v>
      </c>
      <c r="E7" s="63" t="s">
        <v>30</v>
      </c>
      <c r="F7" s="63" t="s">
        <v>153</v>
      </c>
      <c r="G7" s="60" t="s">
        <v>154</v>
      </c>
      <c r="H7" s="60" t="s">
        <v>155</v>
      </c>
      <c r="I7" s="60" t="s">
        <v>156</v>
      </c>
      <c r="J7" s="64"/>
      <c r="K7" s="60" t="s">
        <v>157</v>
      </c>
      <c r="L7" s="60" t="s">
        <v>73</v>
      </c>
      <c r="M7" s="60" t="s">
        <v>158</v>
      </c>
      <c r="N7" s="64"/>
      <c r="O7" s="60" t="s">
        <v>159</v>
      </c>
      <c r="P7" s="64" t="s">
        <v>160</v>
      </c>
      <c r="Q7" s="64" t="s">
        <v>160</v>
      </c>
      <c r="R7" s="64"/>
      <c r="S7" s="63" t="str">
        <f>"975,0"</f>
        <v>975,0</v>
      </c>
      <c r="T7" s="60" t="str">
        <f>"540,8569"</f>
        <v>540,8569</v>
      </c>
      <c r="U7" s="63"/>
    </row>
    <row r="9" spans="1:21" ht="15" x14ac:dyDescent="0.2">
      <c r="E9" s="34" t="s">
        <v>15</v>
      </c>
    </row>
    <row r="10" spans="1:21" ht="15" x14ac:dyDescent="0.2">
      <c r="E10" s="34" t="s">
        <v>16</v>
      </c>
    </row>
    <row r="11" spans="1:21" ht="15" x14ac:dyDescent="0.2">
      <c r="E11" s="34" t="s">
        <v>17</v>
      </c>
    </row>
    <row r="12" spans="1:21" x14ac:dyDescent="0.2">
      <c r="E12" s="4" t="s">
        <v>18</v>
      </c>
    </row>
    <row r="13" spans="1:21" x14ac:dyDescent="0.2">
      <c r="E13" s="4" t="s">
        <v>19</v>
      </c>
    </row>
    <row r="14" spans="1:21" x14ac:dyDescent="0.2">
      <c r="E14" s="4" t="s">
        <v>20</v>
      </c>
    </row>
    <row r="17" spans="1:5" ht="18" x14ac:dyDescent="0.25">
      <c r="A17" s="43" t="s">
        <v>21</v>
      </c>
      <c r="B17" s="44"/>
    </row>
    <row r="18" spans="1:5" ht="15" x14ac:dyDescent="0.2">
      <c r="A18" s="52" t="s">
        <v>89</v>
      </c>
      <c r="B18" s="53"/>
    </row>
    <row r="19" spans="1:5" ht="14.25" x14ac:dyDescent="0.2">
      <c r="A19" s="55"/>
      <c r="B19" s="56" t="s">
        <v>162</v>
      </c>
    </row>
    <row r="20" spans="1:5" ht="15" x14ac:dyDescent="0.2">
      <c r="A20" s="57" t="s">
        <v>0</v>
      </c>
      <c r="B20" s="57" t="s">
        <v>82</v>
      </c>
      <c r="C20" s="57" t="s">
        <v>83</v>
      </c>
      <c r="D20" s="57" t="s">
        <v>84</v>
      </c>
      <c r="E20" s="57" t="s">
        <v>24</v>
      </c>
    </row>
    <row r="21" spans="1:5" x14ac:dyDescent="0.2">
      <c r="A21" s="54" t="s">
        <v>149</v>
      </c>
      <c r="B21" s="5" t="s">
        <v>163</v>
      </c>
      <c r="C21" s="5" t="s">
        <v>98</v>
      </c>
      <c r="D21" s="5" t="s">
        <v>164</v>
      </c>
      <c r="E21" s="58" t="s">
        <v>165</v>
      </c>
    </row>
    <row r="23" spans="1:5" ht="14.25" x14ac:dyDescent="0.2">
      <c r="A23" s="55"/>
      <c r="B23" s="56" t="s">
        <v>94</v>
      </c>
    </row>
    <row r="24" spans="1:5" ht="15" x14ac:dyDescent="0.2">
      <c r="A24" s="57" t="s">
        <v>0</v>
      </c>
      <c r="B24" s="57" t="s">
        <v>82</v>
      </c>
      <c r="C24" s="57" t="s">
        <v>83</v>
      </c>
      <c r="D24" s="57" t="s">
        <v>84</v>
      </c>
      <c r="E24" s="57" t="s">
        <v>24</v>
      </c>
    </row>
    <row r="25" spans="1:5" x14ac:dyDescent="0.2">
      <c r="A25" s="54" t="s">
        <v>149</v>
      </c>
      <c r="B25" s="5" t="s">
        <v>94</v>
      </c>
      <c r="C25" s="5" t="s">
        <v>98</v>
      </c>
      <c r="D25" s="5" t="s">
        <v>164</v>
      </c>
      <c r="E25" s="58" t="s">
        <v>165</v>
      </c>
    </row>
  </sheetData>
  <mergeCells count="14"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26.85546875" style="5" bestFit="1" customWidth="1"/>
    <col min="3" max="3" width="7.7109375" style="5" bestFit="1" customWidth="1"/>
    <col min="4" max="4" width="6.85546875" style="5" bestFit="1" customWidth="1"/>
    <col min="5" max="5" width="17.28515625" style="4" bestFit="1" customWidth="1"/>
    <col min="6" max="6" width="31.7109375" style="4" bestFit="1" customWidth="1"/>
    <col min="7" max="9" width="5.5703125" style="5" bestFit="1" customWidth="1"/>
    <col min="10" max="10" width="5" style="5" bestFit="1" customWidth="1"/>
    <col min="11" max="13" width="5.5703125" style="5" bestFit="1" customWidth="1"/>
    <col min="14" max="14" width="5" style="5" bestFit="1" customWidth="1"/>
    <col min="15" max="17" width="5.5703125" style="5" bestFit="1" customWidth="1"/>
    <col min="18" max="18" width="5" style="5" bestFit="1" customWidth="1"/>
    <col min="19" max="19" width="6.140625" style="4" bestFit="1" customWidth="1"/>
    <col min="20" max="20" width="8.5703125" style="5" bestFit="1" customWidth="1"/>
    <col min="21" max="21" width="7.42578125" style="4" bestFit="1" customWidth="1"/>
    <col min="22" max="16384" width="9.140625" style="3"/>
  </cols>
  <sheetData>
    <row r="1" spans="1:21" s="2" customFormat="1" ht="29.1" customHeight="1" x14ac:dyDescent="0.2">
      <c r="A1" s="35" t="s">
        <v>101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 x14ac:dyDescent="0.2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41" t="s">
        <v>11</v>
      </c>
      <c r="T3" s="26" t="s">
        <v>7</v>
      </c>
      <c r="U3" s="27" t="s">
        <v>6</v>
      </c>
    </row>
    <row r="4" spans="1:21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42"/>
      <c r="T4" s="30"/>
      <c r="U4" s="31"/>
    </row>
    <row r="5" spans="1:21" s="5" customFormat="1" ht="15" x14ac:dyDescent="0.2">
      <c r="A5" s="45" t="s">
        <v>55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"/>
    </row>
    <row r="6" spans="1:21" s="5" customFormat="1" x14ac:dyDescent="0.2">
      <c r="A6" s="46" t="s">
        <v>103</v>
      </c>
      <c r="B6" s="47" t="s">
        <v>104</v>
      </c>
      <c r="C6" s="47" t="s">
        <v>105</v>
      </c>
      <c r="D6" s="47" t="str">
        <f>"0,7552"</f>
        <v>0,7552</v>
      </c>
      <c r="E6" s="46" t="s">
        <v>30</v>
      </c>
      <c r="F6" s="46" t="s">
        <v>106</v>
      </c>
      <c r="G6" s="47" t="s">
        <v>49</v>
      </c>
      <c r="H6" s="47" t="s">
        <v>107</v>
      </c>
      <c r="I6" s="47" t="s">
        <v>108</v>
      </c>
      <c r="J6" s="48"/>
      <c r="K6" s="47" t="s">
        <v>109</v>
      </c>
      <c r="L6" s="47" t="s">
        <v>110</v>
      </c>
      <c r="M6" s="48" t="s">
        <v>111</v>
      </c>
      <c r="N6" s="48"/>
      <c r="O6" s="47" t="s">
        <v>46</v>
      </c>
      <c r="P6" s="47" t="s">
        <v>112</v>
      </c>
      <c r="Q6" s="48" t="s">
        <v>48</v>
      </c>
      <c r="R6" s="48"/>
      <c r="S6" s="46" t="str">
        <f>"330,0"</f>
        <v>330,0</v>
      </c>
      <c r="T6" s="47" t="str">
        <f>"273,3972"</f>
        <v>273,3972</v>
      </c>
      <c r="U6" s="46"/>
    </row>
    <row r="7" spans="1:21" s="5" customFormat="1" x14ac:dyDescent="0.2">
      <c r="A7" s="4"/>
      <c r="E7" s="4"/>
      <c r="F7" s="4"/>
      <c r="S7" s="4"/>
      <c r="U7" s="4"/>
    </row>
    <row r="8" spans="1:21" ht="15" x14ac:dyDescent="0.2">
      <c r="A8" s="50" t="s">
        <v>113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spans="1:21" x14ac:dyDescent="0.2">
      <c r="A9" s="61" t="s">
        <v>115</v>
      </c>
      <c r="B9" s="59" t="s">
        <v>116</v>
      </c>
      <c r="C9" s="59" t="s">
        <v>117</v>
      </c>
      <c r="D9" s="59" t="str">
        <f>"0,5722"</f>
        <v>0,5722</v>
      </c>
      <c r="E9" s="61" t="s">
        <v>30</v>
      </c>
      <c r="F9" s="61" t="s">
        <v>118</v>
      </c>
      <c r="G9" s="59" t="s">
        <v>119</v>
      </c>
      <c r="H9" s="62" t="s">
        <v>120</v>
      </c>
      <c r="I9" s="62" t="s">
        <v>121</v>
      </c>
      <c r="J9" s="62"/>
      <c r="K9" s="62" t="s">
        <v>107</v>
      </c>
      <c r="L9" s="59" t="s">
        <v>122</v>
      </c>
      <c r="M9" s="59" t="s">
        <v>108</v>
      </c>
      <c r="N9" s="62"/>
      <c r="O9" s="59" t="s">
        <v>123</v>
      </c>
      <c r="P9" s="62" t="s">
        <v>124</v>
      </c>
      <c r="Q9" s="59" t="s">
        <v>120</v>
      </c>
      <c r="R9" s="62"/>
      <c r="S9" s="61" t="str">
        <f>"585,0"</f>
        <v>585,0</v>
      </c>
      <c r="T9" s="59" t="str">
        <f>"334,7370"</f>
        <v>334,7370</v>
      </c>
      <c r="U9" s="61"/>
    </row>
    <row r="10" spans="1:21" x14ac:dyDescent="0.2">
      <c r="A10" s="63" t="s">
        <v>115</v>
      </c>
      <c r="B10" s="60" t="s">
        <v>125</v>
      </c>
      <c r="C10" s="60" t="s">
        <v>117</v>
      </c>
      <c r="D10" s="60" t="str">
        <f>"0,5722"</f>
        <v>0,5722</v>
      </c>
      <c r="E10" s="63" t="s">
        <v>30</v>
      </c>
      <c r="F10" s="63" t="s">
        <v>118</v>
      </c>
      <c r="G10" s="60" t="s">
        <v>119</v>
      </c>
      <c r="H10" s="64" t="s">
        <v>120</v>
      </c>
      <c r="I10" s="64" t="s">
        <v>121</v>
      </c>
      <c r="J10" s="64"/>
      <c r="K10" s="64" t="s">
        <v>107</v>
      </c>
      <c r="L10" s="60" t="s">
        <v>122</v>
      </c>
      <c r="M10" s="60" t="s">
        <v>108</v>
      </c>
      <c r="N10" s="64"/>
      <c r="O10" s="60" t="s">
        <v>123</v>
      </c>
      <c r="P10" s="64" t="s">
        <v>124</v>
      </c>
      <c r="Q10" s="60" t="s">
        <v>120</v>
      </c>
      <c r="R10" s="64"/>
      <c r="S10" s="63" t="str">
        <f>"585,0"</f>
        <v>585,0</v>
      </c>
      <c r="T10" s="60" t="str">
        <f>"417,0823"</f>
        <v>417,0823</v>
      </c>
      <c r="U10" s="63"/>
    </row>
    <row r="12" spans="1:21" ht="15" x14ac:dyDescent="0.2">
      <c r="A12" s="50" t="s">
        <v>126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21" x14ac:dyDescent="0.2">
      <c r="A13" s="46" t="s">
        <v>128</v>
      </c>
      <c r="B13" s="47" t="s">
        <v>129</v>
      </c>
      <c r="C13" s="47" t="s">
        <v>130</v>
      </c>
      <c r="D13" s="47" t="str">
        <f>"0,5421"</f>
        <v>0,5421</v>
      </c>
      <c r="E13" s="46" t="s">
        <v>30</v>
      </c>
      <c r="F13" s="46" t="s">
        <v>131</v>
      </c>
      <c r="G13" s="47" t="s">
        <v>74</v>
      </c>
      <c r="H13" s="47" t="s">
        <v>132</v>
      </c>
      <c r="I13" s="48" t="s">
        <v>123</v>
      </c>
      <c r="J13" s="48"/>
      <c r="K13" s="47" t="s">
        <v>40</v>
      </c>
      <c r="L13" s="48" t="s">
        <v>46</v>
      </c>
      <c r="M13" s="48" t="s">
        <v>133</v>
      </c>
      <c r="N13" s="48"/>
      <c r="O13" s="47" t="s">
        <v>75</v>
      </c>
      <c r="P13" s="47" t="s">
        <v>134</v>
      </c>
      <c r="Q13" s="48" t="s">
        <v>123</v>
      </c>
      <c r="R13" s="48"/>
      <c r="S13" s="46" t="str">
        <f>"485,0"</f>
        <v>485,0</v>
      </c>
      <c r="T13" s="47" t="str">
        <f>"381,2318"</f>
        <v>381,2318</v>
      </c>
      <c r="U13" s="46"/>
    </row>
    <row r="15" spans="1:21" ht="15" x14ac:dyDescent="0.2">
      <c r="E15" s="34" t="s">
        <v>15</v>
      </c>
    </row>
    <row r="16" spans="1:21" ht="15" x14ac:dyDescent="0.2">
      <c r="E16" s="34" t="s">
        <v>16</v>
      </c>
    </row>
    <row r="17" spans="1:5" ht="15" x14ac:dyDescent="0.2">
      <c r="E17" s="34" t="s">
        <v>17</v>
      </c>
    </row>
    <row r="18" spans="1:5" x14ac:dyDescent="0.2">
      <c r="E18" s="4" t="s">
        <v>18</v>
      </c>
    </row>
    <row r="19" spans="1:5" x14ac:dyDescent="0.2">
      <c r="E19" s="4" t="s">
        <v>19</v>
      </c>
    </row>
    <row r="20" spans="1:5" x14ac:dyDescent="0.2">
      <c r="E20" s="4" t="s">
        <v>20</v>
      </c>
    </row>
    <row r="23" spans="1:5" ht="18" x14ac:dyDescent="0.25">
      <c r="A23" s="43" t="s">
        <v>21</v>
      </c>
      <c r="B23" s="44"/>
    </row>
    <row r="24" spans="1:5" ht="15" x14ac:dyDescent="0.2">
      <c r="A24" s="52" t="s">
        <v>80</v>
      </c>
      <c r="B24" s="53"/>
    </row>
    <row r="25" spans="1:5" ht="14.25" x14ac:dyDescent="0.2">
      <c r="A25" s="55"/>
      <c r="B25" s="56" t="s">
        <v>135</v>
      </c>
    </row>
    <row r="26" spans="1:5" ht="15" x14ac:dyDescent="0.2">
      <c r="A26" s="57" t="s">
        <v>0</v>
      </c>
      <c r="B26" s="57" t="s">
        <v>82</v>
      </c>
      <c r="C26" s="57" t="s">
        <v>83</v>
      </c>
      <c r="D26" s="57" t="s">
        <v>84</v>
      </c>
      <c r="E26" s="57" t="s">
        <v>24</v>
      </c>
    </row>
    <row r="27" spans="1:5" x14ac:dyDescent="0.2">
      <c r="A27" s="54" t="s">
        <v>102</v>
      </c>
      <c r="B27" s="5" t="s">
        <v>136</v>
      </c>
      <c r="C27" s="5" t="s">
        <v>95</v>
      </c>
      <c r="D27" s="5" t="s">
        <v>137</v>
      </c>
      <c r="E27" s="58" t="s">
        <v>138</v>
      </c>
    </row>
    <row r="30" spans="1:5" ht="15" x14ac:dyDescent="0.2">
      <c r="A30" s="52" t="s">
        <v>89</v>
      </c>
      <c r="B30" s="53"/>
    </row>
    <row r="31" spans="1:5" ht="14.25" x14ac:dyDescent="0.2">
      <c r="A31" s="55"/>
      <c r="B31" s="56" t="s">
        <v>94</v>
      </c>
    </row>
    <row r="32" spans="1:5" ht="15" x14ac:dyDescent="0.2">
      <c r="A32" s="57" t="s">
        <v>0</v>
      </c>
      <c r="B32" s="57" t="s">
        <v>82</v>
      </c>
      <c r="C32" s="57" t="s">
        <v>83</v>
      </c>
      <c r="D32" s="57" t="s">
        <v>84</v>
      </c>
      <c r="E32" s="57" t="s">
        <v>24</v>
      </c>
    </row>
    <row r="33" spans="1:5" x14ac:dyDescent="0.2">
      <c r="A33" s="54" t="s">
        <v>114</v>
      </c>
      <c r="B33" s="5" t="s">
        <v>94</v>
      </c>
      <c r="C33" s="5" t="s">
        <v>139</v>
      </c>
      <c r="D33" s="5" t="s">
        <v>140</v>
      </c>
      <c r="E33" s="58" t="s">
        <v>141</v>
      </c>
    </row>
    <row r="35" spans="1:5" ht="14.25" x14ac:dyDescent="0.2">
      <c r="A35" s="55"/>
      <c r="B35" s="56" t="s">
        <v>135</v>
      </c>
    </row>
    <row r="36" spans="1:5" ht="15" x14ac:dyDescent="0.2">
      <c r="A36" s="57" t="s">
        <v>0</v>
      </c>
      <c r="B36" s="57" t="s">
        <v>82</v>
      </c>
      <c r="C36" s="57" t="s">
        <v>83</v>
      </c>
      <c r="D36" s="57" t="s">
        <v>84</v>
      </c>
      <c r="E36" s="57" t="s">
        <v>24</v>
      </c>
    </row>
    <row r="37" spans="1:5" x14ac:dyDescent="0.2">
      <c r="A37" s="54" t="s">
        <v>114</v>
      </c>
      <c r="B37" s="5" t="s">
        <v>142</v>
      </c>
      <c r="C37" s="5" t="s">
        <v>139</v>
      </c>
      <c r="D37" s="5" t="s">
        <v>140</v>
      </c>
      <c r="E37" s="58" t="s">
        <v>143</v>
      </c>
    </row>
    <row r="38" spans="1:5" x14ac:dyDescent="0.2">
      <c r="A38" s="54" t="s">
        <v>127</v>
      </c>
      <c r="B38" s="5" t="s">
        <v>144</v>
      </c>
      <c r="C38" s="5" t="s">
        <v>145</v>
      </c>
      <c r="D38" s="5" t="s">
        <v>146</v>
      </c>
      <c r="E38" s="58" t="s">
        <v>147</v>
      </c>
    </row>
  </sheetData>
  <mergeCells count="16">
    <mergeCell ref="S3:S4"/>
    <mergeCell ref="T3:T4"/>
    <mergeCell ref="U3:U4"/>
    <mergeCell ref="A5:T5"/>
    <mergeCell ref="A8:T8"/>
    <mergeCell ref="A12:T12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24" style="5" bestFit="1" customWidth="1"/>
    <col min="3" max="3" width="7.7109375" style="5" bestFit="1" customWidth="1"/>
    <col min="4" max="4" width="6.85546875" style="5" bestFit="1" customWidth="1"/>
    <col min="5" max="5" width="17.28515625" style="4" bestFit="1" customWidth="1"/>
    <col min="6" max="6" width="36.140625" style="4" bestFit="1" customWidth="1"/>
    <col min="7" max="13" width="5.5703125" style="5" bestFit="1" customWidth="1"/>
    <col min="14" max="14" width="5" style="5" bestFit="1" customWidth="1"/>
    <col min="15" max="17" width="5.5703125" style="5" bestFit="1" customWidth="1"/>
    <col min="18" max="18" width="5" style="5" bestFit="1" customWidth="1"/>
    <col min="19" max="19" width="6.140625" style="4" bestFit="1" customWidth="1"/>
    <col min="20" max="20" width="8.5703125" style="5" bestFit="1" customWidth="1"/>
    <col min="21" max="21" width="7.42578125" style="4" bestFit="1" customWidth="1"/>
    <col min="22" max="16384" width="9.140625" style="3"/>
  </cols>
  <sheetData>
    <row r="1" spans="1:21" s="2" customFormat="1" ht="29.1" customHeight="1" x14ac:dyDescent="0.2">
      <c r="A1" s="35" t="s">
        <v>23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 x14ac:dyDescent="0.2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41" t="s">
        <v>11</v>
      </c>
      <c r="T3" s="26" t="s">
        <v>7</v>
      </c>
      <c r="U3" s="27" t="s">
        <v>6</v>
      </c>
    </row>
    <row r="4" spans="1:21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42"/>
      <c r="T4" s="30"/>
      <c r="U4" s="31"/>
    </row>
    <row r="5" spans="1:21" s="5" customFormat="1" ht="15" x14ac:dyDescent="0.2">
      <c r="A5" s="45" t="s">
        <v>25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"/>
    </row>
    <row r="6" spans="1:21" s="5" customFormat="1" x14ac:dyDescent="0.2">
      <c r="A6" s="46" t="s">
        <v>27</v>
      </c>
      <c r="B6" s="47" t="s">
        <v>28</v>
      </c>
      <c r="C6" s="47" t="s">
        <v>29</v>
      </c>
      <c r="D6" s="47" t="str">
        <f>"1,1050"</f>
        <v>1,1050</v>
      </c>
      <c r="E6" s="46" t="s">
        <v>30</v>
      </c>
      <c r="F6" s="46" t="s">
        <v>31</v>
      </c>
      <c r="G6" s="47" t="s">
        <v>32</v>
      </c>
      <c r="H6" s="47" t="s">
        <v>33</v>
      </c>
      <c r="I6" s="47" t="s">
        <v>34</v>
      </c>
      <c r="J6" s="48"/>
      <c r="K6" s="47" t="s">
        <v>35</v>
      </c>
      <c r="L6" s="47" t="s">
        <v>36</v>
      </c>
      <c r="M6" s="47" t="s">
        <v>37</v>
      </c>
      <c r="N6" s="48"/>
      <c r="O6" s="47" t="s">
        <v>38</v>
      </c>
      <c r="P6" s="47" t="s">
        <v>39</v>
      </c>
      <c r="Q6" s="47" t="s">
        <v>40</v>
      </c>
      <c r="R6" s="48"/>
      <c r="S6" s="46" t="str">
        <f>"235,0"</f>
        <v>235,0</v>
      </c>
      <c r="T6" s="47" t="str">
        <f>"259,6750"</f>
        <v>259,6750</v>
      </c>
      <c r="U6" s="46"/>
    </row>
    <row r="7" spans="1:21" s="5" customFormat="1" x14ac:dyDescent="0.2">
      <c r="A7" s="4"/>
      <c r="E7" s="4"/>
      <c r="F7" s="4"/>
      <c r="S7" s="4"/>
      <c r="U7" s="4"/>
    </row>
    <row r="8" spans="1:21" ht="15" x14ac:dyDescent="0.2">
      <c r="A8" s="50" t="s">
        <v>41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spans="1:21" x14ac:dyDescent="0.2">
      <c r="A9" s="46" t="s">
        <v>43</v>
      </c>
      <c r="B9" s="47" t="s">
        <v>44</v>
      </c>
      <c r="C9" s="47" t="s">
        <v>45</v>
      </c>
      <c r="D9" s="47" t="str">
        <f>"0,6969"</f>
        <v>0,6969</v>
      </c>
      <c r="E9" s="46" t="s">
        <v>30</v>
      </c>
      <c r="F9" s="46" t="s">
        <v>31</v>
      </c>
      <c r="G9" s="47" t="s">
        <v>46</v>
      </c>
      <c r="H9" s="47" t="s">
        <v>47</v>
      </c>
      <c r="I9" s="47" t="s">
        <v>48</v>
      </c>
      <c r="J9" s="47" t="s">
        <v>49</v>
      </c>
      <c r="K9" s="47" t="s">
        <v>33</v>
      </c>
      <c r="L9" s="47" t="s">
        <v>50</v>
      </c>
      <c r="M9" s="48" t="s">
        <v>51</v>
      </c>
      <c r="N9" s="48"/>
      <c r="O9" s="47" t="s">
        <v>52</v>
      </c>
      <c r="P9" s="47" t="s">
        <v>53</v>
      </c>
      <c r="Q9" s="47" t="s">
        <v>54</v>
      </c>
      <c r="R9" s="48"/>
      <c r="S9" s="46" t="str">
        <f>"375,0"</f>
        <v>375,0</v>
      </c>
      <c r="T9" s="47" t="str">
        <f>"261,3188"</f>
        <v>261,3188</v>
      </c>
      <c r="U9" s="46"/>
    </row>
    <row r="11" spans="1:21" ht="15" x14ac:dyDescent="0.2">
      <c r="A11" s="50" t="s">
        <v>55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1:21" x14ac:dyDescent="0.2">
      <c r="A12" s="46" t="s">
        <v>57</v>
      </c>
      <c r="B12" s="47" t="s">
        <v>58</v>
      </c>
      <c r="C12" s="47" t="s">
        <v>59</v>
      </c>
      <c r="D12" s="47" t="str">
        <f>"0,6184"</f>
        <v>0,6184</v>
      </c>
      <c r="E12" s="46" t="s">
        <v>30</v>
      </c>
      <c r="F12" s="46" t="s">
        <v>60</v>
      </c>
      <c r="G12" s="47" t="s">
        <v>61</v>
      </c>
      <c r="H12" s="47" t="s">
        <v>62</v>
      </c>
      <c r="I12" s="48" t="s">
        <v>63</v>
      </c>
      <c r="J12" s="48"/>
      <c r="K12" s="47" t="s">
        <v>54</v>
      </c>
      <c r="L12" s="47" t="s">
        <v>64</v>
      </c>
      <c r="M12" s="48"/>
      <c r="N12" s="48"/>
      <c r="O12" s="47" t="s">
        <v>65</v>
      </c>
      <c r="P12" s="48" t="s">
        <v>66</v>
      </c>
      <c r="Q12" s="48"/>
      <c r="R12" s="48"/>
      <c r="S12" s="46" t="str">
        <f>"680,0"</f>
        <v>680,0</v>
      </c>
      <c r="T12" s="47" t="str">
        <f>"420,5460"</f>
        <v>420,5460</v>
      </c>
      <c r="U12" s="46"/>
    </row>
    <row r="14" spans="1:21" ht="15" x14ac:dyDescent="0.2">
      <c r="A14" s="50" t="s">
        <v>67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1:21" x14ac:dyDescent="0.2">
      <c r="A15" s="46" t="s">
        <v>69</v>
      </c>
      <c r="B15" s="47" t="s">
        <v>70</v>
      </c>
      <c r="C15" s="47" t="s">
        <v>71</v>
      </c>
      <c r="D15" s="47" t="str">
        <f>"0,5493"</f>
        <v>0,5493</v>
      </c>
      <c r="E15" s="46" t="s">
        <v>30</v>
      </c>
      <c r="F15" s="46" t="s">
        <v>72</v>
      </c>
      <c r="G15" s="47" t="s">
        <v>62</v>
      </c>
      <c r="H15" s="47" t="s">
        <v>63</v>
      </c>
      <c r="I15" s="47" t="s">
        <v>73</v>
      </c>
      <c r="J15" s="48"/>
      <c r="K15" s="47" t="s">
        <v>74</v>
      </c>
      <c r="L15" s="47" t="s">
        <v>75</v>
      </c>
      <c r="M15" s="47" t="s">
        <v>76</v>
      </c>
      <c r="N15" s="48"/>
      <c r="O15" s="47" t="s">
        <v>77</v>
      </c>
      <c r="P15" s="47" t="s">
        <v>78</v>
      </c>
      <c r="Q15" s="48" t="s">
        <v>79</v>
      </c>
      <c r="R15" s="48"/>
      <c r="S15" s="46" t="str">
        <f>"742,5"</f>
        <v>742,5</v>
      </c>
      <c r="T15" s="47" t="str">
        <f>"407,8553"</f>
        <v>407,8553</v>
      </c>
      <c r="U15" s="46"/>
    </row>
    <row r="17" spans="1:5" ht="15" x14ac:dyDescent="0.2">
      <c r="E17" s="34" t="s">
        <v>15</v>
      </c>
    </row>
    <row r="18" spans="1:5" ht="15" x14ac:dyDescent="0.2">
      <c r="E18" s="34" t="s">
        <v>16</v>
      </c>
    </row>
    <row r="19" spans="1:5" ht="15" x14ac:dyDescent="0.2">
      <c r="E19" s="34" t="s">
        <v>17</v>
      </c>
    </row>
    <row r="20" spans="1:5" x14ac:dyDescent="0.2">
      <c r="E20" s="4" t="s">
        <v>18</v>
      </c>
    </row>
    <row r="21" spans="1:5" x14ac:dyDescent="0.2">
      <c r="E21" s="4" t="s">
        <v>19</v>
      </c>
    </row>
    <row r="22" spans="1:5" x14ac:dyDescent="0.2">
      <c r="E22" s="4" t="s">
        <v>20</v>
      </c>
    </row>
    <row r="25" spans="1:5" ht="18" x14ac:dyDescent="0.25">
      <c r="A25" s="43" t="s">
        <v>21</v>
      </c>
      <c r="B25" s="44"/>
    </row>
    <row r="26" spans="1:5" ht="15" x14ac:dyDescent="0.2">
      <c r="A26" s="52" t="s">
        <v>80</v>
      </c>
      <c r="B26" s="53"/>
    </row>
    <row r="27" spans="1:5" ht="14.25" x14ac:dyDescent="0.2">
      <c r="A27" s="55"/>
      <c r="B27" s="56" t="s">
        <v>81</v>
      </c>
    </row>
    <row r="28" spans="1:5" ht="15" x14ac:dyDescent="0.2">
      <c r="A28" s="57" t="s">
        <v>0</v>
      </c>
      <c r="B28" s="57" t="s">
        <v>82</v>
      </c>
      <c r="C28" s="57" t="s">
        <v>83</v>
      </c>
      <c r="D28" s="57" t="s">
        <v>84</v>
      </c>
      <c r="E28" s="57" t="s">
        <v>24</v>
      </c>
    </row>
    <row r="29" spans="1:5" x14ac:dyDescent="0.2">
      <c r="A29" s="54" t="s">
        <v>26</v>
      </c>
      <c r="B29" s="5" t="s">
        <v>85</v>
      </c>
      <c r="C29" s="5" t="s">
        <v>86</v>
      </c>
      <c r="D29" s="5" t="s">
        <v>87</v>
      </c>
      <c r="E29" s="58" t="s">
        <v>88</v>
      </c>
    </row>
    <row r="32" spans="1:5" ht="15" x14ac:dyDescent="0.2">
      <c r="A32" s="52" t="s">
        <v>89</v>
      </c>
      <c r="B32" s="53"/>
    </row>
    <row r="33" spans="1:5" ht="14.25" x14ac:dyDescent="0.2">
      <c r="A33" s="55"/>
      <c r="B33" s="56" t="s">
        <v>81</v>
      </c>
    </row>
    <row r="34" spans="1:5" ht="15" x14ac:dyDescent="0.2">
      <c r="A34" s="57" t="s">
        <v>0</v>
      </c>
      <c r="B34" s="57" t="s">
        <v>82</v>
      </c>
      <c r="C34" s="57" t="s">
        <v>83</v>
      </c>
      <c r="D34" s="57" t="s">
        <v>84</v>
      </c>
      <c r="E34" s="57" t="s">
        <v>24</v>
      </c>
    </row>
    <row r="35" spans="1:5" x14ac:dyDescent="0.2">
      <c r="A35" s="54" t="s">
        <v>42</v>
      </c>
      <c r="B35" s="5" t="s">
        <v>90</v>
      </c>
      <c r="C35" s="5" t="s">
        <v>91</v>
      </c>
      <c r="D35" s="5" t="s">
        <v>92</v>
      </c>
      <c r="E35" s="58" t="s">
        <v>93</v>
      </c>
    </row>
    <row r="37" spans="1:5" ht="14.25" x14ac:dyDescent="0.2">
      <c r="A37" s="55"/>
      <c r="B37" s="56" t="s">
        <v>94</v>
      </c>
    </row>
    <row r="38" spans="1:5" ht="15" x14ac:dyDescent="0.2">
      <c r="A38" s="57" t="s">
        <v>0</v>
      </c>
      <c r="B38" s="57" t="s">
        <v>82</v>
      </c>
      <c r="C38" s="57" t="s">
        <v>83</v>
      </c>
      <c r="D38" s="57" t="s">
        <v>84</v>
      </c>
      <c r="E38" s="57" t="s">
        <v>24</v>
      </c>
    </row>
    <row r="39" spans="1:5" x14ac:dyDescent="0.2">
      <c r="A39" s="54" t="s">
        <v>56</v>
      </c>
      <c r="B39" s="5" t="s">
        <v>94</v>
      </c>
      <c r="C39" s="5" t="s">
        <v>95</v>
      </c>
      <c r="D39" s="5" t="s">
        <v>96</v>
      </c>
      <c r="E39" s="58" t="s">
        <v>97</v>
      </c>
    </row>
    <row r="40" spans="1:5" x14ac:dyDescent="0.2">
      <c r="A40" s="54" t="s">
        <v>68</v>
      </c>
      <c r="B40" s="5" t="s">
        <v>94</v>
      </c>
      <c r="C40" s="5" t="s">
        <v>98</v>
      </c>
      <c r="D40" s="5" t="s">
        <v>99</v>
      </c>
      <c r="E40" s="58" t="s">
        <v>100</v>
      </c>
    </row>
  </sheetData>
  <mergeCells count="17">
    <mergeCell ref="A14:T14"/>
    <mergeCell ref="S3:S4"/>
    <mergeCell ref="T3:T4"/>
    <mergeCell ref="U3:U4"/>
    <mergeCell ref="A5:T5"/>
    <mergeCell ref="A8:T8"/>
    <mergeCell ref="A11:T11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14.7109375" style="5" bestFit="1" customWidth="1"/>
    <col min="3" max="3" width="7.7109375" style="5" bestFit="1" customWidth="1"/>
    <col min="4" max="4" width="7.28515625" style="5" customWidth="1"/>
    <col min="5" max="5" width="17.28515625" style="4" bestFit="1" customWidth="1"/>
    <col min="6" max="6" width="14.5703125" style="4" bestFit="1" customWidth="1"/>
    <col min="7" max="9" width="2.140625" style="5" bestFit="1" customWidth="1"/>
    <col min="10" max="10" width="5" style="5" bestFit="1" customWidth="1"/>
    <col min="11" max="13" width="2.140625" style="5" bestFit="1" customWidth="1"/>
    <col min="14" max="14" width="5" style="5" bestFit="1" customWidth="1"/>
    <col min="15" max="17" width="2.140625" style="5" bestFit="1" customWidth="1"/>
    <col min="18" max="18" width="5" style="5" bestFit="1" customWidth="1"/>
    <col min="19" max="19" width="6.140625" style="4" bestFit="1" customWidth="1"/>
    <col min="20" max="20" width="4.28515625" style="5" bestFit="1" customWidth="1"/>
    <col min="21" max="21" width="7.42578125" style="4" bestFit="1" customWidth="1"/>
    <col min="22" max="16384" width="9.140625" style="3"/>
  </cols>
  <sheetData>
    <row r="1" spans="1:21" s="2" customFormat="1" ht="29.1" customHeight="1" x14ac:dyDescent="0.2">
      <c r="A1" s="35" t="s">
        <v>22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 x14ac:dyDescent="0.2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41" t="s">
        <v>11</v>
      </c>
      <c r="T3" s="26" t="s">
        <v>7</v>
      </c>
      <c r="U3" s="27" t="s">
        <v>6</v>
      </c>
    </row>
    <row r="4" spans="1:21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42"/>
      <c r="T4" s="30"/>
      <c r="U4" s="31"/>
    </row>
    <row r="5" spans="1:21" s="5" customFormat="1" x14ac:dyDescent="0.2">
      <c r="A5" s="4"/>
      <c r="E5" s="4"/>
      <c r="F5" s="4"/>
      <c r="S5" s="4"/>
      <c r="U5" s="4"/>
    </row>
    <row r="6" spans="1:21" s="5" customFormat="1" ht="15" x14ac:dyDescent="0.2">
      <c r="A6" s="4"/>
      <c r="E6" s="34" t="s">
        <v>15</v>
      </c>
      <c r="F6" s="4"/>
      <c r="S6" s="4"/>
      <c r="U6" s="4"/>
    </row>
    <row r="7" spans="1:21" s="5" customFormat="1" ht="15" x14ac:dyDescent="0.2">
      <c r="A7" s="4"/>
      <c r="E7" s="34" t="s">
        <v>16</v>
      </c>
      <c r="F7" s="4"/>
      <c r="S7" s="4"/>
      <c r="U7" s="4"/>
    </row>
    <row r="8" spans="1:21" ht="15" x14ac:dyDescent="0.2">
      <c r="E8" s="34" t="s">
        <v>17</v>
      </c>
    </row>
    <row r="9" spans="1:21" x14ac:dyDescent="0.2">
      <c r="E9" s="4" t="s">
        <v>18</v>
      </c>
    </row>
    <row r="10" spans="1:21" x14ac:dyDescent="0.2">
      <c r="E10" s="4" t="s">
        <v>19</v>
      </c>
    </row>
    <row r="11" spans="1:21" x14ac:dyDescent="0.2">
      <c r="E11" s="4" t="s">
        <v>20</v>
      </c>
    </row>
    <row r="14" spans="1:21" ht="18" x14ac:dyDescent="0.25">
      <c r="A14" s="43" t="s">
        <v>21</v>
      </c>
      <c r="B14" s="44"/>
    </row>
  </sheetData>
  <mergeCells count="13"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U14"/>
  <sheetViews>
    <sheetView zoomScaleNormal="100" workbookViewId="0">
      <selection sqref="A1:U2"/>
    </sheetView>
  </sheetViews>
  <sheetFormatPr defaultRowHeight="12.75" x14ac:dyDescent="0.2"/>
  <cols>
    <col min="1" max="1" width="27" style="4" bestFit="1" customWidth="1"/>
    <col min="2" max="2" width="14.7109375" style="5" bestFit="1" customWidth="1"/>
    <col min="3" max="3" width="7.7109375" style="5" bestFit="1" customWidth="1"/>
    <col min="4" max="4" width="7.28515625" style="5" customWidth="1"/>
    <col min="5" max="5" width="17.28515625" style="4" bestFit="1" customWidth="1"/>
    <col min="6" max="6" width="14.5703125" style="4" bestFit="1" customWidth="1"/>
    <col min="7" max="9" width="2.140625" style="5" bestFit="1" customWidth="1"/>
    <col min="10" max="10" width="5" style="5" bestFit="1" customWidth="1"/>
    <col min="11" max="13" width="2.140625" style="5" bestFit="1" customWidth="1"/>
    <col min="14" max="14" width="5" style="5" bestFit="1" customWidth="1"/>
    <col min="15" max="17" width="2.140625" style="5" bestFit="1" customWidth="1"/>
    <col min="18" max="18" width="5" style="5" bestFit="1" customWidth="1"/>
    <col min="19" max="19" width="6.140625" style="4" bestFit="1" customWidth="1"/>
    <col min="20" max="20" width="4.28515625" style="5" bestFit="1" customWidth="1"/>
    <col min="21" max="21" width="7.42578125" style="4" bestFit="1" customWidth="1"/>
    <col min="22" max="16384" width="9.140625" style="3"/>
  </cols>
  <sheetData>
    <row r="1" spans="1:21" s="2" customFormat="1" ht="29.1" customHeight="1" x14ac:dyDescent="0.2">
      <c r="A1" s="35" t="s">
        <v>13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 x14ac:dyDescent="0.2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41" t="s">
        <v>11</v>
      </c>
      <c r="T3" s="26" t="s">
        <v>7</v>
      </c>
      <c r="U3" s="27" t="s">
        <v>6</v>
      </c>
    </row>
    <row r="4" spans="1:21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42"/>
      <c r="T4" s="30"/>
      <c r="U4" s="31"/>
    </row>
    <row r="5" spans="1:21" s="5" customFormat="1" x14ac:dyDescent="0.2">
      <c r="A5" s="4"/>
      <c r="E5" s="4"/>
      <c r="F5" s="4"/>
      <c r="S5" s="4"/>
      <c r="U5" s="4"/>
    </row>
    <row r="6" spans="1:21" s="5" customFormat="1" ht="15" x14ac:dyDescent="0.2">
      <c r="A6" s="4"/>
      <c r="E6" s="34" t="s">
        <v>15</v>
      </c>
      <c r="F6" s="4"/>
      <c r="S6" s="4"/>
      <c r="U6" s="4"/>
    </row>
    <row r="7" spans="1:21" s="5" customFormat="1" ht="15" x14ac:dyDescent="0.2">
      <c r="A7" s="4"/>
      <c r="E7" s="34" t="s">
        <v>16</v>
      </c>
      <c r="F7" s="4"/>
      <c r="S7" s="4"/>
      <c r="U7" s="4"/>
    </row>
    <row r="8" spans="1:21" ht="15" x14ac:dyDescent="0.2">
      <c r="E8" s="34" t="s">
        <v>17</v>
      </c>
    </row>
    <row r="9" spans="1:21" x14ac:dyDescent="0.2">
      <c r="E9" s="4" t="s">
        <v>18</v>
      </c>
    </row>
    <row r="10" spans="1:21" x14ac:dyDescent="0.2">
      <c r="E10" s="4" t="s">
        <v>19</v>
      </c>
    </row>
    <row r="11" spans="1:21" x14ac:dyDescent="0.2">
      <c r="E11" s="4" t="s">
        <v>20</v>
      </c>
    </row>
    <row r="14" spans="1:21" ht="18" x14ac:dyDescent="0.25">
      <c r="A14" s="43" t="s">
        <v>21</v>
      </c>
      <c r="B14" s="44"/>
    </row>
  </sheetData>
  <mergeCells count="13"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65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19.140625" style="5" bestFit="1" customWidth="1"/>
    <col min="3" max="3" width="7.7109375" style="5" bestFit="1" customWidth="1"/>
    <col min="4" max="4" width="6.85546875" style="5" bestFit="1" customWidth="1"/>
    <col min="5" max="5" width="17.28515625" style="4" bestFit="1" customWidth="1"/>
    <col min="6" max="6" width="24.42578125" style="4" bestFit="1" customWidth="1"/>
    <col min="7" max="9" width="5.5703125" style="5" bestFit="1" customWidth="1"/>
    <col min="10" max="10" width="5" style="5" bestFit="1" customWidth="1"/>
    <col min="11" max="11" width="6.140625" style="4" bestFit="1" customWidth="1"/>
    <col min="12" max="12" width="6.5703125" style="5" bestFit="1" customWidth="1"/>
    <col min="13" max="13" width="7.42578125" style="4" bestFit="1" customWidth="1"/>
    <col min="14" max="16384" width="9.140625" style="3"/>
  </cols>
  <sheetData>
    <row r="1" spans="1:13" s="2" customFormat="1" ht="29.1" customHeight="1" x14ac:dyDescent="0.2">
      <c r="A1" s="35" t="s">
        <v>898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5</v>
      </c>
      <c r="H3" s="26"/>
      <c r="I3" s="26"/>
      <c r="J3" s="27"/>
      <c r="K3" s="41" t="s">
        <v>314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ht="15" x14ac:dyDescent="0.2">
      <c r="A5" s="45" t="s">
        <v>41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"/>
    </row>
    <row r="6" spans="1:13" s="5" customFormat="1" x14ac:dyDescent="0.2">
      <c r="A6" s="46" t="s">
        <v>899</v>
      </c>
      <c r="B6" s="47" t="s">
        <v>840</v>
      </c>
      <c r="C6" s="47" t="s">
        <v>841</v>
      </c>
      <c r="D6" s="47" t="str">
        <f>"0,7034"</f>
        <v>0,7034</v>
      </c>
      <c r="E6" s="46" t="s">
        <v>30</v>
      </c>
      <c r="F6" s="46" t="s">
        <v>31</v>
      </c>
      <c r="G6" s="48" t="s">
        <v>347</v>
      </c>
      <c r="H6" s="48" t="s">
        <v>347</v>
      </c>
      <c r="I6" s="48" t="s">
        <v>347</v>
      </c>
      <c r="J6" s="48"/>
      <c r="K6" s="46" t="str">
        <f>"0.00"</f>
        <v>0.00</v>
      </c>
      <c r="L6" s="47" t="str">
        <f>"0,0000"</f>
        <v>0,0000</v>
      </c>
      <c r="M6" s="46"/>
    </row>
    <row r="7" spans="1:13" s="5" customFormat="1" x14ac:dyDescent="0.2">
      <c r="A7" s="4"/>
      <c r="E7" s="4"/>
      <c r="F7" s="4"/>
      <c r="K7" s="4"/>
      <c r="M7" s="4"/>
    </row>
    <row r="8" spans="1:13" ht="15" x14ac:dyDescent="0.2">
      <c r="A8" s="50" t="s">
        <v>219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3" x14ac:dyDescent="0.2">
      <c r="A9" s="46" t="s">
        <v>900</v>
      </c>
      <c r="B9" s="47" t="s">
        <v>901</v>
      </c>
      <c r="C9" s="47" t="s">
        <v>902</v>
      </c>
      <c r="D9" s="47" t="str">
        <f>"0,5977"</f>
        <v>0,5977</v>
      </c>
      <c r="E9" s="46" t="s">
        <v>30</v>
      </c>
      <c r="F9" s="46" t="s">
        <v>31</v>
      </c>
      <c r="G9" s="48" t="s">
        <v>123</v>
      </c>
      <c r="H9" s="48"/>
      <c r="I9" s="48"/>
      <c r="J9" s="48"/>
      <c r="K9" s="46" t="str">
        <f>"0.00"</f>
        <v>0.00</v>
      </c>
      <c r="L9" s="47" t="str">
        <f>"0,0000"</f>
        <v>0,0000</v>
      </c>
      <c r="M9" s="46"/>
    </row>
    <row r="11" spans="1:13" ht="15" x14ac:dyDescent="0.2">
      <c r="E11" s="34" t="s">
        <v>15</v>
      </c>
    </row>
    <row r="12" spans="1:13" ht="15" x14ac:dyDescent="0.2">
      <c r="E12" s="34" t="s">
        <v>16</v>
      </c>
    </row>
    <row r="13" spans="1:13" ht="15" x14ac:dyDescent="0.2">
      <c r="E13" s="34" t="s">
        <v>17</v>
      </c>
    </row>
    <row r="14" spans="1:13" x14ac:dyDescent="0.2">
      <c r="E14" s="4" t="s">
        <v>18</v>
      </c>
    </row>
    <row r="15" spans="1:13" x14ac:dyDescent="0.2">
      <c r="E15" s="4" t="s">
        <v>19</v>
      </c>
    </row>
    <row r="16" spans="1:13" x14ac:dyDescent="0.2">
      <c r="E16" s="4" t="s">
        <v>20</v>
      </c>
    </row>
    <row r="19" spans="1:2" ht="18" x14ac:dyDescent="0.25">
      <c r="A19" s="43" t="s">
        <v>21</v>
      </c>
      <c r="B19" s="44"/>
    </row>
  </sheetData>
  <mergeCells count="13">
    <mergeCell ref="K3:K4"/>
    <mergeCell ref="L3:L4"/>
    <mergeCell ref="M3:M4"/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26.85546875" style="5" bestFit="1" customWidth="1"/>
    <col min="3" max="3" width="7.7109375" style="5" bestFit="1" customWidth="1"/>
    <col min="4" max="4" width="6.85546875" style="5" bestFit="1" customWidth="1"/>
    <col min="5" max="5" width="17.28515625" style="4" bestFit="1" customWidth="1"/>
    <col min="6" max="6" width="31.7109375" style="4" bestFit="1" customWidth="1"/>
    <col min="7" max="9" width="5.5703125" style="5" bestFit="1" customWidth="1"/>
    <col min="10" max="10" width="5" style="5" bestFit="1" customWidth="1"/>
    <col min="11" max="11" width="6.140625" style="4" bestFit="1" customWidth="1"/>
    <col min="12" max="12" width="8.5703125" style="5" bestFit="1" customWidth="1"/>
    <col min="13" max="13" width="7.42578125" style="4" bestFit="1" customWidth="1"/>
    <col min="14" max="16384" width="9.140625" style="3"/>
  </cols>
  <sheetData>
    <row r="1" spans="1:13" s="2" customFormat="1" ht="29.1" customHeight="1" x14ac:dyDescent="0.2">
      <c r="A1" s="35" t="s">
        <v>805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5</v>
      </c>
      <c r="H3" s="26"/>
      <c r="I3" s="26"/>
      <c r="J3" s="27"/>
      <c r="K3" s="41" t="s">
        <v>314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ht="15" x14ac:dyDescent="0.2">
      <c r="A5" s="45" t="s">
        <v>168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"/>
    </row>
    <row r="6" spans="1:13" s="5" customFormat="1" x14ac:dyDescent="0.2">
      <c r="A6" s="61" t="s">
        <v>517</v>
      </c>
      <c r="B6" s="59" t="s">
        <v>518</v>
      </c>
      <c r="C6" s="59" t="s">
        <v>519</v>
      </c>
      <c r="D6" s="59" t="str">
        <f>"1,0335"</f>
        <v>1,0335</v>
      </c>
      <c r="E6" s="61" t="s">
        <v>30</v>
      </c>
      <c r="F6" s="61" t="s">
        <v>118</v>
      </c>
      <c r="G6" s="59" t="s">
        <v>33</v>
      </c>
      <c r="H6" s="59" t="s">
        <v>173</v>
      </c>
      <c r="I6" s="59" t="s">
        <v>39</v>
      </c>
      <c r="J6" s="62"/>
      <c r="K6" s="61" t="str">
        <f>"100,0"</f>
        <v>100,0</v>
      </c>
      <c r="L6" s="59" t="str">
        <f>"103,3500"</f>
        <v>103,3500</v>
      </c>
      <c r="M6" s="61"/>
    </row>
    <row r="7" spans="1:13" s="5" customFormat="1" x14ac:dyDescent="0.2">
      <c r="A7" s="66" t="s">
        <v>807</v>
      </c>
      <c r="B7" s="65" t="s">
        <v>808</v>
      </c>
      <c r="C7" s="65" t="s">
        <v>809</v>
      </c>
      <c r="D7" s="65" t="str">
        <f>"1,0365"</f>
        <v>1,0365</v>
      </c>
      <c r="E7" s="66" t="s">
        <v>30</v>
      </c>
      <c r="F7" s="66" t="s">
        <v>31</v>
      </c>
      <c r="G7" s="65" t="s">
        <v>40</v>
      </c>
      <c r="H7" s="65" t="s">
        <v>47</v>
      </c>
      <c r="I7" s="65" t="s">
        <v>810</v>
      </c>
      <c r="J7" s="67"/>
      <c r="K7" s="66" t="str">
        <f>"127,5"</f>
        <v>127,5</v>
      </c>
      <c r="L7" s="65" t="str">
        <f>"132,1537"</f>
        <v>132,1537</v>
      </c>
      <c r="M7" s="66"/>
    </row>
    <row r="8" spans="1:13" x14ac:dyDescent="0.2">
      <c r="A8" s="63" t="s">
        <v>487</v>
      </c>
      <c r="B8" s="60" t="s">
        <v>488</v>
      </c>
      <c r="C8" s="60" t="s">
        <v>489</v>
      </c>
      <c r="D8" s="60" t="str">
        <f>"1,0306"</f>
        <v>1,0306</v>
      </c>
      <c r="E8" s="63" t="s">
        <v>30</v>
      </c>
      <c r="F8" s="63" t="s">
        <v>106</v>
      </c>
      <c r="G8" s="60" t="s">
        <v>47</v>
      </c>
      <c r="H8" s="60" t="s">
        <v>213</v>
      </c>
      <c r="I8" s="60" t="s">
        <v>599</v>
      </c>
      <c r="J8" s="64"/>
      <c r="K8" s="63" t="str">
        <f>"137,5"</f>
        <v>137,5</v>
      </c>
      <c r="L8" s="60" t="str">
        <f>"147,8009"</f>
        <v>147,8009</v>
      </c>
      <c r="M8" s="63"/>
    </row>
    <row r="10" spans="1:13" ht="15" x14ac:dyDescent="0.2">
      <c r="A10" s="50" t="s">
        <v>183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3" x14ac:dyDescent="0.2">
      <c r="A11" s="61" t="s">
        <v>812</v>
      </c>
      <c r="B11" s="59" t="s">
        <v>813</v>
      </c>
      <c r="C11" s="59" t="s">
        <v>814</v>
      </c>
      <c r="D11" s="59" t="str">
        <f>"0,9346"</f>
        <v>0,9346</v>
      </c>
      <c r="E11" s="61" t="s">
        <v>30</v>
      </c>
      <c r="F11" s="61" t="s">
        <v>31</v>
      </c>
      <c r="G11" s="59" t="s">
        <v>212</v>
      </c>
      <c r="H11" s="59" t="s">
        <v>49</v>
      </c>
      <c r="I11" s="62" t="s">
        <v>189</v>
      </c>
      <c r="J11" s="62"/>
      <c r="K11" s="61" t="str">
        <f>"130,0"</f>
        <v>130,0</v>
      </c>
      <c r="L11" s="59" t="str">
        <f>"121,4980"</f>
        <v>121,4980</v>
      </c>
      <c r="M11" s="61"/>
    </row>
    <row r="12" spans="1:13" x14ac:dyDescent="0.2">
      <c r="A12" s="66" t="s">
        <v>414</v>
      </c>
      <c r="B12" s="65" t="s">
        <v>415</v>
      </c>
      <c r="C12" s="65" t="s">
        <v>416</v>
      </c>
      <c r="D12" s="65" t="str">
        <f>"0,9589"</f>
        <v>0,9589</v>
      </c>
      <c r="E12" s="66" t="s">
        <v>30</v>
      </c>
      <c r="F12" s="66" t="s">
        <v>31</v>
      </c>
      <c r="G12" s="65" t="s">
        <v>412</v>
      </c>
      <c r="H12" s="65" t="s">
        <v>401</v>
      </c>
      <c r="I12" s="65" t="s">
        <v>109</v>
      </c>
      <c r="J12" s="67"/>
      <c r="K12" s="66" t="str">
        <f>"60,0"</f>
        <v>60,0</v>
      </c>
      <c r="L12" s="65" t="str">
        <f>"58,1124"</f>
        <v>58,1124</v>
      </c>
      <c r="M12" s="66"/>
    </row>
    <row r="13" spans="1:13" x14ac:dyDescent="0.2">
      <c r="A13" s="63" t="s">
        <v>816</v>
      </c>
      <c r="B13" s="60" t="s">
        <v>817</v>
      </c>
      <c r="C13" s="60" t="s">
        <v>548</v>
      </c>
      <c r="D13" s="60" t="str">
        <f>"0,9733"</f>
        <v>0,9733</v>
      </c>
      <c r="E13" s="63" t="s">
        <v>30</v>
      </c>
      <c r="F13" s="63" t="s">
        <v>31</v>
      </c>
      <c r="G13" s="60" t="s">
        <v>50</v>
      </c>
      <c r="H13" s="60" t="s">
        <v>173</v>
      </c>
      <c r="I13" s="60" t="s">
        <v>39</v>
      </c>
      <c r="J13" s="64"/>
      <c r="K13" s="63" t="str">
        <f>"100,0"</f>
        <v>100,0</v>
      </c>
      <c r="L13" s="60" t="str">
        <f>"111,6432"</f>
        <v>111,6432</v>
      </c>
      <c r="M13" s="63"/>
    </row>
    <row r="15" spans="1:13" ht="15" x14ac:dyDescent="0.2">
      <c r="A15" s="50" t="s">
        <v>41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1:13" x14ac:dyDescent="0.2">
      <c r="A16" s="46" t="s">
        <v>819</v>
      </c>
      <c r="B16" s="47" t="s">
        <v>820</v>
      </c>
      <c r="C16" s="47" t="s">
        <v>821</v>
      </c>
      <c r="D16" s="47" t="str">
        <f>"0,8587"</f>
        <v>0,8587</v>
      </c>
      <c r="E16" s="46" t="s">
        <v>30</v>
      </c>
      <c r="F16" s="46" t="s">
        <v>567</v>
      </c>
      <c r="G16" s="47" t="s">
        <v>173</v>
      </c>
      <c r="H16" s="47" t="s">
        <v>39</v>
      </c>
      <c r="I16" s="48" t="s">
        <v>40</v>
      </c>
      <c r="J16" s="48"/>
      <c r="K16" s="46" t="str">
        <f>"100,0"</f>
        <v>100,0</v>
      </c>
      <c r="L16" s="47" t="str">
        <f>"85,8700"</f>
        <v>85,8700</v>
      </c>
      <c r="M16" s="46"/>
    </row>
    <row r="18" spans="1:13" ht="15" x14ac:dyDescent="0.2">
      <c r="A18" s="50" t="s">
        <v>25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</row>
    <row r="19" spans="1:13" x14ac:dyDescent="0.2">
      <c r="A19" s="46" t="s">
        <v>823</v>
      </c>
      <c r="B19" s="47" t="s">
        <v>824</v>
      </c>
      <c r="C19" s="47" t="s">
        <v>825</v>
      </c>
      <c r="D19" s="47" t="str">
        <f>"0,9257"</f>
        <v>0,9257</v>
      </c>
      <c r="E19" s="46" t="s">
        <v>30</v>
      </c>
      <c r="F19" s="46" t="s">
        <v>31</v>
      </c>
      <c r="G19" s="47" t="s">
        <v>173</v>
      </c>
      <c r="H19" s="47" t="s">
        <v>39</v>
      </c>
      <c r="I19" s="47" t="s">
        <v>40</v>
      </c>
      <c r="J19" s="48"/>
      <c r="K19" s="46" t="str">
        <f>"105,0"</f>
        <v>105,0</v>
      </c>
      <c r="L19" s="47" t="str">
        <f>"97,1933"</f>
        <v>97,1933</v>
      </c>
      <c r="M19" s="46"/>
    </row>
    <row r="21" spans="1:13" ht="15" x14ac:dyDescent="0.2">
      <c r="A21" s="50" t="s">
        <v>183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</row>
    <row r="22" spans="1:13" x14ac:dyDescent="0.2">
      <c r="A22" s="61" t="s">
        <v>533</v>
      </c>
      <c r="B22" s="59" t="s">
        <v>534</v>
      </c>
      <c r="C22" s="59" t="s">
        <v>535</v>
      </c>
      <c r="D22" s="59" t="str">
        <f>"0,7722"</f>
        <v>0,7722</v>
      </c>
      <c r="E22" s="61" t="s">
        <v>30</v>
      </c>
      <c r="F22" s="61" t="s">
        <v>536</v>
      </c>
      <c r="G22" s="59" t="s">
        <v>225</v>
      </c>
      <c r="H22" s="59" t="s">
        <v>54</v>
      </c>
      <c r="I22" s="59" t="s">
        <v>64</v>
      </c>
      <c r="J22" s="62"/>
      <c r="K22" s="61" t="str">
        <f>"170,0"</f>
        <v>170,0</v>
      </c>
      <c r="L22" s="59" t="str">
        <f>"131,2825"</f>
        <v>131,2825</v>
      </c>
      <c r="M22" s="61"/>
    </row>
    <row r="23" spans="1:13" x14ac:dyDescent="0.2">
      <c r="A23" s="66" t="s">
        <v>827</v>
      </c>
      <c r="B23" s="65" t="s">
        <v>828</v>
      </c>
      <c r="C23" s="65" t="s">
        <v>829</v>
      </c>
      <c r="D23" s="65" t="str">
        <f>"0,7994"</f>
        <v>0,7994</v>
      </c>
      <c r="E23" s="66" t="s">
        <v>30</v>
      </c>
      <c r="F23" s="66" t="s">
        <v>31</v>
      </c>
      <c r="G23" s="65" t="s">
        <v>54</v>
      </c>
      <c r="H23" s="65" t="s">
        <v>64</v>
      </c>
      <c r="I23" s="65" t="s">
        <v>75</v>
      </c>
      <c r="J23" s="67"/>
      <c r="K23" s="66" t="str">
        <f>"180,0"</f>
        <v>180,0</v>
      </c>
      <c r="L23" s="65" t="str">
        <f>"143,9010"</f>
        <v>143,9010</v>
      </c>
      <c r="M23" s="66"/>
    </row>
    <row r="24" spans="1:13" x14ac:dyDescent="0.2">
      <c r="A24" s="66" t="s">
        <v>831</v>
      </c>
      <c r="B24" s="65" t="s">
        <v>832</v>
      </c>
      <c r="C24" s="65" t="s">
        <v>833</v>
      </c>
      <c r="D24" s="65" t="str">
        <f>"0,8066"</f>
        <v>0,8066</v>
      </c>
      <c r="E24" s="66" t="s">
        <v>30</v>
      </c>
      <c r="F24" s="66" t="s">
        <v>31</v>
      </c>
      <c r="G24" s="65" t="s">
        <v>107</v>
      </c>
      <c r="H24" s="65" t="s">
        <v>108</v>
      </c>
      <c r="I24" s="65" t="s">
        <v>54</v>
      </c>
      <c r="J24" s="67"/>
      <c r="K24" s="66" t="str">
        <f>"165,0"</f>
        <v>165,0</v>
      </c>
      <c r="L24" s="65" t="str">
        <f>"133,0972"</f>
        <v>133,0972</v>
      </c>
      <c r="M24" s="66"/>
    </row>
    <row r="25" spans="1:13" x14ac:dyDescent="0.2">
      <c r="A25" s="63" t="s">
        <v>546</v>
      </c>
      <c r="B25" s="60" t="s">
        <v>547</v>
      </c>
      <c r="C25" s="60" t="s">
        <v>548</v>
      </c>
      <c r="D25" s="60" t="str">
        <f>"0,8184"</f>
        <v>0,8184</v>
      </c>
      <c r="E25" s="63" t="s">
        <v>30</v>
      </c>
      <c r="F25" s="63" t="s">
        <v>31</v>
      </c>
      <c r="G25" s="60" t="s">
        <v>39</v>
      </c>
      <c r="H25" s="60" t="s">
        <v>46</v>
      </c>
      <c r="I25" s="64" t="s">
        <v>112</v>
      </c>
      <c r="J25" s="64"/>
      <c r="K25" s="63" t="str">
        <f>"110,0"</f>
        <v>110,0</v>
      </c>
      <c r="L25" s="60" t="str">
        <f>"91,8301"</f>
        <v>91,8301</v>
      </c>
      <c r="M25" s="63"/>
    </row>
    <row r="27" spans="1:13" ht="15" x14ac:dyDescent="0.2">
      <c r="A27" s="50" t="s">
        <v>41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</row>
    <row r="28" spans="1:13" x14ac:dyDescent="0.2">
      <c r="A28" s="61" t="s">
        <v>835</v>
      </c>
      <c r="B28" s="59" t="s">
        <v>836</v>
      </c>
      <c r="C28" s="59" t="s">
        <v>837</v>
      </c>
      <c r="D28" s="59" t="str">
        <f>"0,7172"</f>
        <v>0,7172</v>
      </c>
      <c r="E28" s="61" t="s">
        <v>30</v>
      </c>
      <c r="F28" s="61" t="s">
        <v>567</v>
      </c>
      <c r="G28" s="59" t="s">
        <v>212</v>
      </c>
      <c r="H28" s="59" t="s">
        <v>810</v>
      </c>
      <c r="I28" s="59" t="s">
        <v>188</v>
      </c>
      <c r="J28" s="62"/>
      <c r="K28" s="61" t="str">
        <f>"132,5"</f>
        <v>132,5</v>
      </c>
      <c r="L28" s="59" t="str">
        <f>"95,0356"</f>
        <v>95,0356</v>
      </c>
      <c r="M28" s="61"/>
    </row>
    <row r="29" spans="1:13" x14ac:dyDescent="0.2">
      <c r="A29" s="66" t="s">
        <v>839</v>
      </c>
      <c r="B29" s="65" t="s">
        <v>840</v>
      </c>
      <c r="C29" s="65" t="s">
        <v>841</v>
      </c>
      <c r="D29" s="65" t="str">
        <f>"0,7034"</f>
        <v>0,7034</v>
      </c>
      <c r="E29" s="66" t="s">
        <v>30</v>
      </c>
      <c r="F29" s="66" t="s">
        <v>31</v>
      </c>
      <c r="G29" s="65" t="s">
        <v>120</v>
      </c>
      <c r="H29" s="67" t="s">
        <v>842</v>
      </c>
      <c r="I29" s="67" t="s">
        <v>842</v>
      </c>
      <c r="J29" s="67"/>
      <c r="K29" s="66" t="str">
        <f>"220,0"</f>
        <v>220,0</v>
      </c>
      <c r="L29" s="65" t="str">
        <f>"154,7480"</f>
        <v>154,7480</v>
      </c>
      <c r="M29" s="66"/>
    </row>
    <row r="30" spans="1:13" x14ac:dyDescent="0.2">
      <c r="A30" s="66" t="s">
        <v>844</v>
      </c>
      <c r="B30" s="65" t="s">
        <v>845</v>
      </c>
      <c r="C30" s="65" t="s">
        <v>846</v>
      </c>
      <c r="D30" s="65" t="str">
        <f>"0,6930"</f>
        <v>0,6930</v>
      </c>
      <c r="E30" s="66" t="s">
        <v>30</v>
      </c>
      <c r="F30" s="66" t="s">
        <v>60</v>
      </c>
      <c r="G30" s="65" t="s">
        <v>64</v>
      </c>
      <c r="H30" s="65" t="s">
        <v>75</v>
      </c>
      <c r="I30" s="65" t="s">
        <v>218</v>
      </c>
      <c r="J30" s="67"/>
      <c r="K30" s="66" t="str">
        <f>"190,0"</f>
        <v>190,0</v>
      </c>
      <c r="L30" s="65" t="str">
        <f>"131,6700"</f>
        <v>131,6700</v>
      </c>
      <c r="M30" s="66"/>
    </row>
    <row r="31" spans="1:13" x14ac:dyDescent="0.2">
      <c r="A31" s="66" t="s">
        <v>848</v>
      </c>
      <c r="B31" s="65" t="s">
        <v>849</v>
      </c>
      <c r="C31" s="65" t="s">
        <v>850</v>
      </c>
      <c r="D31" s="65" t="str">
        <f>"0,6885"</f>
        <v>0,6885</v>
      </c>
      <c r="E31" s="66" t="s">
        <v>30</v>
      </c>
      <c r="F31" s="66" t="s">
        <v>851</v>
      </c>
      <c r="G31" s="65" t="s">
        <v>64</v>
      </c>
      <c r="H31" s="67" t="s">
        <v>75</v>
      </c>
      <c r="I31" s="67" t="s">
        <v>75</v>
      </c>
      <c r="J31" s="67"/>
      <c r="K31" s="66" t="str">
        <f>"170,0"</f>
        <v>170,0</v>
      </c>
      <c r="L31" s="65" t="str">
        <f>"136,3673"</f>
        <v>136,3673</v>
      </c>
      <c r="M31" s="66"/>
    </row>
    <row r="32" spans="1:13" x14ac:dyDescent="0.2">
      <c r="A32" s="63" t="s">
        <v>437</v>
      </c>
      <c r="B32" s="60" t="s">
        <v>438</v>
      </c>
      <c r="C32" s="60" t="s">
        <v>181</v>
      </c>
      <c r="D32" s="60" t="str">
        <f>"0,7056"</f>
        <v>0,7056</v>
      </c>
      <c r="E32" s="63" t="s">
        <v>30</v>
      </c>
      <c r="F32" s="63" t="s">
        <v>31</v>
      </c>
      <c r="G32" s="60" t="s">
        <v>107</v>
      </c>
      <c r="H32" s="60" t="s">
        <v>225</v>
      </c>
      <c r="I32" s="64" t="s">
        <v>64</v>
      </c>
      <c r="J32" s="64"/>
      <c r="K32" s="63" t="str">
        <f>"160,0"</f>
        <v>160,0</v>
      </c>
      <c r="L32" s="60" t="str">
        <f>"174,2109"</f>
        <v>174,2109</v>
      </c>
      <c r="M32" s="63"/>
    </row>
    <row r="34" spans="1:13" ht="15" x14ac:dyDescent="0.2">
      <c r="A34" s="50" t="s">
        <v>202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1:13" x14ac:dyDescent="0.2">
      <c r="A35" s="61" t="s">
        <v>853</v>
      </c>
      <c r="B35" s="59" t="s">
        <v>854</v>
      </c>
      <c r="C35" s="59" t="s">
        <v>855</v>
      </c>
      <c r="D35" s="59" t="str">
        <f>"0,6456"</f>
        <v>0,6456</v>
      </c>
      <c r="E35" s="61" t="s">
        <v>30</v>
      </c>
      <c r="F35" s="61" t="s">
        <v>567</v>
      </c>
      <c r="G35" s="59" t="s">
        <v>119</v>
      </c>
      <c r="H35" s="59" t="s">
        <v>347</v>
      </c>
      <c r="I35" s="62" t="s">
        <v>157</v>
      </c>
      <c r="J35" s="62"/>
      <c r="K35" s="61" t="str">
        <f>"230,0"</f>
        <v>230,0</v>
      </c>
      <c r="L35" s="59" t="str">
        <f>"148,4880"</f>
        <v>148,4880</v>
      </c>
      <c r="M35" s="61"/>
    </row>
    <row r="36" spans="1:13" x14ac:dyDescent="0.2">
      <c r="A36" s="63" t="s">
        <v>857</v>
      </c>
      <c r="B36" s="60" t="s">
        <v>858</v>
      </c>
      <c r="C36" s="60" t="s">
        <v>859</v>
      </c>
      <c r="D36" s="60" t="str">
        <f>"0,6479"</f>
        <v>0,6479</v>
      </c>
      <c r="E36" s="63" t="s">
        <v>30</v>
      </c>
      <c r="F36" s="63" t="s">
        <v>31</v>
      </c>
      <c r="G36" s="60" t="s">
        <v>123</v>
      </c>
      <c r="H36" s="64" t="s">
        <v>124</v>
      </c>
      <c r="I36" s="64" t="s">
        <v>124</v>
      </c>
      <c r="J36" s="64"/>
      <c r="K36" s="63" t="str">
        <f>"200,0"</f>
        <v>200,0</v>
      </c>
      <c r="L36" s="60" t="str">
        <f>"129,5850"</f>
        <v>129,5850</v>
      </c>
      <c r="M36" s="63"/>
    </row>
    <row r="38" spans="1:13" ht="15" x14ac:dyDescent="0.2">
      <c r="A38" s="50" t="s">
        <v>55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1:13" x14ac:dyDescent="0.2">
      <c r="A39" s="61" t="s">
        <v>860</v>
      </c>
      <c r="B39" s="59" t="s">
        <v>861</v>
      </c>
      <c r="C39" s="59" t="s">
        <v>346</v>
      </c>
      <c r="D39" s="59" t="str">
        <f>"0,6119"</f>
        <v>0,6119</v>
      </c>
      <c r="E39" s="61" t="s">
        <v>30</v>
      </c>
      <c r="F39" s="61" t="s">
        <v>567</v>
      </c>
      <c r="G39" s="62"/>
      <c r="H39" s="62"/>
      <c r="I39" s="62"/>
      <c r="J39" s="62"/>
      <c r="K39" s="61" t="str">
        <f>"0.00"</f>
        <v>0.00</v>
      </c>
      <c r="L39" s="59" t="str">
        <f>"0,0000"</f>
        <v>0,0000</v>
      </c>
      <c r="M39" s="61"/>
    </row>
    <row r="40" spans="1:13" x14ac:dyDescent="0.2">
      <c r="A40" s="63" t="s">
        <v>608</v>
      </c>
      <c r="B40" s="60" t="s">
        <v>609</v>
      </c>
      <c r="C40" s="60" t="s">
        <v>610</v>
      </c>
      <c r="D40" s="60" t="str">
        <f>"0,6299"</f>
        <v>0,6299</v>
      </c>
      <c r="E40" s="63" t="s">
        <v>30</v>
      </c>
      <c r="F40" s="63" t="s">
        <v>31</v>
      </c>
      <c r="G40" s="64" t="s">
        <v>49</v>
      </c>
      <c r="H40" s="60" t="s">
        <v>49</v>
      </c>
      <c r="I40" s="60" t="s">
        <v>107</v>
      </c>
      <c r="J40" s="64"/>
      <c r="K40" s="63" t="str">
        <f>"140,0"</f>
        <v>140,0</v>
      </c>
      <c r="L40" s="60" t="str">
        <f>"95,4172"</f>
        <v>95,4172</v>
      </c>
      <c r="M40" s="63"/>
    </row>
    <row r="42" spans="1:13" ht="15" x14ac:dyDescent="0.2">
      <c r="A42" s="50" t="s">
        <v>219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3" x14ac:dyDescent="0.2">
      <c r="A43" s="61" t="s">
        <v>613</v>
      </c>
      <c r="B43" s="59" t="s">
        <v>614</v>
      </c>
      <c r="C43" s="59" t="s">
        <v>498</v>
      </c>
      <c r="D43" s="59" t="str">
        <f>"0,5943"</f>
        <v>0,5943</v>
      </c>
      <c r="E43" s="61" t="s">
        <v>30</v>
      </c>
      <c r="F43" s="61" t="s">
        <v>31</v>
      </c>
      <c r="G43" s="62" t="s">
        <v>281</v>
      </c>
      <c r="H43" s="59" t="s">
        <v>281</v>
      </c>
      <c r="I43" s="62" t="s">
        <v>63</v>
      </c>
      <c r="J43" s="62"/>
      <c r="K43" s="61" t="str">
        <f>"237,5"</f>
        <v>237,5</v>
      </c>
      <c r="L43" s="59" t="str">
        <f>"141,1462"</f>
        <v>141,1462</v>
      </c>
      <c r="M43" s="61"/>
    </row>
    <row r="44" spans="1:13" x14ac:dyDescent="0.2">
      <c r="A44" s="66" t="s">
        <v>496</v>
      </c>
      <c r="B44" s="65" t="s">
        <v>497</v>
      </c>
      <c r="C44" s="65" t="s">
        <v>498</v>
      </c>
      <c r="D44" s="65" t="str">
        <f>"0,5943"</f>
        <v>0,5943</v>
      </c>
      <c r="E44" s="66" t="s">
        <v>30</v>
      </c>
      <c r="F44" s="66" t="s">
        <v>106</v>
      </c>
      <c r="G44" s="67" t="s">
        <v>64</v>
      </c>
      <c r="H44" s="65" t="s">
        <v>64</v>
      </c>
      <c r="I44" s="65" t="s">
        <v>218</v>
      </c>
      <c r="J44" s="67"/>
      <c r="K44" s="66" t="str">
        <f>"190,0"</f>
        <v>190,0</v>
      </c>
      <c r="L44" s="65" t="str">
        <f>"112,9170"</f>
        <v>112,9170</v>
      </c>
      <c r="M44" s="66"/>
    </row>
    <row r="45" spans="1:13" x14ac:dyDescent="0.2">
      <c r="A45" s="66" t="s">
        <v>863</v>
      </c>
      <c r="B45" s="65" t="s">
        <v>864</v>
      </c>
      <c r="C45" s="65" t="s">
        <v>865</v>
      </c>
      <c r="D45" s="65" t="str">
        <f>"0,6104"</f>
        <v>0,6104</v>
      </c>
      <c r="E45" s="66" t="s">
        <v>30</v>
      </c>
      <c r="F45" s="66" t="s">
        <v>31</v>
      </c>
      <c r="G45" s="65" t="s">
        <v>61</v>
      </c>
      <c r="H45" s="67" t="s">
        <v>87</v>
      </c>
      <c r="I45" s="65" t="s">
        <v>87</v>
      </c>
      <c r="J45" s="67"/>
      <c r="K45" s="66" t="str">
        <f>"235,0"</f>
        <v>235,0</v>
      </c>
      <c r="L45" s="65" t="str">
        <f>"143,4440"</f>
        <v>143,4440</v>
      </c>
      <c r="M45" s="66"/>
    </row>
    <row r="46" spans="1:13" x14ac:dyDescent="0.2">
      <c r="A46" s="66" t="s">
        <v>620</v>
      </c>
      <c r="B46" s="65" t="s">
        <v>621</v>
      </c>
      <c r="C46" s="65" t="s">
        <v>622</v>
      </c>
      <c r="D46" s="65" t="str">
        <f>"0,5932"</f>
        <v>0,5932</v>
      </c>
      <c r="E46" s="66" t="s">
        <v>30</v>
      </c>
      <c r="F46" s="66" t="s">
        <v>199</v>
      </c>
      <c r="G46" s="65" t="s">
        <v>124</v>
      </c>
      <c r="H46" s="65" t="s">
        <v>120</v>
      </c>
      <c r="I46" s="65" t="s">
        <v>347</v>
      </c>
      <c r="J46" s="67"/>
      <c r="K46" s="66" t="str">
        <f>"230,0"</f>
        <v>230,0</v>
      </c>
      <c r="L46" s="65" t="str">
        <f>"136,4245"</f>
        <v>136,4245</v>
      </c>
      <c r="M46" s="66"/>
    </row>
    <row r="47" spans="1:13" x14ac:dyDescent="0.2">
      <c r="A47" s="66" t="s">
        <v>867</v>
      </c>
      <c r="B47" s="65" t="s">
        <v>868</v>
      </c>
      <c r="C47" s="65" t="s">
        <v>869</v>
      </c>
      <c r="D47" s="65" t="str">
        <f>"0,5960"</f>
        <v>0,5960</v>
      </c>
      <c r="E47" s="66" t="s">
        <v>30</v>
      </c>
      <c r="F47" s="66" t="s">
        <v>199</v>
      </c>
      <c r="G47" s="65" t="s">
        <v>120</v>
      </c>
      <c r="H47" s="67" t="s">
        <v>347</v>
      </c>
      <c r="I47" s="67" t="s">
        <v>347</v>
      </c>
      <c r="J47" s="67"/>
      <c r="K47" s="66" t="str">
        <f>"220,0"</f>
        <v>220,0</v>
      </c>
      <c r="L47" s="65" t="str">
        <f>"131,1200"</f>
        <v>131,1200</v>
      </c>
      <c r="M47" s="66"/>
    </row>
    <row r="48" spans="1:13" x14ac:dyDescent="0.2">
      <c r="A48" s="63" t="s">
        <v>448</v>
      </c>
      <c r="B48" s="60" t="s">
        <v>449</v>
      </c>
      <c r="C48" s="60" t="s">
        <v>450</v>
      </c>
      <c r="D48" s="60" t="str">
        <f>"0,5898"</f>
        <v>0,5898</v>
      </c>
      <c r="E48" s="63" t="s">
        <v>30</v>
      </c>
      <c r="F48" s="63" t="s">
        <v>451</v>
      </c>
      <c r="G48" s="60" t="s">
        <v>275</v>
      </c>
      <c r="H48" s="60" t="s">
        <v>124</v>
      </c>
      <c r="I48" s="60" t="s">
        <v>119</v>
      </c>
      <c r="J48" s="64"/>
      <c r="K48" s="63" t="str">
        <f>"215,0"</f>
        <v>215,0</v>
      </c>
      <c r="L48" s="60" t="str">
        <f>"126,8070"</f>
        <v>126,8070</v>
      </c>
      <c r="M48" s="63"/>
    </row>
    <row r="50" spans="1:13" ht="15" x14ac:dyDescent="0.2">
      <c r="A50" s="50" t="s">
        <v>113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13" x14ac:dyDescent="0.2">
      <c r="A51" s="46" t="s">
        <v>870</v>
      </c>
      <c r="B51" s="47" t="s">
        <v>667</v>
      </c>
      <c r="C51" s="47" t="s">
        <v>668</v>
      </c>
      <c r="D51" s="47" t="str">
        <f>"0,5653"</f>
        <v>0,5653</v>
      </c>
      <c r="E51" s="46" t="s">
        <v>30</v>
      </c>
      <c r="F51" s="46" t="s">
        <v>451</v>
      </c>
      <c r="G51" s="48" t="s">
        <v>124</v>
      </c>
      <c r="H51" s="47" t="s">
        <v>124</v>
      </c>
      <c r="I51" s="47" t="s">
        <v>62</v>
      </c>
      <c r="J51" s="48"/>
      <c r="K51" s="46" t="str">
        <f>"240,0"</f>
        <v>240,0</v>
      </c>
      <c r="L51" s="47" t="str">
        <f>"135,6720"</f>
        <v>135,6720</v>
      </c>
      <c r="M51" s="46"/>
    </row>
    <row r="53" spans="1:13" ht="15" x14ac:dyDescent="0.2">
      <c r="E53" s="34" t="s">
        <v>15</v>
      </c>
    </row>
    <row r="54" spans="1:13" ht="15" x14ac:dyDescent="0.2">
      <c r="E54" s="34" t="s">
        <v>16</v>
      </c>
    </row>
    <row r="55" spans="1:13" ht="15" x14ac:dyDescent="0.2">
      <c r="E55" s="34" t="s">
        <v>17</v>
      </c>
    </row>
    <row r="56" spans="1:13" x14ac:dyDescent="0.2">
      <c r="E56" s="4" t="s">
        <v>18</v>
      </c>
    </row>
    <row r="57" spans="1:13" x14ac:dyDescent="0.2">
      <c r="E57" s="4" t="s">
        <v>19</v>
      </c>
    </row>
    <row r="58" spans="1:13" x14ac:dyDescent="0.2">
      <c r="E58" s="4" t="s">
        <v>20</v>
      </c>
    </row>
    <row r="61" spans="1:13" ht="18" x14ac:dyDescent="0.25">
      <c r="A61" s="43" t="s">
        <v>21</v>
      </c>
      <c r="B61" s="44"/>
    </row>
    <row r="62" spans="1:13" ht="15" x14ac:dyDescent="0.2">
      <c r="A62" s="52" t="s">
        <v>80</v>
      </c>
      <c r="B62" s="53"/>
    </row>
    <row r="63" spans="1:13" ht="14.25" x14ac:dyDescent="0.2">
      <c r="A63" s="55"/>
      <c r="B63" s="56" t="s">
        <v>81</v>
      </c>
    </row>
    <row r="64" spans="1:13" ht="15" x14ac:dyDescent="0.2">
      <c r="A64" s="57" t="s">
        <v>0</v>
      </c>
      <c r="B64" s="57" t="s">
        <v>82</v>
      </c>
      <c r="C64" s="57" t="s">
        <v>83</v>
      </c>
      <c r="D64" s="57" t="s">
        <v>84</v>
      </c>
      <c r="E64" s="57" t="s">
        <v>24</v>
      </c>
    </row>
    <row r="65" spans="1:5" x14ac:dyDescent="0.2">
      <c r="A65" s="54" t="s">
        <v>516</v>
      </c>
      <c r="B65" s="5" t="s">
        <v>85</v>
      </c>
      <c r="C65" s="5" t="s">
        <v>284</v>
      </c>
      <c r="D65" s="5" t="s">
        <v>39</v>
      </c>
      <c r="E65" s="58" t="s">
        <v>871</v>
      </c>
    </row>
    <row r="67" spans="1:5" ht="14.25" x14ac:dyDescent="0.2">
      <c r="A67" s="55"/>
      <c r="B67" s="56" t="s">
        <v>94</v>
      </c>
    </row>
    <row r="68" spans="1:5" ht="15" x14ac:dyDescent="0.2">
      <c r="A68" s="57" t="s">
        <v>0</v>
      </c>
      <c r="B68" s="57" t="s">
        <v>82</v>
      </c>
      <c r="C68" s="57" t="s">
        <v>83</v>
      </c>
      <c r="D68" s="57" t="s">
        <v>84</v>
      </c>
      <c r="E68" s="57" t="s">
        <v>24</v>
      </c>
    </row>
    <row r="69" spans="1:5" x14ac:dyDescent="0.2">
      <c r="A69" s="54" t="s">
        <v>806</v>
      </c>
      <c r="B69" s="5" t="s">
        <v>94</v>
      </c>
      <c r="C69" s="5" t="s">
        <v>284</v>
      </c>
      <c r="D69" s="5" t="s">
        <v>810</v>
      </c>
      <c r="E69" s="58" t="s">
        <v>872</v>
      </c>
    </row>
    <row r="70" spans="1:5" x14ac:dyDescent="0.2">
      <c r="A70" s="54" t="s">
        <v>811</v>
      </c>
      <c r="B70" s="5" t="s">
        <v>94</v>
      </c>
      <c r="C70" s="5" t="s">
        <v>300</v>
      </c>
      <c r="D70" s="5" t="s">
        <v>49</v>
      </c>
      <c r="E70" s="58" t="s">
        <v>873</v>
      </c>
    </row>
    <row r="71" spans="1:5" x14ac:dyDescent="0.2">
      <c r="A71" s="54" t="s">
        <v>818</v>
      </c>
      <c r="B71" s="5" t="s">
        <v>94</v>
      </c>
      <c r="C71" s="5" t="s">
        <v>91</v>
      </c>
      <c r="D71" s="5" t="s">
        <v>39</v>
      </c>
      <c r="E71" s="58" t="s">
        <v>874</v>
      </c>
    </row>
    <row r="73" spans="1:5" ht="14.25" x14ac:dyDescent="0.2">
      <c r="A73" s="55"/>
      <c r="B73" s="56" t="s">
        <v>135</v>
      </c>
    </row>
    <row r="74" spans="1:5" ht="15" x14ac:dyDescent="0.2">
      <c r="A74" s="57" t="s">
        <v>0</v>
      </c>
      <c r="B74" s="57" t="s">
        <v>82</v>
      </c>
      <c r="C74" s="57" t="s">
        <v>83</v>
      </c>
      <c r="D74" s="57" t="s">
        <v>84</v>
      </c>
      <c r="E74" s="57" t="s">
        <v>24</v>
      </c>
    </row>
    <row r="75" spans="1:5" x14ac:dyDescent="0.2">
      <c r="A75" s="54" t="s">
        <v>486</v>
      </c>
      <c r="B75" s="5" t="s">
        <v>286</v>
      </c>
      <c r="C75" s="5" t="s">
        <v>284</v>
      </c>
      <c r="D75" s="5" t="s">
        <v>599</v>
      </c>
      <c r="E75" s="58" t="s">
        <v>875</v>
      </c>
    </row>
    <row r="76" spans="1:5" x14ac:dyDescent="0.2">
      <c r="A76" s="54" t="s">
        <v>815</v>
      </c>
      <c r="B76" s="5" t="s">
        <v>283</v>
      </c>
      <c r="C76" s="5" t="s">
        <v>300</v>
      </c>
      <c r="D76" s="5" t="s">
        <v>39</v>
      </c>
      <c r="E76" s="58" t="s">
        <v>876</v>
      </c>
    </row>
    <row r="77" spans="1:5" x14ac:dyDescent="0.2">
      <c r="A77" s="54" t="s">
        <v>413</v>
      </c>
      <c r="B77" s="5" t="s">
        <v>286</v>
      </c>
      <c r="C77" s="5" t="s">
        <v>300</v>
      </c>
      <c r="D77" s="5" t="s">
        <v>109</v>
      </c>
      <c r="E77" s="58" t="s">
        <v>877</v>
      </c>
    </row>
    <row r="80" spans="1:5" ht="15" x14ac:dyDescent="0.2">
      <c r="A80" s="52" t="s">
        <v>89</v>
      </c>
      <c r="B80" s="53"/>
    </row>
    <row r="81" spans="1:5" ht="14.25" x14ac:dyDescent="0.2">
      <c r="A81" s="55"/>
      <c r="B81" s="56" t="s">
        <v>81</v>
      </c>
    </row>
    <row r="82" spans="1:5" ht="15" x14ac:dyDescent="0.2">
      <c r="A82" s="57" t="s">
        <v>0</v>
      </c>
      <c r="B82" s="57" t="s">
        <v>82</v>
      </c>
      <c r="C82" s="57" t="s">
        <v>83</v>
      </c>
      <c r="D82" s="57" t="s">
        <v>84</v>
      </c>
      <c r="E82" s="57" t="s">
        <v>24</v>
      </c>
    </row>
    <row r="83" spans="1:5" x14ac:dyDescent="0.2">
      <c r="A83" s="54" t="s">
        <v>612</v>
      </c>
      <c r="B83" s="5" t="s">
        <v>288</v>
      </c>
      <c r="C83" s="5" t="s">
        <v>289</v>
      </c>
      <c r="D83" s="5" t="s">
        <v>281</v>
      </c>
      <c r="E83" s="58" t="s">
        <v>878</v>
      </c>
    </row>
    <row r="84" spans="1:5" x14ac:dyDescent="0.2">
      <c r="A84" s="54" t="s">
        <v>532</v>
      </c>
      <c r="B84" s="5" t="s">
        <v>85</v>
      </c>
      <c r="C84" s="5" t="s">
        <v>300</v>
      </c>
      <c r="D84" s="5" t="s">
        <v>64</v>
      </c>
      <c r="E84" s="58" t="s">
        <v>879</v>
      </c>
    </row>
    <row r="85" spans="1:5" x14ac:dyDescent="0.2">
      <c r="A85" s="54" t="s">
        <v>834</v>
      </c>
      <c r="B85" s="5" t="s">
        <v>85</v>
      </c>
      <c r="C85" s="5" t="s">
        <v>91</v>
      </c>
      <c r="D85" s="5" t="s">
        <v>188</v>
      </c>
      <c r="E85" s="58" t="s">
        <v>880</v>
      </c>
    </row>
    <row r="87" spans="1:5" ht="14.25" x14ac:dyDescent="0.2">
      <c r="A87" s="55"/>
      <c r="B87" s="56" t="s">
        <v>162</v>
      </c>
    </row>
    <row r="88" spans="1:5" ht="15" x14ac:dyDescent="0.2">
      <c r="A88" s="57" t="s">
        <v>0</v>
      </c>
      <c r="B88" s="57" t="s">
        <v>82</v>
      </c>
      <c r="C88" s="57" t="s">
        <v>83</v>
      </c>
      <c r="D88" s="57" t="s">
        <v>84</v>
      </c>
      <c r="E88" s="57" t="s">
        <v>24</v>
      </c>
    </row>
    <row r="89" spans="1:5" x14ac:dyDescent="0.2">
      <c r="A89" s="54" t="s">
        <v>826</v>
      </c>
      <c r="B89" s="5" t="s">
        <v>163</v>
      </c>
      <c r="C89" s="5" t="s">
        <v>300</v>
      </c>
      <c r="D89" s="5" t="s">
        <v>75</v>
      </c>
      <c r="E89" s="58" t="s">
        <v>881</v>
      </c>
    </row>
    <row r="90" spans="1:5" x14ac:dyDescent="0.2">
      <c r="A90" s="54" t="s">
        <v>495</v>
      </c>
      <c r="B90" s="5" t="s">
        <v>163</v>
      </c>
      <c r="C90" s="5" t="s">
        <v>289</v>
      </c>
      <c r="D90" s="5" t="s">
        <v>218</v>
      </c>
      <c r="E90" s="58" t="s">
        <v>882</v>
      </c>
    </row>
    <row r="92" spans="1:5" ht="14.25" x14ac:dyDescent="0.2">
      <c r="A92" s="55"/>
      <c r="B92" s="56" t="s">
        <v>94</v>
      </c>
    </row>
    <row r="93" spans="1:5" ht="15" x14ac:dyDescent="0.2">
      <c r="A93" s="57" t="s">
        <v>0</v>
      </c>
      <c r="B93" s="57" t="s">
        <v>82</v>
      </c>
      <c r="C93" s="57" t="s">
        <v>83</v>
      </c>
      <c r="D93" s="57" t="s">
        <v>84</v>
      </c>
      <c r="E93" s="57" t="s">
        <v>24</v>
      </c>
    </row>
    <row r="94" spans="1:5" x14ac:dyDescent="0.2">
      <c r="A94" s="54" t="s">
        <v>838</v>
      </c>
      <c r="B94" s="5" t="s">
        <v>94</v>
      </c>
      <c r="C94" s="5" t="s">
        <v>91</v>
      </c>
      <c r="D94" s="5" t="s">
        <v>120</v>
      </c>
      <c r="E94" s="58" t="s">
        <v>883</v>
      </c>
    </row>
    <row r="95" spans="1:5" x14ac:dyDescent="0.2">
      <c r="A95" s="54" t="s">
        <v>852</v>
      </c>
      <c r="B95" s="5" t="s">
        <v>94</v>
      </c>
      <c r="C95" s="5" t="s">
        <v>293</v>
      </c>
      <c r="D95" s="5" t="s">
        <v>347</v>
      </c>
      <c r="E95" s="58" t="s">
        <v>884</v>
      </c>
    </row>
    <row r="96" spans="1:5" x14ac:dyDescent="0.2">
      <c r="A96" s="54" t="s">
        <v>862</v>
      </c>
      <c r="B96" s="5" t="s">
        <v>94</v>
      </c>
      <c r="C96" s="5" t="s">
        <v>289</v>
      </c>
      <c r="D96" s="5" t="s">
        <v>87</v>
      </c>
      <c r="E96" s="58" t="s">
        <v>885</v>
      </c>
    </row>
    <row r="97" spans="1:5" x14ac:dyDescent="0.2">
      <c r="A97" s="54" t="s">
        <v>619</v>
      </c>
      <c r="B97" s="5" t="s">
        <v>94</v>
      </c>
      <c r="C97" s="5" t="s">
        <v>289</v>
      </c>
      <c r="D97" s="5" t="s">
        <v>347</v>
      </c>
      <c r="E97" s="58" t="s">
        <v>886</v>
      </c>
    </row>
    <row r="98" spans="1:5" x14ac:dyDescent="0.2">
      <c r="A98" s="54" t="s">
        <v>665</v>
      </c>
      <c r="B98" s="5" t="s">
        <v>94</v>
      </c>
      <c r="C98" s="5" t="s">
        <v>139</v>
      </c>
      <c r="D98" s="5" t="s">
        <v>62</v>
      </c>
      <c r="E98" s="58" t="s">
        <v>887</v>
      </c>
    </row>
    <row r="99" spans="1:5" x14ac:dyDescent="0.2">
      <c r="A99" s="54" t="s">
        <v>830</v>
      </c>
      <c r="B99" s="5" t="s">
        <v>94</v>
      </c>
      <c r="C99" s="5" t="s">
        <v>300</v>
      </c>
      <c r="D99" s="5" t="s">
        <v>54</v>
      </c>
      <c r="E99" s="58" t="s">
        <v>888</v>
      </c>
    </row>
    <row r="100" spans="1:5" x14ac:dyDescent="0.2">
      <c r="A100" s="54" t="s">
        <v>843</v>
      </c>
      <c r="B100" s="5" t="s">
        <v>94</v>
      </c>
      <c r="C100" s="5" t="s">
        <v>91</v>
      </c>
      <c r="D100" s="5" t="s">
        <v>218</v>
      </c>
      <c r="E100" s="58" t="s">
        <v>889</v>
      </c>
    </row>
    <row r="101" spans="1:5" x14ac:dyDescent="0.2">
      <c r="A101" s="54" t="s">
        <v>866</v>
      </c>
      <c r="B101" s="5" t="s">
        <v>94</v>
      </c>
      <c r="C101" s="5" t="s">
        <v>289</v>
      </c>
      <c r="D101" s="5" t="s">
        <v>120</v>
      </c>
      <c r="E101" s="58" t="s">
        <v>890</v>
      </c>
    </row>
    <row r="102" spans="1:5" x14ac:dyDescent="0.2">
      <c r="A102" s="54" t="s">
        <v>856</v>
      </c>
      <c r="B102" s="5" t="s">
        <v>94</v>
      </c>
      <c r="C102" s="5" t="s">
        <v>293</v>
      </c>
      <c r="D102" s="5" t="s">
        <v>123</v>
      </c>
      <c r="E102" s="58" t="s">
        <v>891</v>
      </c>
    </row>
    <row r="103" spans="1:5" x14ac:dyDescent="0.2">
      <c r="A103" s="54" t="s">
        <v>822</v>
      </c>
      <c r="B103" s="5" t="s">
        <v>94</v>
      </c>
      <c r="C103" s="5" t="s">
        <v>86</v>
      </c>
      <c r="D103" s="5" t="s">
        <v>40</v>
      </c>
      <c r="E103" s="58" t="s">
        <v>892</v>
      </c>
    </row>
    <row r="105" spans="1:5" ht="14.25" x14ac:dyDescent="0.2">
      <c r="A105" s="55"/>
      <c r="B105" s="56" t="s">
        <v>135</v>
      </c>
    </row>
    <row r="106" spans="1:5" ht="15" x14ac:dyDescent="0.2">
      <c r="A106" s="57" t="s">
        <v>0</v>
      </c>
      <c r="B106" s="57" t="s">
        <v>82</v>
      </c>
      <c r="C106" s="57" t="s">
        <v>83</v>
      </c>
      <c r="D106" s="57" t="s">
        <v>84</v>
      </c>
      <c r="E106" s="57" t="s">
        <v>24</v>
      </c>
    </row>
    <row r="107" spans="1:5" x14ac:dyDescent="0.2">
      <c r="A107" s="54" t="s">
        <v>436</v>
      </c>
      <c r="B107" s="5" t="s">
        <v>312</v>
      </c>
      <c r="C107" s="5" t="s">
        <v>91</v>
      </c>
      <c r="D107" s="5" t="s">
        <v>225</v>
      </c>
      <c r="E107" s="58" t="s">
        <v>893</v>
      </c>
    </row>
    <row r="108" spans="1:5" x14ac:dyDescent="0.2">
      <c r="A108" s="54" t="s">
        <v>847</v>
      </c>
      <c r="B108" s="5" t="s">
        <v>283</v>
      </c>
      <c r="C108" s="5" t="s">
        <v>91</v>
      </c>
      <c r="D108" s="5" t="s">
        <v>64</v>
      </c>
      <c r="E108" s="58" t="s">
        <v>894</v>
      </c>
    </row>
    <row r="109" spans="1:5" x14ac:dyDescent="0.2">
      <c r="A109" s="54" t="s">
        <v>447</v>
      </c>
      <c r="B109" s="5" t="s">
        <v>286</v>
      </c>
      <c r="C109" s="5" t="s">
        <v>289</v>
      </c>
      <c r="D109" s="5" t="s">
        <v>119</v>
      </c>
      <c r="E109" s="58" t="s">
        <v>895</v>
      </c>
    </row>
    <row r="110" spans="1:5" x14ac:dyDescent="0.2">
      <c r="A110" s="54" t="s">
        <v>607</v>
      </c>
      <c r="B110" s="5" t="s">
        <v>136</v>
      </c>
      <c r="C110" s="5" t="s">
        <v>95</v>
      </c>
      <c r="D110" s="5" t="s">
        <v>107</v>
      </c>
      <c r="E110" s="58" t="s">
        <v>896</v>
      </c>
    </row>
    <row r="111" spans="1:5" x14ac:dyDescent="0.2">
      <c r="A111" s="54" t="s">
        <v>545</v>
      </c>
      <c r="B111" s="5" t="s">
        <v>286</v>
      </c>
      <c r="C111" s="5" t="s">
        <v>300</v>
      </c>
      <c r="D111" s="5" t="s">
        <v>46</v>
      </c>
      <c r="E111" s="58" t="s">
        <v>897</v>
      </c>
    </row>
  </sheetData>
  <mergeCells count="21">
    <mergeCell ref="A50:L50"/>
    <mergeCell ref="A18:L18"/>
    <mergeCell ref="A21:L21"/>
    <mergeCell ref="A27:L27"/>
    <mergeCell ref="A34:L34"/>
    <mergeCell ref="A38:L38"/>
    <mergeCell ref="A42:L42"/>
    <mergeCell ref="K3:K4"/>
    <mergeCell ref="L3:L4"/>
    <mergeCell ref="M3:M4"/>
    <mergeCell ref="A5:L5"/>
    <mergeCell ref="A10:L10"/>
    <mergeCell ref="A15:L1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14.7109375" style="5" bestFit="1" customWidth="1"/>
    <col min="3" max="3" width="7.7109375" style="5" bestFit="1" customWidth="1"/>
    <col min="4" max="4" width="7.28515625" style="5" customWidth="1"/>
    <col min="5" max="5" width="17.28515625" style="4" bestFit="1" customWidth="1"/>
    <col min="6" max="6" width="14.5703125" style="4" bestFit="1" customWidth="1"/>
    <col min="7" max="9" width="2.140625" style="5" bestFit="1" customWidth="1"/>
    <col min="10" max="10" width="5" style="5" bestFit="1" customWidth="1"/>
    <col min="11" max="11" width="6.140625" style="4" bestFit="1" customWidth="1"/>
    <col min="12" max="12" width="4.28515625" style="5" bestFit="1" customWidth="1"/>
    <col min="13" max="13" width="7.42578125" style="4" bestFit="1" customWidth="1"/>
    <col min="14" max="16384" width="9.140625" style="3"/>
  </cols>
  <sheetData>
    <row r="1" spans="1:13" s="2" customFormat="1" ht="29.1" customHeight="1" x14ac:dyDescent="0.2">
      <c r="A1" s="35" t="s">
        <v>804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5</v>
      </c>
      <c r="H3" s="26"/>
      <c r="I3" s="26"/>
      <c r="J3" s="27"/>
      <c r="K3" s="41" t="s">
        <v>314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x14ac:dyDescent="0.2">
      <c r="A5" s="4"/>
      <c r="E5" s="4"/>
      <c r="F5" s="4"/>
      <c r="K5" s="4"/>
      <c r="M5" s="4"/>
    </row>
    <row r="6" spans="1:13" s="5" customFormat="1" ht="15" x14ac:dyDescent="0.2">
      <c r="A6" s="4"/>
      <c r="E6" s="34" t="s">
        <v>15</v>
      </c>
      <c r="F6" s="4"/>
      <c r="K6" s="4"/>
      <c r="M6" s="4"/>
    </row>
    <row r="7" spans="1:13" s="5" customFormat="1" ht="15" x14ac:dyDescent="0.2">
      <c r="A7" s="4"/>
      <c r="E7" s="34" t="s">
        <v>16</v>
      </c>
      <c r="F7" s="4"/>
      <c r="K7" s="4"/>
      <c r="M7" s="4"/>
    </row>
    <row r="8" spans="1:13" ht="15" x14ac:dyDescent="0.2">
      <c r="E8" s="34" t="s">
        <v>17</v>
      </c>
    </row>
    <row r="9" spans="1:13" x14ac:dyDescent="0.2">
      <c r="E9" s="4" t="s">
        <v>18</v>
      </c>
    </row>
    <row r="10" spans="1:13" x14ac:dyDescent="0.2">
      <c r="E10" s="4" t="s">
        <v>19</v>
      </c>
    </row>
    <row r="11" spans="1:13" x14ac:dyDescent="0.2">
      <c r="E11" s="4" t="s">
        <v>20</v>
      </c>
    </row>
    <row r="14" spans="1:13" ht="18" x14ac:dyDescent="0.25">
      <c r="A14" s="43" t="s">
        <v>21</v>
      </c>
      <c r="B14" s="44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26.85546875" style="5" bestFit="1" customWidth="1"/>
    <col min="3" max="3" width="7.7109375" style="5" bestFit="1" customWidth="1"/>
    <col min="4" max="4" width="6.85546875" style="5" bestFit="1" customWidth="1"/>
    <col min="5" max="5" width="17.28515625" style="4" bestFit="1" customWidth="1"/>
    <col min="6" max="6" width="28.7109375" style="4" bestFit="1" customWidth="1"/>
    <col min="7" max="7" width="5.5703125" style="5" bestFit="1" customWidth="1"/>
    <col min="8" max="9" width="2.140625" style="5" bestFit="1" customWidth="1"/>
    <col min="10" max="10" width="5" style="5" bestFit="1" customWidth="1"/>
    <col min="11" max="11" width="6.140625" style="4" bestFit="1" customWidth="1"/>
    <col min="12" max="12" width="8.5703125" style="5" bestFit="1" customWidth="1"/>
    <col min="13" max="13" width="7.42578125" style="4" bestFit="1" customWidth="1"/>
    <col min="14" max="16384" width="9.140625" style="3"/>
  </cols>
  <sheetData>
    <row r="1" spans="1:13" s="2" customFormat="1" ht="29.1" customHeight="1" x14ac:dyDescent="0.2">
      <c r="A1" s="35" t="s">
        <v>802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5</v>
      </c>
      <c r="H3" s="26"/>
      <c r="I3" s="26"/>
      <c r="J3" s="27"/>
      <c r="K3" s="41" t="s">
        <v>314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ht="15" x14ac:dyDescent="0.2">
      <c r="A5" s="45" t="s">
        <v>41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"/>
    </row>
    <row r="6" spans="1:13" s="5" customFormat="1" x14ac:dyDescent="0.2">
      <c r="A6" s="46" t="s">
        <v>322</v>
      </c>
      <c r="B6" s="47" t="s">
        <v>326</v>
      </c>
      <c r="C6" s="47" t="s">
        <v>324</v>
      </c>
      <c r="D6" s="47" t="str">
        <f>"0,6906"</f>
        <v>0,6906</v>
      </c>
      <c r="E6" s="46" t="s">
        <v>30</v>
      </c>
      <c r="F6" s="46" t="s">
        <v>153</v>
      </c>
      <c r="G6" s="47" t="s">
        <v>134</v>
      </c>
      <c r="H6" s="48"/>
      <c r="I6" s="48"/>
      <c r="J6" s="48"/>
      <c r="K6" s="46" t="str">
        <f>"195,0"</f>
        <v>195,0</v>
      </c>
      <c r="L6" s="47" t="str">
        <f>"167,7951"</f>
        <v>167,7951</v>
      </c>
      <c r="M6" s="46"/>
    </row>
    <row r="7" spans="1:13" s="5" customFormat="1" x14ac:dyDescent="0.2">
      <c r="A7" s="4"/>
      <c r="E7" s="4"/>
      <c r="F7" s="4"/>
      <c r="K7" s="4"/>
      <c r="M7" s="4"/>
    </row>
    <row r="8" spans="1:13" ht="15" x14ac:dyDescent="0.2">
      <c r="E8" s="34" t="s">
        <v>15</v>
      </c>
    </row>
    <row r="9" spans="1:13" ht="15" x14ac:dyDescent="0.2">
      <c r="E9" s="34" t="s">
        <v>16</v>
      </c>
    </row>
    <row r="10" spans="1:13" ht="15" x14ac:dyDescent="0.2">
      <c r="E10" s="34" t="s">
        <v>17</v>
      </c>
    </row>
    <row r="11" spans="1:13" x14ac:dyDescent="0.2">
      <c r="E11" s="4" t="s">
        <v>18</v>
      </c>
    </row>
    <row r="12" spans="1:13" x14ac:dyDescent="0.2">
      <c r="E12" s="4" t="s">
        <v>19</v>
      </c>
    </row>
    <row r="13" spans="1:13" x14ac:dyDescent="0.2">
      <c r="E13" s="4" t="s">
        <v>20</v>
      </c>
    </row>
    <row r="16" spans="1:13" ht="18" x14ac:dyDescent="0.25">
      <c r="A16" s="43" t="s">
        <v>21</v>
      </c>
      <c r="B16" s="44"/>
    </row>
    <row r="17" spans="1:5" ht="15" x14ac:dyDescent="0.2">
      <c r="A17" s="52" t="s">
        <v>89</v>
      </c>
      <c r="B17" s="53"/>
    </row>
    <row r="18" spans="1:5" ht="14.25" x14ac:dyDescent="0.2">
      <c r="A18" s="55"/>
      <c r="B18" s="56" t="s">
        <v>135</v>
      </c>
    </row>
    <row r="19" spans="1:5" ht="15" x14ac:dyDescent="0.2">
      <c r="A19" s="57" t="s">
        <v>0</v>
      </c>
      <c r="B19" s="57" t="s">
        <v>82</v>
      </c>
      <c r="C19" s="57" t="s">
        <v>83</v>
      </c>
      <c r="D19" s="57" t="s">
        <v>84</v>
      </c>
      <c r="E19" s="57" t="s">
        <v>24</v>
      </c>
    </row>
    <row r="20" spans="1:5" x14ac:dyDescent="0.2">
      <c r="A20" s="54" t="s">
        <v>321</v>
      </c>
      <c r="B20" s="5" t="s">
        <v>142</v>
      </c>
      <c r="C20" s="5" t="s">
        <v>91</v>
      </c>
      <c r="D20" s="5" t="s">
        <v>134</v>
      </c>
      <c r="E20" s="58" t="s">
        <v>803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26.85546875" style="5" bestFit="1" customWidth="1"/>
    <col min="3" max="3" width="7.7109375" style="5" bestFit="1" customWidth="1"/>
    <col min="4" max="4" width="6.85546875" style="5" bestFit="1" customWidth="1"/>
    <col min="5" max="5" width="17.28515625" style="4" bestFit="1" customWidth="1"/>
    <col min="6" max="6" width="28.7109375" style="4" bestFit="1" customWidth="1"/>
    <col min="7" max="9" width="5.5703125" style="5" bestFit="1" customWidth="1"/>
    <col min="10" max="10" width="5" style="5" bestFit="1" customWidth="1"/>
    <col min="11" max="11" width="6.140625" style="4" bestFit="1" customWidth="1"/>
    <col min="12" max="12" width="8.5703125" style="5" bestFit="1" customWidth="1"/>
    <col min="13" max="13" width="7.42578125" style="4" bestFit="1" customWidth="1"/>
    <col min="14" max="16384" width="9.140625" style="3"/>
  </cols>
  <sheetData>
    <row r="1" spans="1:13" s="2" customFormat="1" ht="29.1" customHeight="1" x14ac:dyDescent="0.2">
      <c r="A1" s="35" t="s">
        <v>771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5</v>
      </c>
      <c r="H3" s="26"/>
      <c r="I3" s="26"/>
      <c r="J3" s="27"/>
      <c r="K3" s="41" t="s">
        <v>314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ht="15" x14ac:dyDescent="0.2">
      <c r="A5" s="45" t="s">
        <v>41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"/>
    </row>
    <row r="6" spans="1:13" s="5" customFormat="1" x14ac:dyDescent="0.2">
      <c r="A6" s="46" t="s">
        <v>773</v>
      </c>
      <c r="B6" s="47" t="s">
        <v>774</v>
      </c>
      <c r="C6" s="47" t="s">
        <v>775</v>
      </c>
      <c r="D6" s="47" t="str">
        <f>"0,7322"</f>
        <v>0,7322</v>
      </c>
      <c r="E6" s="46" t="s">
        <v>30</v>
      </c>
      <c r="F6" s="46" t="s">
        <v>567</v>
      </c>
      <c r="G6" s="47" t="s">
        <v>218</v>
      </c>
      <c r="H6" s="47" t="s">
        <v>123</v>
      </c>
      <c r="I6" s="47" t="s">
        <v>460</v>
      </c>
      <c r="J6" s="48"/>
      <c r="K6" s="46" t="str">
        <f>"205,0"</f>
        <v>205,0</v>
      </c>
      <c r="L6" s="47" t="str">
        <f>"150,1010"</f>
        <v>150,1010</v>
      </c>
      <c r="M6" s="46"/>
    </row>
    <row r="7" spans="1:13" s="5" customFormat="1" x14ac:dyDescent="0.2">
      <c r="A7" s="4"/>
      <c r="E7" s="4"/>
      <c r="F7" s="4"/>
      <c r="K7" s="4"/>
      <c r="M7" s="4"/>
    </row>
    <row r="8" spans="1:13" ht="15" x14ac:dyDescent="0.2">
      <c r="A8" s="50" t="s">
        <v>202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3" x14ac:dyDescent="0.2">
      <c r="A9" s="46" t="s">
        <v>328</v>
      </c>
      <c r="B9" s="47" t="s">
        <v>329</v>
      </c>
      <c r="C9" s="47" t="s">
        <v>330</v>
      </c>
      <c r="D9" s="47" t="str">
        <f>"0,6567"</f>
        <v>0,6567</v>
      </c>
      <c r="E9" s="46" t="s">
        <v>30</v>
      </c>
      <c r="F9" s="46" t="s">
        <v>31</v>
      </c>
      <c r="G9" s="47" t="s">
        <v>120</v>
      </c>
      <c r="H9" s="48" t="s">
        <v>62</v>
      </c>
      <c r="I9" s="48" t="s">
        <v>62</v>
      </c>
      <c r="J9" s="48"/>
      <c r="K9" s="46" t="str">
        <f>"220,0"</f>
        <v>220,0</v>
      </c>
      <c r="L9" s="47" t="str">
        <f>"144,4740"</f>
        <v>144,4740</v>
      </c>
      <c r="M9" s="46"/>
    </row>
    <row r="11" spans="1:13" ht="15" x14ac:dyDescent="0.2">
      <c r="A11" s="50" t="s">
        <v>55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1:13" x14ac:dyDescent="0.2">
      <c r="A12" s="46" t="s">
        <v>777</v>
      </c>
      <c r="B12" s="47" t="s">
        <v>778</v>
      </c>
      <c r="C12" s="47" t="s">
        <v>603</v>
      </c>
      <c r="D12" s="47" t="str">
        <f>"0,6259"</f>
        <v>0,6259</v>
      </c>
      <c r="E12" s="46" t="s">
        <v>30</v>
      </c>
      <c r="F12" s="46" t="s">
        <v>567</v>
      </c>
      <c r="G12" s="47" t="s">
        <v>123</v>
      </c>
      <c r="H12" s="47" t="s">
        <v>124</v>
      </c>
      <c r="I12" s="48" t="s">
        <v>119</v>
      </c>
      <c r="J12" s="48"/>
      <c r="K12" s="46" t="str">
        <f>"210,0"</f>
        <v>210,0</v>
      </c>
      <c r="L12" s="47" t="str">
        <f>"140,3881"</f>
        <v>140,3881</v>
      </c>
      <c r="M12" s="46"/>
    </row>
    <row r="14" spans="1:13" ht="15" x14ac:dyDescent="0.2">
      <c r="A14" s="50" t="s">
        <v>219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1:13" x14ac:dyDescent="0.2">
      <c r="A15" s="61" t="s">
        <v>780</v>
      </c>
      <c r="B15" s="59" t="s">
        <v>781</v>
      </c>
      <c r="C15" s="59" t="s">
        <v>782</v>
      </c>
      <c r="D15" s="59" t="str">
        <f>"0,6071"</f>
        <v>0,6071</v>
      </c>
      <c r="E15" s="61" t="s">
        <v>30</v>
      </c>
      <c r="F15" s="61" t="s">
        <v>31</v>
      </c>
      <c r="G15" s="59" t="s">
        <v>123</v>
      </c>
      <c r="H15" s="62" t="s">
        <v>124</v>
      </c>
      <c r="I15" s="59" t="s">
        <v>120</v>
      </c>
      <c r="J15" s="62"/>
      <c r="K15" s="61" t="str">
        <f>"220,0"</f>
        <v>220,0</v>
      </c>
      <c r="L15" s="59" t="str">
        <f>"133,5620"</f>
        <v>133,5620</v>
      </c>
      <c r="M15" s="61"/>
    </row>
    <row r="16" spans="1:13" x14ac:dyDescent="0.2">
      <c r="A16" s="66" t="s">
        <v>784</v>
      </c>
      <c r="B16" s="65" t="s">
        <v>785</v>
      </c>
      <c r="C16" s="65" t="s">
        <v>786</v>
      </c>
      <c r="D16" s="65" t="str">
        <f>"0,5864"</f>
        <v>0,5864</v>
      </c>
      <c r="E16" s="66" t="s">
        <v>30</v>
      </c>
      <c r="F16" s="66" t="s">
        <v>31</v>
      </c>
      <c r="G16" s="65" t="s">
        <v>62</v>
      </c>
      <c r="H16" s="67" t="s">
        <v>63</v>
      </c>
      <c r="I16" s="67"/>
      <c r="J16" s="67"/>
      <c r="K16" s="66" t="str">
        <f>"240,0"</f>
        <v>240,0</v>
      </c>
      <c r="L16" s="65" t="str">
        <f>"143,5385"</f>
        <v>143,5385</v>
      </c>
      <c r="M16" s="66"/>
    </row>
    <row r="17" spans="1:13" x14ac:dyDescent="0.2">
      <c r="A17" s="63" t="s">
        <v>259</v>
      </c>
      <c r="B17" s="60" t="s">
        <v>260</v>
      </c>
      <c r="C17" s="60" t="s">
        <v>261</v>
      </c>
      <c r="D17" s="60" t="str">
        <f>"0,5813"</f>
        <v>0,5813</v>
      </c>
      <c r="E17" s="63" t="s">
        <v>30</v>
      </c>
      <c r="F17" s="63" t="s">
        <v>262</v>
      </c>
      <c r="G17" s="60" t="s">
        <v>64</v>
      </c>
      <c r="H17" s="60" t="s">
        <v>218</v>
      </c>
      <c r="I17" s="64"/>
      <c r="J17" s="64"/>
      <c r="K17" s="63" t="str">
        <f>"190,0"</f>
        <v>190,0</v>
      </c>
      <c r="L17" s="60" t="str">
        <f>"174,0645"</f>
        <v>174,0645</v>
      </c>
      <c r="M17" s="63"/>
    </row>
    <row r="19" spans="1:13" ht="15" x14ac:dyDescent="0.2">
      <c r="A19" s="50" t="s">
        <v>67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</row>
    <row r="20" spans="1:13" x14ac:dyDescent="0.2">
      <c r="A20" s="61" t="s">
        <v>150</v>
      </c>
      <c r="B20" s="59" t="s">
        <v>151</v>
      </c>
      <c r="C20" s="59" t="s">
        <v>152</v>
      </c>
      <c r="D20" s="59" t="str">
        <f>"0,5547"</f>
        <v>0,5547</v>
      </c>
      <c r="E20" s="61" t="s">
        <v>30</v>
      </c>
      <c r="F20" s="61" t="s">
        <v>153</v>
      </c>
      <c r="G20" s="59" t="s">
        <v>353</v>
      </c>
      <c r="H20" s="59" t="s">
        <v>137</v>
      </c>
      <c r="I20" s="59" t="s">
        <v>787</v>
      </c>
      <c r="J20" s="62"/>
      <c r="K20" s="61" t="str">
        <f>"342,5"</f>
        <v>342,5</v>
      </c>
      <c r="L20" s="59" t="str">
        <f>"189,9933"</f>
        <v>189,9933</v>
      </c>
      <c r="M20" s="61"/>
    </row>
    <row r="21" spans="1:13" x14ac:dyDescent="0.2">
      <c r="A21" s="63" t="s">
        <v>268</v>
      </c>
      <c r="B21" s="60" t="s">
        <v>269</v>
      </c>
      <c r="C21" s="60" t="s">
        <v>270</v>
      </c>
      <c r="D21" s="60" t="str">
        <f>"0,5515"</f>
        <v>0,5515</v>
      </c>
      <c r="E21" s="63" t="s">
        <v>30</v>
      </c>
      <c r="F21" s="63" t="s">
        <v>31</v>
      </c>
      <c r="G21" s="60" t="s">
        <v>158</v>
      </c>
      <c r="H21" s="60" t="s">
        <v>788</v>
      </c>
      <c r="I21" s="60" t="s">
        <v>65</v>
      </c>
      <c r="J21" s="64"/>
      <c r="K21" s="63" t="str">
        <f>"270,0"</f>
        <v>270,0</v>
      </c>
      <c r="L21" s="60" t="str">
        <f>"170,8095"</f>
        <v>170,8095</v>
      </c>
      <c r="M21" s="63"/>
    </row>
    <row r="23" spans="1:13" ht="15" x14ac:dyDescent="0.2">
      <c r="A23" s="50" t="s">
        <v>126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3" x14ac:dyDescent="0.2">
      <c r="A24" s="46" t="s">
        <v>790</v>
      </c>
      <c r="B24" s="47" t="s">
        <v>791</v>
      </c>
      <c r="C24" s="47" t="s">
        <v>792</v>
      </c>
      <c r="D24" s="47" t="str">
        <f>"0,5347"</f>
        <v>0,5347</v>
      </c>
      <c r="E24" s="46" t="s">
        <v>30</v>
      </c>
      <c r="F24" s="46" t="s">
        <v>567</v>
      </c>
      <c r="G24" s="47" t="s">
        <v>158</v>
      </c>
      <c r="H24" s="47" t="s">
        <v>66</v>
      </c>
      <c r="I24" s="47" t="s">
        <v>77</v>
      </c>
      <c r="J24" s="48"/>
      <c r="K24" s="46" t="str">
        <f>"290,0"</f>
        <v>290,0</v>
      </c>
      <c r="L24" s="47" t="str">
        <f>"159,8616"</f>
        <v>159,8616</v>
      </c>
      <c r="M24" s="46"/>
    </row>
    <row r="26" spans="1:13" ht="15" x14ac:dyDescent="0.2">
      <c r="E26" s="34" t="s">
        <v>15</v>
      </c>
    </row>
    <row r="27" spans="1:13" ht="15" x14ac:dyDescent="0.2">
      <c r="E27" s="34" t="s">
        <v>16</v>
      </c>
    </row>
    <row r="28" spans="1:13" ht="15" x14ac:dyDescent="0.2">
      <c r="E28" s="34" t="s">
        <v>17</v>
      </c>
    </row>
    <row r="29" spans="1:13" x14ac:dyDescent="0.2">
      <c r="E29" s="4" t="s">
        <v>18</v>
      </c>
    </row>
    <row r="30" spans="1:13" x14ac:dyDescent="0.2">
      <c r="E30" s="4" t="s">
        <v>19</v>
      </c>
    </row>
    <row r="31" spans="1:13" x14ac:dyDescent="0.2">
      <c r="E31" s="4" t="s">
        <v>20</v>
      </c>
    </row>
    <row r="34" spans="1:5" ht="18" x14ac:dyDescent="0.25">
      <c r="A34" s="43" t="s">
        <v>21</v>
      </c>
      <c r="B34" s="44"/>
    </row>
    <row r="35" spans="1:5" ht="15" x14ac:dyDescent="0.2">
      <c r="A35" s="52" t="s">
        <v>89</v>
      </c>
      <c r="B35" s="53"/>
    </row>
    <row r="36" spans="1:5" ht="14.25" x14ac:dyDescent="0.2">
      <c r="A36" s="55"/>
      <c r="B36" s="56" t="s">
        <v>162</v>
      </c>
    </row>
    <row r="37" spans="1:5" ht="15" x14ac:dyDescent="0.2">
      <c r="A37" s="57" t="s">
        <v>0</v>
      </c>
      <c r="B37" s="57" t="s">
        <v>82</v>
      </c>
      <c r="C37" s="57" t="s">
        <v>83</v>
      </c>
      <c r="D37" s="57" t="s">
        <v>84</v>
      </c>
      <c r="E37" s="57" t="s">
        <v>24</v>
      </c>
    </row>
    <row r="38" spans="1:5" x14ac:dyDescent="0.2">
      <c r="A38" s="54" t="s">
        <v>149</v>
      </c>
      <c r="B38" s="5" t="s">
        <v>163</v>
      </c>
      <c r="C38" s="5" t="s">
        <v>98</v>
      </c>
      <c r="D38" s="5" t="s">
        <v>787</v>
      </c>
      <c r="E38" s="58" t="s">
        <v>793</v>
      </c>
    </row>
    <row r="40" spans="1:5" ht="14.25" x14ac:dyDescent="0.2">
      <c r="A40" s="55"/>
      <c r="B40" s="56" t="s">
        <v>94</v>
      </c>
    </row>
    <row r="41" spans="1:5" ht="15" x14ac:dyDescent="0.2">
      <c r="A41" s="57" t="s">
        <v>0</v>
      </c>
      <c r="B41" s="57" t="s">
        <v>82</v>
      </c>
      <c r="C41" s="57" t="s">
        <v>83</v>
      </c>
      <c r="D41" s="57" t="s">
        <v>84</v>
      </c>
      <c r="E41" s="57" t="s">
        <v>24</v>
      </c>
    </row>
    <row r="42" spans="1:5" x14ac:dyDescent="0.2">
      <c r="A42" s="54" t="s">
        <v>772</v>
      </c>
      <c r="B42" s="5" t="s">
        <v>94</v>
      </c>
      <c r="C42" s="5" t="s">
        <v>91</v>
      </c>
      <c r="D42" s="5" t="s">
        <v>460</v>
      </c>
      <c r="E42" s="58" t="s">
        <v>794</v>
      </c>
    </row>
    <row r="43" spans="1:5" x14ac:dyDescent="0.2">
      <c r="A43" s="54" t="s">
        <v>327</v>
      </c>
      <c r="B43" s="5" t="s">
        <v>94</v>
      </c>
      <c r="C43" s="5" t="s">
        <v>293</v>
      </c>
      <c r="D43" s="5" t="s">
        <v>120</v>
      </c>
      <c r="E43" s="58" t="s">
        <v>795</v>
      </c>
    </row>
    <row r="44" spans="1:5" x14ac:dyDescent="0.2">
      <c r="A44" s="54" t="s">
        <v>779</v>
      </c>
      <c r="B44" s="5" t="s">
        <v>94</v>
      </c>
      <c r="C44" s="5" t="s">
        <v>289</v>
      </c>
      <c r="D44" s="5" t="s">
        <v>120</v>
      </c>
      <c r="E44" s="58" t="s">
        <v>796</v>
      </c>
    </row>
    <row r="46" spans="1:5" ht="14.25" x14ac:dyDescent="0.2">
      <c r="A46" s="55"/>
      <c r="B46" s="56" t="s">
        <v>135</v>
      </c>
    </row>
    <row r="47" spans="1:5" ht="15" x14ac:dyDescent="0.2">
      <c r="A47" s="57" t="s">
        <v>0</v>
      </c>
      <c r="B47" s="57" t="s">
        <v>82</v>
      </c>
      <c r="C47" s="57" t="s">
        <v>83</v>
      </c>
      <c r="D47" s="57" t="s">
        <v>84</v>
      </c>
      <c r="E47" s="57" t="s">
        <v>24</v>
      </c>
    </row>
    <row r="48" spans="1:5" x14ac:dyDescent="0.2">
      <c r="A48" s="54" t="s">
        <v>258</v>
      </c>
      <c r="B48" s="5" t="s">
        <v>312</v>
      </c>
      <c r="C48" s="5" t="s">
        <v>289</v>
      </c>
      <c r="D48" s="5" t="s">
        <v>218</v>
      </c>
      <c r="E48" s="58" t="s">
        <v>797</v>
      </c>
    </row>
    <row r="49" spans="1:5" x14ac:dyDescent="0.2">
      <c r="A49" s="54" t="s">
        <v>267</v>
      </c>
      <c r="B49" s="5" t="s">
        <v>283</v>
      </c>
      <c r="C49" s="5" t="s">
        <v>98</v>
      </c>
      <c r="D49" s="5" t="s">
        <v>65</v>
      </c>
      <c r="E49" s="58" t="s">
        <v>798</v>
      </c>
    </row>
    <row r="50" spans="1:5" x14ac:dyDescent="0.2">
      <c r="A50" s="54" t="s">
        <v>789</v>
      </c>
      <c r="B50" s="5" t="s">
        <v>286</v>
      </c>
      <c r="C50" s="5" t="s">
        <v>145</v>
      </c>
      <c r="D50" s="5" t="s">
        <v>77</v>
      </c>
      <c r="E50" s="58" t="s">
        <v>799</v>
      </c>
    </row>
    <row r="51" spans="1:5" x14ac:dyDescent="0.2">
      <c r="A51" s="54" t="s">
        <v>783</v>
      </c>
      <c r="B51" s="5" t="s">
        <v>286</v>
      </c>
      <c r="C51" s="5" t="s">
        <v>289</v>
      </c>
      <c r="D51" s="5" t="s">
        <v>62</v>
      </c>
      <c r="E51" s="58" t="s">
        <v>800</v>
      </c>
    </row>
    <row r="52" spans="1:5" x14ac:dyDescent="0.2">
      <c r="A52" s="54" t="s">
        <v>776</v>
      </c>
      <c r="B52" s="5" t="s">
        <v>136</v>
      </c>
      <c r="C52" s="5" t="s">
        <v>95</v>
      </c>
      <c r="D52" s="5" t="s">
        <v>124</v>
      </c>
      <c r="E52" s="58" t="s">
        <v>801</v>
      </c>
    </row>
  </sheetData>
  <mergeCells count="17">
    <mergeCell ref="A14:L14"/>
    <mergeCell ref="A19:L19"/>
    <mergeCell ref="A23:L23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14.7109375" style="5" bestFit="1" customWidth="1"/>
    <col min="3" max="3" width="7.7109375" style="5" bestFit="1" customWidth="1"/>
    <col min="4" max="4" width="7.28515625" style="5" customWidth="1"/>
    <col min="5" max="5" width="17.28515625" style="4" bestFit="1" customWidth="1"/>
    <col min="6" max="6" width="14.5703125" style="4" bestFit="1" customWidth="1"/>
    <col min="7" max="9" width="2.140625" style="5" bestFit="1" customWidth="1"/>
    <col min="10" max="10" width="5" style="5" bestFit="1" customWidth="1"/>
    <col min="11" max="11" width="6.140625" style="4" bestFit="1" customWidth="1"/>
    <col min="12" max="12" width="4.28515625" style="5" bestFit="1" customWidth="1"/>
    <col min="13" max="13" width="7.42578125" style="4" bestFit="1" customWidth="1"/>
    <col min="14" max="16384" width="9.140625" style="3"/>
  </cols>
  <sheetData>
    <row r="1" spans="1:13" s="2" customFormat="1" ht="29.1" customHeight="1" x14ac:dyDescent="0.2">
      <c r="A1" s="35" t="s">
        <v>770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14</v>
      </c>
      <c r="G3" s="25" t="s">
        <v>4</v>
      </c>
      <c r="H3" s="26"/>
      <c r="I3" s="26"/>
      <c r="J3" s="27"/>
      <c r="K3" s="41" t="s">
        <v>314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x14ac:dyDescent="0.2">
      <c r="A5" s="4"/>
      <c r="E5" s="4"/>
      <c r="F5" s="4"/>
      <c r="K5" s="4"/>
      <c r="M5" s="4"/>
    </row>
    <row r="6" spans="1:13" s="5" customFormat="1" ht="15" x14ac:dyDescent="0.2">
      <c r="A6" s="4"/>
      <c r="E6" s="34" t="s">
        <v>15</v>
      </c>
      <c r="F6" s="4"/>
      <c r="K6" s="4"/>
      <c r="M6" s="4"/>
    </row>
    <row r="7" spans="1:13" s="5" customFormat="1" ht="15" x14ac:dyDescent="0.2">
      <c r="A7" s="4"/>
      <c r="E7" s="34" t="s">
        <v>16</v>
      </c>
      <c r="F7" s="4"/>
      <c r="K7" s="4"/>
      <c r="M7" s="4"/>
    </row>
    <row r="8" spans="1:13" ht="15" x14ac:dyDescent="0.2">
      <c r="E8" s="34" t="s">
        <v>17</v>
      </c>
    </row>
    <row r="9" spans="1:13" x14ac:dyDescent="0.2">
      <c r="E9" s="4" t="s">
        <v>18</v>
      </c>
    </row>
    <row r="10" spans="1:13" x14ac:dyDescent="0.2">
      <c r="E10" s="4" t="s">
        <v>19</v>
      </c>
    </row>
    <row r="11" spans="1:13" x14ac:dyDescent="0.2">
      <c r="E11" s="4" t="s">
        <v>20</v>
      </c>
    </row>
    <row r="14" spans="1:13" ht="18" x14ac:dyDescent="0.25">
      <c r="A14" s="43" t="s">
        <v>21</v>
      </c>
      <c r="B14" s="44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26.85546875" style="5" bestFit="1" customWidth="1"/>
    <col min="3" max="3" width="7.7109375" style="5" bestFit="1" customWidth="1"/>
    <col min="4" max="4" width="6.85546875" style="5" bestFit="1" customWidth="1"/>
    <col min="5" max="5" width="17.28515625" style="4" bestFit="1" customWidth="1"/>
    <col min="6" max="6" width="24.42578125" style="4" bestFit="1" customWidth="1"/>
    <col min="7" max="9" width="5.5703125" style="5" bestFit="1" customWidth="1"/>
    <col min="10" max="10" width="5" style="5" bestFit="1" customWidth="1"/>
    <col min="11" max="11" width="6.140625" style="4" bestFit="1" customWidth="1"/>
    <col min="12" max="12" width="8.5703125" style="5" bestFit="1" customWidth="1"/>
    <col min="13" max="13" width="7.42578125" style="4" bestFit="1" customWidth="1"/>
    <col min="14" max="16384" width="9.140625" style="3"/>
  </cols>
  <sheetData>
    <row r="1" spans="1:13" s="2" customFormat="1" ht="29.1" customHeight="1" x14ac:dyDescent="0.2">
      <c r="A1" s="35" t="s">
        <v>749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.1" customHeight="1" thickBo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 t="s">
        <v>24</v>
      </c>
      <c r="E3" s="26" t="s">
        <v>1</v>
      </c>
      <c r="F3" s="32" t="s">
        <v>14</v>
      </c>
      <c r="G3" s="25" t="s">
        <v>4</v>
      </c>
      <c r="H3" s="26"/>
      <c r="I3" s="26"/>
      <c r="J3" s="27"/>
      <c r="K3" s="41" t="s">
        <v>314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42"/>
      <c r="L4" s="30"/>
      <c r="M4" s="31"/>
    </row>
    <row r="5" spans="1:13" s="5" customFormat="1" ht="15" x14ac:dyDescent="0.2">
      <c r="A5" s="45" t="s">
        <v>41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"/>
    </row>
    <row r="6" spans="1:13" s="5" customFormat="1" x14ac:dyDescent="0.2">
      <c r="A6" s="61" t="s">
        <v>751</v>
      </c>
      <c r="B6" s="59" t="s">
        <v>752</v>
      </c>
      <c r="C6" s="59" t="s">
        <v>753</v>
      </c>
      <c r="D6" s="59" t="str">
        <f>"0,7181"</f>
        <v>0,7181</v>
      </c>
      <c r="E6" s="61" t="s">
        <v>30</v>
      </c>
      <c r="F6" s="61" t="s">
        <v>754</v>
      </c>
      <c r="G6" s="62" t="s">
        <v>123</v>
      </c>
      <c r="H6" s="59" t="s">
        <v>123</v>
      </c>
      <c r="I6" s="59" t="s">
        <v>755</v>
      </c>
      <c r="J6" s="62"/>
      <c r="K6" s="61" t="str">
        <f>"212,5"</f>
        <v>212,5</v>
      </c>
      <c r="L6" s="59" t="str">
        <f>"152,5856"</f>
        <v>152,5856</v>
      </c>
      <c r="M6" s="61"/>
    </row>
    <row r="7" spans="1:13" s="5" customFormat="1" x14ac:dyDescent="0.2">
      <c r="A7" s="63" t="s">
        <v>751</v>
      </c>
      <c r="B7" s="60" t="s">
        <v>756</v>
      </c>
      <c r="C7" s="60" t="s">
        <v>753</v>
      </c>
      <c r="D7" s="60" t="str">
        <f>"0,7181"</f>
        <v>0,7181</v>
      </c>
      <c r="E7" s="63" t="s">
        <v>30</v>
      </c>
      <c r="F7" s="63" t="s">
        <v>754</v>
      </c>
      <c r="G7" s="64" t="s">
        <v>123</v>
      </c>
      <c r="H7" s="60" t="s">
        <v>123</v>
      </c>
      <c r="I7" s="60" t="s">
        <v>755</v>
      </c>
      <c r="J7" s="64"/>
      <c r="K7" s="63" t="str">
        <f>"212,5"</f>
        <v>212,5</v>
      </c>
      <c r="L7" s="60" t="str">
        <f>"196,9880"</f>
        <v>196,9880</v>
      </c>
      <c r="M7" s="63"/>
    </row>
    <row r="9" spans="1:13" ht="15" x14ac:dyDescent="0.2">
      <c r="A9" s="50" t="s">
        <v>55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</row>
    <row r="10" spans="1:13" x14ac:dyDescent="0.2">
      <c r="A10" s="61" t="s">
        <v>757</v>
      </c>
      <c r="B10" s="59" t="s">
        <v>597</v>
      </c>
      <c r="C10" s="59" t="s">
        <v>598</v>
      </c>
      <c r="D10" s="59" t="str">
        <f>"0,6234"</f>
        <v>0,6234</v>
      </c>
      <c r="E10" s="61" t="s">
        <v>30</v>
      </c>
      <c r="F10" s="61" t="s">
        <v>31</v>
      </c>
      <c r="G10" s="59" t="s">
        <v>120</v>
      </c>
      <c r="H10" s="59" t="s">
        <v>87</v>
      </c>
      <c r="I10" s="59" t="s">
        <v>281</v>
      </c>
      <c r="J10" s="62"/>
      <c r="K10" s="61" t="str">
        <f>"237,5"</f>
        <v>237,5</v>
      </c>
      <c r="L10" s="59" t="str">
        <f>"148,0575"</f>
        <v>148,0575</v>
      </c>
      <c r="M10" s="61"/>
    </row>
    <row r="11" spans="1:13" x14ac:dyDescent="0.2">
      <c r="A11" s="63" t="s">
        <v>759</v>
      </c>
      <c r="B11" s="60" t="s">
        <v>760</v>
      </c>
      <c r="C11" s="60" t="s">
        <v>761</v>
      </c>
      <c r="D11" s="60" t="str">
        <f>"0,6126"</f>
        <v>0,6126</v>
      </c>
      <c r="E11" s="63" t="s">
        <v>30</v>
      </c>
      <c r="F11" s="63" t="s">
        <v>244</v>
      </c>
      <c r="G11" s="60" t="s">
        <v>119</v>
      </c>
      <c r="H11" s="60" t="s">
        <v>61</v>
      </c>
      <c r="I11" s="60" t="s">
        <v>281</v>
      </c>
      <c r="J11" s="64"/>
      <c r="K11" s="63" t="str">
        <f>"237,5"</f>
        <v>237,5</v>
      </c>
      <c r="L11" s="60" t="str">
        <f>"145,4925"</f>
        <v>145,4925</v>
      </c>
      <c r="M11" s="63"/>
    </row>
    <row r="13" spans="1:13" ht="15" x14ac:dyDescent="0.2">
      <c r="A13" s="50" t="s">
        <v>219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</row>
    <row r="14" spans="1:13" x14ac:dyDescent="0.2">
      <c r="A14" s="46" t="s">
        <v>762</v>
      </c>
      <c r="B14" s="47" t="s">
        <v>763</v>
      </c>
      <c r="C14" s="47" t="s">
        <v>261</v>
      </c>
      <c r="D14" s="47" t="str">
        <f>"0,5813"</f>
        <v>0,5813</v>
      </c>
      <c r="E14" s="46" t="s">
        <v>30</v>
      </c>
      <c r="F14" s="46" t="s">
        <v>494</v>
      </c>
      <c r="G14" s="48"/>
      <c r="H14" s="48"/>
      <c r="I14" s="48"/>
      <c r="J14" s="48"/>
      <c r="K14" s="46" t="str">
        <f>"0.00"</f>
        <v>0.00</v>
      </c>
      <c r="L14" s="47" t="str">
        <f>"0,0000"</f>
        <v>0,0000</v>
      </c>
      <c r="M14" s="46"/>
    </row>
    <row r="16" spans="1:13" ht="15" x14ac:dyDescent="0.2">
      <c r="A16" s="50" t="s">
        <v>67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</row>
    <row r="17" spans="1:13" x14ac:dyDescent="0.2">
      <c r="A17" s="46" t="s">
        <v>675</v>
      </c>
      <c r="B17" s="47" t="s">
        <v>676</v>
      </c>
      <c r="C17" s="47" t="s">
        <v>677</v>
      </c>
      <c r="D17" s="47" t="str">
        <f>"0,5478"</f>
        <v>0,5478</v>
      </c>
      <c r="E17" s="46" t="s">
        <v>30</v>
      </c>
      <c r="F17" s="46" t="s">
        <v>31</v>
      </c>
      <c r="G17" s="47" t="s">
        <v>63</v>
      </c>
      <c r="H17" s="47" t="s">
        <v>77</v>
      </c>
      <c r="I17" s="48" t="s">
        <v>764</v>
      </c>
      <c r="J17" s="48"/>
      <c r="K17" s="46" t="str">
        <f>"290,0"</f>
        <v>290,0</v>
      </c>
      <c r="L17" s="47" t="str">
        <f>"158,8692"</f>
        <v>158,8692</v>
      </c>
      <c r="M17" s="46"/>
    </row>
    <row r="19" spans="1:13" ht="15" x14ac:dyDescent="0.2">
      <c r="E19" s="34" t="s">
        <v>15</v>
      </c>
    </row>
    <row r="20" spans="1:13" ht="15" x14ac:dyDescent="0.2">
      <c r="E20" s="34" t="s">
        <v>16</v>
      </c>
    </row>
    <row r="21" spans="1:13" ht="15" x14ac:dyDescent="0.2">
      <c r="E21" s="34" t="s">
        <v>17</v>
      </c>
    </row>
    <row r="22" spans="1:13" x14ac:dyDescent="0.2">
      <c r="E22" s="4" t="s">
        <v>18</v>
      </c>
    </row>
    <row r="23" spans="1:13" x14ac:dyDescent="0.2">
      <c r="E23" s="4" t="s">
        <v>19</v>
      </c>
    </row>
    <row r="24" spans="1:13" x14ac:dyDescent="0.2">
      <c r="E24" s="4" t="s">
        <v>20</v>
      </c>
    </row>
    <row r="27" spans="1:13" ht="18" x14ac:dyDescent="0.25">
      <c r="A27" s="43" t="s">
        <v>21</v>
      </c>
      <c r="B27" s="44"/>
    </row>
    <row r="28" spans="1:13" ht="15" x14ac:dyDescent="0.2">
      <c r="A28" s="52" t="s">
        <v>89</v>
      </c>
      <c r="B28" s="53"/>
    </row>
    <row r="29" spans="1:13" ht="14.25" x14ac:dyDescent="0.2">
      <c r="A29" s="55"/>
      <c r="B29" s="56" t="s">
        <v>94</v>
      </c>
    </row>
    <row r="30" spans="1:13" ht="15" x14ac:dyDescent="0.2">
      <c r="A30" s="57" t="s">
        <v>0</v>
      </c>
      <c r="B30" s="57" t="s">
        <v>82</v>
      </c>
      <c r="C30" s="57" t="s">
        <v>83</v>
      </c>
      <c r="D30" s="57" t="s">
        <v>84</v>
      </c>
      <c r="E30" s="57" t="s">
        <v>24</v>
      </c>
    </row>
    <row r="31" spans="1:13" x14ac:dyDescent="0.2">
      <c r="A31" s="54" t="s">
        <v>674</v>
      </c>
      <c r="B31" s="5" t="s">
        <v>94</v>
      </c>
      <c r="C31" s="5" t="s">
        <v>98</v>
      </c>
      <c r="D31" s="5" t="s">
        <v>77</v>
      </c>
      <c r="E31" s="58" t="s">
        <v>765</v>
      </c>
    </row>
    <row r="32" spans="1:13" x14ac:dyDescent="0.2">
      <c r="A32" s="54" t="s">
        <v>750</v>
      </c>
      <c r="B32" s="5" t="s">
        <v>94</v>
      </c>
      <c r="C32" s="5" t="s">
        <v>91</v>
      </c>
      <c r="D32" s="5" t="s">
        <v>755</v>
      </c>
      <c r="E32" s="58" t="s">
        <v>766</v>
      </c>
    </row>
    <row r="33" spans="1:5" x14ac:dyDescent="0.2">
      <c r="A33" s="54" t="s">
        <v>595</v>
      </c>
      <c r="B33" s="5" t="s">
        <v>94</v>
      </c>
      <c r="C33" s="5" t="s">
        <v>95</v>
      </c>
      <c r="D33" s="5" t="s">
        <v>281</v>
      </c>
      <c r="E33" s="58" t="s">
        <v>767</v>
      </c>
    </row>
    <row r="34" spans="1:5" x14ac:dyDescent="0.2">
      <c r="A34" s="54" t="s">
        <v>758</v>
      </c>
      <c r="B34" s="5" t="s">
        <v>94</v>
      </c>
      <c r="C34" s="5" t="s">
        <v>95</v>
      </c>
      <c r="D34" s="5" t="s">
        <v>281</v>
      </c>
      <c r="E34" s="58" t="s">
        <v>768</v>
      </c>
    </row>
    <row r="36" spans="1:5" ht="14.25" x14ac:dyDescent="0.2">
      <c r="A36" s="55"/>
      <c r="B36" s="56" t="s">
        <v>135</v>
      </c>
    </row>
    <row r="37" spans="1:5" ht="15" x14ac:dyDescent="0.2">
      <c r="A37" s="57" t="s">
        <v>0</v>
      </c>
      <c r="B37" s="57" t="s">
        <v>82</v>
      </c>
      <c r="C37" s="57" t="s">
        <v>83</v>
      </c>
      <c r="D37" s="57" t="s">
        <v>84</v>
      </c>
      <c r="E37" s="57" t="s">
        <v>24</v>
      </c>
    </row>
    <row r="38" spans="1:5" x14ac:dyDescent="0.2">
      <c r="A38" s="54" t="s">
        <v>750</v>
      </c>
      <c r="B38" s="5" t="s">
        <v>142</v>
      </c>
      <c r="C38" s="5" t="s">
        <v>91</v>
      </c>
      <c r="D38" s="5" t="s">
        <v>755</v>
      </c>
      <c r="E38" s="58" t="s">
        <v>769</v>
      </c>
    </row>
  </sheetData>
  <mergeCells count="15">
    <mergeCell ref="A16:L16"/>
    <mergeCell ref="K3:K4"/>
    <mergeCell ref="L3:L4"/>
    <mergeCell ref="M3:M4"/>
    <mergeCell ref="A5:L5"/>
    <mergeCell ref="A9:L9"/>
    <mergeCell ref="A13:L13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Лист26</vt:lpstr>
      <vt:lpstr>AWPC m.ply DL</vt:lpstr>
      <vt:lpstr>AWPC s.ply DL</vt:lpstr>
      <vt:lpstr>AWPC raw DL</vt:lpstr>
      <vt:lpstr>WPC m.ply DL</vt:lpstr>
      <vt:lpstr>WPC s.ply DL</vt:lpstr>
      <vt:lpstr>WPC raw DL</vt:lpstr>
      <vt:lpstr>AWPC mpl.soft eq. BP</vt:lpstr>
      <vt:lpstr>AWPC std.soft eq. BP</vt:lpstr>
      <vt:lpstr>AWPC m.ply BP</vt:lpstr>
      <vt:lpstr>AWPC s.ply BP</vt:lpstr>
      <vt:lpstr>AWPC raw BP</vt:lpstr>
      <vt:lpstr>AWPC m.ply PL</vt:lpstr>
      <vt:lpstr>AWPC s.ply PL</vt:lpstr>
      <vt:lpstr>AWPC Classic powerlifting RAW</vt:lpstr>
      <vt:lpstr>AWPC raw PL</vt:lpstr>
      <vt:lpstr>WPC mply.soft eq. BP</vt:lpstr>
      <vt:lpstr>WPC std.soft eq. BP</vt:lpstr>
      <vt:lpstr>WPC m.ply BP</vt:lpstr>
      <vt:lpstr>WPC s.ply BP</vt:lpstr>
      <vt:lpstr>WPC raw BP</vt:lpstr>
      <vt:lpstr>WPC m.ply PL</vt:lpstr>
      <vt:lpstr>WPC s.ply PL</vt:lpstr>
      <vt:lpstr>WPC Classic powerlifting RAW</vt:lpstr>
      <vt:lpstr>WPC raw PL</vt:lpstr>
      <vt:lpstr>AWPC soft PL</vt:lpstr>
      <vt:lpstr>WPC soft PL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ASUS</cp:lastModifiedBy>
  <cp:lastPrinted>2008-02-22T21:19:54Z</cp:lastPrinted>
  <dcterms:created xsi:type="dcterms:W3CDTF">2002-06-16T13:36:44Z</dcterms:created>
  <dcterms:modified xsi:type="dcterms:W3CDTF">2020-09-27T07:44:12Z</dcterms:modified>
</cp:coreProperties>
</file>