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Октябрь/"/>
    </mc:Choice>
  </mc:AlternateContent>
  <xr:revisionPtr revIDLastSave="0" documentId="13_ncr:1_{E1A3333A-0C24-1843-B2F2-2150252005F2}" xr6:coauthVersionLast="45" xr6:coauthVersionMax="45" xr10:uidLastSave="{00000000-0000-0000-0000-000000000000}"/>
  <bookViews>
    <workbookView xWindow="480" yWindow="460" windowWidth="28060" windowHeight="15940" firstSheet="3" activeTab="9" xr2:uid="{00000000-000D-0000-FFFF-FFFF00000000}"/>
  </bookViews>
  <sheets>
    <sheet name="СПР Жим софт однопетельная ДК" sheetId="22" r:id="rId1"/>
    <sheet name="СПР Жим софт однопетельная" sheetId="21" r:id="rId2"/>
    <sheet name="СПР Жим софт многопетельная ДК" sheetId="24" r:id="rId3"/>
    <sheet name="СПР Жим СФО" sheetId="25" r:id="rId4"/>
    <sheet name="СПР Пауэрспорт ДК" sheetId="31" r:id="rId5"/>
    <sheet name="СПР Пауэрспорт" sheetId="30" r:id="rId6"/>
    <sheet name="СПР Жим стоя ДК" sheetId="27" r:id="rId7"/>
    <sheet name="СПР Жим стоя" sheetId="26" r:id="rId8"/>
    <sheet name="СПР Подъем на бицепс ДК" sheetId="29" r:id="rId9"/>
    <sheet name="СПР Подъем на бицепс" sheetId="28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31" l="1"/>
  <c r="O12" i="31"/>
  <c r="P11" i="31"/>
  <c r="O11" i="31"/>
  <c r="P10" i="31"/>
  <c r="O10" i="31"/>
  <c r="P7" i="31"/>
  <c r="O7" i="31"/>
  <c r="P6" i="31"/>
  <c r="O6" i="31"/>
  <c r="P17" i="30"/>
  <c r="O17" i="30"/>
  <c r="P14" i="30"/>
  <c r="O14" i="30"/>
  <c r="P13" i="30"/>
  <c r="O13" i="30"/>
  <c r="P12" i="30"/>
  <c r="O12" i="30"/>
  <c r="P9" i="30"/>
  <c r="O9" i="30"/>
  <c r="P6" i="30"/>
  <c r="O6" i="30"/>
  <c r="L34" i="29"/>
  <c r="K34" i="29"/>
  <c r="L31" i="29"/>
  <c r="K31" i="29"/>
  <c r="L30" i="29"/>
  <c r="K30" i="29"/>
  <c r="L29" i="29"/>
  <c r="K29" i="29"/>
  <c r="L28" i="29"/>
  <c r="K28" i="29"/>
  <c r="L27" i="29"/>
  <c r="K27" i="29"/>
  <c r="L24" i="29"/>
  <c r="K24" i="29"/>
  <c r="L21" i="29"/>
  <c r="K21" i="29"/>
  <c r="L20" i="29"/>
  <c r="K20" i="29"/>
  <c r="L19" i="29"/>
  <c r="K19" i="29"/>
  <c r="L16" i="29"/>
  <c r="K16" i="29"/>
  <c r="L15" i="29"/>
  <c r="K15" i="29"/>
  <c r="L14" i="29"/>
  <c r="K14" i="29"/>
  <c r="L13" i="29"/>
  <c r="K13" i="29"/>
  <c r="L10" i="29"/>
  <c r="K10" i="29"/>
  <c r="L9" i="29"/>
  <c r="K9" i="29"/>
  <c r="L6" i="29"/>
  <c r="K6" i="29"/>
  <c r="L36" i="28"/>
  <c r="K36" i="28"/>
  <c r="L33" i="28"/>
  <c r="K33" i="28"/>
  <c r="L32" i="28"/>
  <c r="K32" i="28"/>
  <c r="L29" i="28"/>
  <c r="K29" i="28"/>
  <c r="L28" i="28"/>
  <c r="K28" i="28"/>
  <c r="L25" i="28"/>
  <c r="K25" i="28"/>
  <c r="L22" i="28"/>
  <c r="K22" i="28"/>
  <c r="L21" i="28"/>
  <c r="K21" i="28"/>
  <c r="L20" i="28"/>
  <c r="K20" i="28"/>
  <c r="L19" i="28"/>
  <c r="K19" i="28"/>
  <c r="L18" i="28"/>
  <c r="K18" i="28"/>
  <c r="L15" i="28"/>
  <c r="K15" i="28"/>
  <c r="L12" i="28"/>
  <c r="K12" i="28"/>
  <c r="L9" i="28"/>
  <c r="K9" i="28"/>
  <c r="L6" i="28"/>
  <c r="K6" i="28"/>
  <c r="L6" i="27"/>
  <c r="K6" i="27"/>
  <c r="L15" i="26"/>
  <c r="K15" i="26"/>
  <c r="L12" i="26"/>
  <c r="K12" i="26"/>
  <c r="L9" i="26"/>
  <c r="K9" i="26"/>
  <c r="L6" i="26"/>
  <c r="K6" i="26"/>
  <c r="L36" i="25"/>
  <c r="K36" i="25"/>
  <c r="L33" i="25"/>
  <c r="K33" i="25"/>
  <c r="L32" i="25"/>
  <c r="K32" i="25"/>
  <c r="L31" i="25"/>
  <c r="K31" i="25"/>
  <c r="L28" i="25"/>
  <c r="K28" i="25"/>
  <c r="L27" i="25"/>
  <c r="K27" i="25"/>
  <c r="L24" i="25"/>
  <c r="K24" i="25"/>
  <c r="L23" i="25"/>
  <c r="K23" i="25"/>
  <c r="L20" i="25"/>
  <c r="K20" i="25"/>
  <c r="L19" i="25"/>
  <c r="K19" i="25"/>
  <c r="L16" i="25"/>
  <c r="K16" i="25"/>
  <c r="L15" i="25"/>
  <c r="K15" i="25"/>
  <c r="L12" i="25"/>
  <c r="K12" i="25"/>
  <c r="L9" i="25"/>
  <c r="K9" i="25"/>
  <c r="L6" i="25"/>
  <c r="K6" i="25"/>
  <c r="L9" i="24"/>
  <c r="K9" i="24"/>
  <c r="L6" i="24"/>
  <c r="K6" i="24"/>
  <c r="L15" i="22"/>
  <c r="K15" i="22"/>
  <c r="L12" i="22"/>
  <c r="K12" i="22"/>
  <c r="L9" i="22"/>
  <c r="K9" i="22"/>
  <c r="L6" i="22"/>
  <c r="K6" i="22"/>
  <c r="L6" i="21"/>
  <c r="K6" i="21"/>
</calcChain>
</file>

<file path=xl/sharedStrings.xml><?xml version="1.0" encoding="utf-8"?>
<sst xmlns="http://schemas.openxmlformats.org/spreadsheetml/2006/main" count="962" uniqueCount="351">
  <si>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</si>
  <si>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</si>
  <si>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</si>
  <si>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</si>
  <si>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</si>
  <si>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</si>
  <si>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</si>
  <si>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>Жим лёжа</t>
  </si>
  <si>
    <t>105,0</t>
  </si>
  <si>
    <t>110,0</t>
  </si>
  <si>
    <t>115,0</t>
  </si>
  <si>
    <t>65,0</t>
  </si>
  <si>
    <t>70,0</t>
  </si>
  <si>
    <t>72,5</t>
  </si>
  <si>
    <t>130,0</t>
  </si>
  <si>
    <t>140,0</t>
  </si>
  <si>
    <t>145,0</t>
  </si>
  <si>
    <t>85,0</t>
  </si>
  <si>
    <t>90,0</t>
  </si>
  <si>
    <t>55,0</t>
  </si>
  <si>
    <t>60,0</t>
  </si>
  <si>
    <t>62,5</t>
  </si>
  <si>
    <t>120,0</t>
  </si>
  <si>
    <t>82,5</t>
  </si>
  <si>
    <t>52,5</t>
  </si>
  <si>
    <t>92,5</t>
  </si>
  <si>
    <t>45,0</t>
  </si>
  <si>
    <t>50,0</t>
  </si>
  <si>
    <t>95,0</t>
  </si>
  <si>
    <t>100,0</t>
  </si>
  <si>
    <t>77,5</t>
  </si>
  <si>
    <t>37,5</t>
  </si>
  <si>
    <t>ВЕСОВАЯ КАТЕГОРИЯ   60</t>
  </si>
  <si>
    <t>75,0</t>
  </si>
  <si>
    <t>80,0</t>
  </si>
  <si>
    <t>ВЕСОВАЯ КАТЕГОРИЯ   67.5</t>
  </si>
  <si>
    <t>47,5</t>
  </si>
  <si>
    <t>ВЕСОВАЯ КАТЕГОРИЯ   90</t>
  </si>
  <si>
    <t>ВЕСОВАЯ КАТЕГОРИЯ   75</t>
  </si>
  <si>
    <t>74,60</t>
  </si>
  <si>
    <t>190,0</t>
  </si>
  <si>
    <t>200,0</t>
  </si>
  <si>
    <t>165,0</t>
  </si>
  <si>
    <t>125,0</t>
  </si>
  <si>
    <t>180,0</t>
  </si>
  <si>
    <t>ВЕСОВАЯ КАТЕГОРИЯ   82.5</t>
  </si>
  <si>
    <t>81,10</t>
  </si>
  <si>
    <t>175,0</t>
  </si>
  <si>
    <t>260,0</t>
  </si>
  <si>
    <t>220,0</t>
  </si>
  <si>
    <t>82,40</t>
  </si>
  <si>
    <t>147,5</t>
  </si>
  <si>
    <t>240,0</t>
  </si>
  <si>
    <t>Барбье Александр</t>
  </si>
  <si>
    <t>Мастера 40-49 (25.08.1976)/45</t>
  </si>
  <si>
    <t>89,30</t>
  </si>
  <si>
    <t>ВЕСОВАЯ КАТЕГОРИЯ   100</t>
  </si>
  <si>
    <t>ВЕСОВАЯ КАТЕГОРИЯ   110</t>
  </si>
  <si>
    <t>ВЕСОВАЯ КАТЕГОРИЯ   125</t>
  </si>
  <si>
    <t>300,0</t>
  </si>
  <si>
    <t>212,5</t>
  </si>
  <si>
    <t xml:space="preserve">Абсолютный зачёт </t>
  </si>
  <si>
    <t xml:space="preserve">Открытая </t>
  </si>
  <si>
    <t xml:space="preserve">ФИО </t>
  </si>
  <si>
    <t xml:space="preserve">Возрастная группа </t>
  </si>
  <si>
    <t xml:space="preserve">Мужчины </t>
  </si>
  <si>
    <t>100</t>
  </si>
  <si>
    <t>82.5</t>
  </si>
  <si>
    <t>125</t>
  </si>
  <si>
    <t xml:space="preserve">Мастера </t>
  </si>
  <si>
    <t xml:space="preserve">Мастера 60-69 </t>
  </si>
  <si>
    <t>1</t>
  </si>
  <si>
    <t>2</t>
  </si>
  <si>
    <t/>
  </si>
  <si>
    <t>3</t>
  </si>
  <si>
    <t>99,90</t>
  </si>
  <si>
    <t>90,10</t>
  </si>
  <si>
    <t xml:space="preserve">GRC/Athens </t>
  </si>
  <si>
    <t>360,0</t>
  </si>
  <si>
    <t>230,0</t>
  </si>
  <si>
    <t>42,5</t>
  </si>
  <si>
    <t>107,5</t>
  </si>
  <si>
    <t>112,5</t>
  </si>
  <si>
    <t>82,00</t>
  </si>
  <si>
    <t>67.5</t>
  </si>
  <si>
    <t>110</t>
  </si>
  <si>
    <t xml:space="preserve">Мастера 50-59 </t>
  </si>
  <si>
    <t>202,5</t>
  </si>
  <si>
    <t xml:space="preserve">Результат </t>
  </si>
  <si>
    <t>Результат</t>
  </si>
  <si>
    <t>40,0</t>
  </si>
  <si>
    <t>57,5</t>
  </si>
  <si>
    <t>67,5</t>
  </si>
  <si>
    <t>Серов Александр</t>
  </si>
  <si>
    <t>67,50</t>
  </si>
  <si>
    <t xml:space="preserve">Гончаров В. </t>
  </si>
  <si>
    <t>97,5</t>
  </si>
  <si>
    <t>102,5</t>
  </si>
  <si>
    <t>66,10</t>
  </si>
  <si>
    <t>81,70</t>
  </si>
  <si>
    <t>89,20</t>
  </si>
  <si>
    <t>Устарханов Ислам</t>
  </si>
  <si>
    <t>Открытая (13.05.1990)/31</t>
  </si>
  <si>
    <t>89,00</t>
  </si>
  <si>
    <t>81,00</t>
  </si>
  <si>
    <t>117,5</t>
  </si>
  <si>
    <t>74,70</t>
  </si>
  <si>
    <t>Открытая (20.07.1995)/26</t>
  </si>
  <si>
    <t>Емельянов Николай</t>
  </si>
  <si>
    <t>Открытая (30.08.1979)/42</t>
  </si>
  <si>
    <t>108,10</t>
  </si>
  <si>
    <t>245,0</t>
  </si>
  <si>
    <t xml:space="preserve">Каштанов С. </t>
  </si>
  <si>
    <t xml:space="preserve">Gloss </t>
  </si>
  <si>
    <t>Матвеев Александр</t>
  </si>
  <si>
    <t>Открытая (14.03.1974)/47</t>
  </si>
  <si>
    <t>74,50</t>
  </si>
  <si>
    <t xml:space="preserve">Жинкин В. </t>
  </si>
  <si>
    <t>Корольков Алексей</t>
  </si>
  <si>
    <t>Открытая (02.04.1990)/31</t>
  </si>
  <si>
    <t xml:space="preserve">Парфенов А. </t>
  </si>
  <si>
    <t>Гамаев Александр</t>
  </si>
  <si>
    <t>Открытая (06.02.1983)/38</t>
  </si>
  <si>
    <t>103,90</t>
  </si>
  <si>
    <t>Велес Евгений</t>
  </si>
  <si>
    <t>115,70</t>
  </si>
  <si>
    <t>252,5</t>
  </si>
  <si>
    <t>Варшавский Илья</t>
  </si>
  <si>
    <t>Открытая (03.11.1991)/29</t>
  </si>
  <si>
    <t>73,60</t>
  </si>
  <si>
    <t>310,0</t>
  </si>
  <si>
    <t>318,5</t>
  </si>
  <si>
    <t>Сухарев Андрей</t>
  </si>
  <si>
    <t>Открытая (22.07.1974)/47</t>
  </si>
  <si>
    <t>108,30</t>
  </si>
  <si>
    <t>375,0</t>
  </si>
  <si>
    <t>Одинцова Любовь</t>
  </si>
  <si>
    <t>Мастера 60-69 (24.10.1960)/60</t>
  </si>
  <si>
    <t>63,90</t>
  </si>
  <si>
    <t>Зайцева Таисья</t>
  </si>
  <si>
    <t>Мастера 70-79 (30.08.1947)/74</t>
  </si>
  <si>
    <t>79,50</t>
  </si>
  <si>
    <t xml:space="preserve">Ковалёв С. </t>
  </si>
  <si>
    <t>ВЕСОВАЯ КАТЕГОРИЯ   90+</t>
  </si>
  <si>
    <t>Маева Татьяна</t>
  </si>
  <si>
    <t>Мастера 60-69 (05.07.1958)/63</t>
  </si>
  <si>
    <t xml:space="preserve">Ковалев С. </t>
  </si>
  <si>
    <t>Бегинин Андрей</t>
  </si>
  <si>
    <t>Открытая (10.11.1995)/25</t>
  </si>
  <si>
    <t>64,40</t>
  </si>
  <si>
    <t xml:space="preserve">Пенько К. </t>
  </si>
  <si>
    <t>Косарев Евгений</t>
  </si>
  <si>
    <t>Мастера 60-69 (29.03.1961)/60</t>
  </si>
  <si>
    <t>63,60</t>
  </si>
  <si>
    <t>Нашатыркин Александр</t>
  </si>
  <si>
    <t>Мастера 40-49 (20.02.1980)/41</t>
  </si>
  <si>
    <t>70,60</t>
  </si>
  <si>
    <t xml:space="preserve">Петрокович Н. </t>
  </si>
  <si>
    <t>Груничев Вячеслав</t>
  </si>
  <si>
    <t>Мастера 80+ (22.06.1939)/82</t>
  </si>
  <si>
    <t>30,0</t>
  </si>
  <si>
    <t>32,5</t>
  </si>
  <si>
    <t>Гвоздев Георгий</t>
  </si>
  <si>
    <t>Мастера 60-69 (26.04.1959)/62</t>
  </si>
  <si>
    <t>82,50</t>
  </si>
  <si>
    <t>Аркадьев Анатолий</t>
  </si>
  <si>
    <t>Мастера 60-69 (17.08.1954)/67</t>
  </si>
  <si>
    <t>81,90</t>
  </si>
  <si>
    <t>Леднев Александр</t>
  </si>
  <si>
    <t>Мастера 40-49 (02.05.1973)/48</t>
  </si>
  <si>
    <t>84,40</t>
  </si>
  <si>
    <t>Петрокович Николай</t>
  </si>
  <si>
    <t>Мастера 40-49 (17.08.1979)/42</t>
  </si>
  <si>
    <t>87,50</t>
  </si>
  <si>
    <t>Пурышев Иван</t>
  </si>
  <si>
    <t>Мастера 40-49 (03.05.1980)/41</t>
  </si>
  <si>
    <t>97,80</t>
  </si>
  <si>
    <t>Ковалев Сергей</t>
  </si>
  <si>
    <t>Мастера 50-59 (22.05.1969)/52</t>
  </si>
  <si>
    <t>Аристов Олег</t>
  </si>
  <si>
    <t>Мастера 60-69 (08.03.1954)/67</t>
  </si>
  <si>
    <t>92,60</t>
  </si>
  <si>
    <t>Горюнов Артем</t>
  </si>
  <si>
    <t>Открытая (27.08.1983)/38</t>
  </si>
  <si>
    <t>108,20</t>
  </si>
  <si>
    <t>105,6657</t>
  </si>
  <si>
    <t>103,2617</t>
  </si>
  <si>
    <t>99,9321</t>
  </si>
  <si>
    <t>Жим стоя</t>
  </si>
  <si>
    <t>Родин Андрей</t>
  </si>
  <si>
    <t>86,0</t>
  </si>
  <si>
    <t>63,0</t>
  </si>
  <si>
    <t>Горшков Виталий</t>
  </si>
  <si>
    <t>93,90</t>
  </si>
  <si>
    <t>Seferlis Dimitrios</t>
  </si>
  <si>
    <t>Открытая (23.05.1997)/24</t>
  </si>
  <si>
    <t>100,90</t>
  </si>
  <si>
    <t>Жемаркин Дмитрий</t>
  </si>
  <si>
    <t>Открытая (29.01.1997)/24</t>
  </si>
  <si>
    <t>123,50</t>
  </si>
  <si>
    <t>73,0</t>
  </si>
  <si>
    <t>Guliaeva Iana</t>
  </si>
  <si>
    <t>Открытая (21.02.1987)/34</t>
  </si>
  <si>
    <t>60,00</t>
  </si>
  <si>
    <t>25,0</t>
  </si>
  <si>
    <t xml:space="preserve">Горшков В. </t>
  </si>
  <si>
    <t>Подошевкина Инна</t>
  </si>
  <si>
    <t>64,50</t>
  </si>
  <si>
    <t>35,0</t>
  </si>
  <si>
    <t>Грешняков Артём</t>
  </si>
  <si>
    <t>64,90</t>
  </si>
  <si>
    <t>Нагоев Заур</t>
  </si>
  <si>
    <t>Открытая (14.08.1988)/33</t>
  </si>
  <si>
    <t>73,90</t>
  </si>
  <si>
    <t>Сакович Олег</t>
  </si>
  <si>
    <t>Открытая (21.08.1992)/29</t>
  </si>
  <si>
    <t>96,0</t>
  </si>
  <si>
    <t>Волков Максим</t>
  </si>
  <si>
    <t>Открытая (17.10.1973)/47</t>
  </si>
  <si>
    <t>Пенько Константин</t>
  </si>
  <si>
    <t>Talman Viktor</t>
  </si>
  <si>
    <t>Открытая (16.08.1991)/30</t>
  </si>
  <si>
    <t>89,50</t>
  </si>
  <si>
    <t xml:space="preserve">BLR/Минск </t>
  </si>
  <si>
    <t>Темиров Хуршед</t>
  </si>
  <si>
    <t>92,90</t>
  </si>
  <si>
    <t>Смирнов Леонид</t>
  </si>
  <si>
    <t>Мастера 60+ (26.09.1957)/64</t>
  </si>
  <si>
    <t>92,70</t>
  </si>
  <si>
    <t>Кушнир Владимир</t>
  </si>
  <si>
    <t>Открытая (22.03.1977)/44</t>
  </si>
  <si>
    <t>108,00</t>
  </si>
  <si>
    <t>62,8485</t>
  </si>
  <si>
    <t>57,4560</t>
  </si>
  <si>
    <t>48,0675</t>
  </si>
  <si>
    <t>Валиванский Владимир</t>
  </si>
  <si>
    <t>Щербаков Иван</t>
  </si>
  <si>
    <t>Открытая (26.09.2002)/19</t>
  </si>
  <si>
    <t>58,60</t>
  </si>
  <si>
    <t>58,0</t>
  </si>
  <si>
    <t xml:space="preserve">Щербаков Е. </t>
  </si>
  <si>
    <t>Горшков Иван</t>
  </si>
  <si>
    <t xml:space="preserve">Изотов С. </t>
  </si>
  <si>
    <t>Шафарук Дмитрий</t>
  </si>
  <si>
    <t>66,70</t>
  </si>
  <si>
    <t xml:space="preserve">Кок Д. </t>
  </si>
  <si>
    <t>Качалин Андрей</t>
  </si>
  <si>
    <t>Открытая (14.10.1997)/23</t>
  </si>
  <si>
    <t>72,30</t>
  </si>
  <si>
    <t>86,5</t>
  </si>
  <si>
    <t>Юмшанов Дмитрий</t>
  </si>
  <si>
    <t>73,80</t>
  </si>
  <si>
    <t>Моргунов Сергей</t>
  </si>
  <si>
    <t>53,0</t>
  </si>
  <si>
    <t>Пронишев Евгений</t>
  </si>
  <si>
    <t xml:space="preserve">Леонов П. </t>
  </si>
  <si>
    <t>Лалас Сергей</t>
  </si>
  <si>
    <t>Открытая (10.05.1985)/36</t>
  </si>
  <si>
    <t>88,20</t>
  </si>
  <si>
    <t>Мельяновский Александр</t>
  </si>
  <si>
    <t>Открытая (05.04.1978)/43</t>
  </si>
  <si>
    <t>Спиридонов Павел</t>
  </si>
  <si>
    <t>105,90</t>
  </si>
  <si>
    <t xml:space="preserve">Никифоров Д. </t>
  </si>
  <si>
    <t>Болдырев Сергей</t>
  </si>
  <si>
    <t>97,00</t>
  </si>
  <si>
    <t>Халилова Диана</t>
  </si>
  <si>
    <t>Открытая (24.03.1991)/30</t>
  </si>
  <si>
    <t>56,80</t>
  </si>
  <si>
    <t>43,0</t>
  </si>
  <si>
    <t xml:space="preserve">Сакович О. </t>
  </si>
  <si>
    <t>Воронин Денис</t>
  </si>
  <si>
    <t>Открытая (20.02.1992)/29</t>
  </si>
  <si>
    <t>88,60</t>
  </si>
  <si>
    <t>Магеррамов Руслан</t>
  </si>
  <si>
    <t>86,70</t>
  </si>
  <si>
    <t>Тяга</t>
  </si>
  <si>
    <t>Юноши 13-19 (03.11.2006)/14</t>
  </si>
  <si>
    <t>Мастера 40-49 (22.03.1977)/44</t>
  </si>
  <si>
    <t>Мастера 50-59 (02.09.1971)/50</t>
  </si>
  <si>
    <t>Мастера 40-49 (14.12.1976)/44</t>
  </si>
  <si>
    <t>Мастера 40-49 (22.04.1978)/43</t>
  </si>
  <si>
    <t>Мастера 40-49 (19.12.1978)/42</t>
  </si>
  <si>
    <t>Юноши 13-19 (23.06.2003)/18</t>
  </si>
  <si>
    <t>Юноши 13-19 (12.02.2007)/14</t>
  </si>
  <si>
    <t>Юноши 13-19 (16.02.2006)/15</t>
  </si>
  <si>
    <t>Юниоры 20-23 (28.02.2001)/20</t>
  </si>
  <si>
    <t>Мастера 40-49 (27.02.1980)/41</t>
  </si>
  <si>
    <t>Мастера 50-59 (30.05.1968)/53</t>
  </si>
  <si>
    <t>Мастера 40-49 (26.04.1978)/43</t>
  </si>
  <si>
    <t>Мастера 40-49 (05.04.1978)/43</t>
  </si>
  <si>
    <t>Юниоры 20-23 (17.03.1999)/22</t>
  </si>
  <si>
    <t>Мастера 40-49 (09.01.1981)/40</t>
  </si>
  <si>
    <t>Мастера 40-49 (17.10.1973)/47</t>
  </si>
  <si>
    <t>Мастера 50-59 (10.05.1962)/59</t>
  </si>
  <si>
    <t>Мастера 50-59 (09.03.1968)/53</t>
  </si>
  <si>
    <t>Всероссийский мастерский турнир
СПР Пауэрспорт ДК
Долгопрудный/Московская область, 3 октября 2021 года</t>
  </si>
  <si>
    <t>Всероссийский мастерский турнир
СПР Пауэрспорт
Долгопрудный/Московская область, 3 октября 2021 года</t>
  </si>
  <si>
    <t>Всероссийский мастерский турнир
СПР Строгий подъем штанги на бицепс ДК
Долгопрудный/Московская область, 3 октября 2021 года</t>
  </si>
  <si>
    <t>Всероссийский мастерский турнир
СПР Строгий подъем штанги на бицепс
Долгопрудный/Московская область, 3 октября 2021 года</t>
  </si>
  <si>
    <t>Всероссийский мастерский турнир
СПР Жим штанги стоя ДК
Долгопрудный/Московская область, 3 октября 2021 года</t>
  </si>
  <si>
    <t>Всероссийский мастерский турнир
СПР Жим штанги стоя
Долгопрудный/Московская область, 3 октября 2021 года</t>
  </si>
  <si>
    <t>Всероссийский мастерский турнир
СПР Жим лежа СФО
Долгопрудный/Московская область, 3 октября 2021 года</t>
  </si>
  <si>
    <t>Всероссийский мастерский турнир
СПР Жим лежа в многопетельной софт экипировке ДК
Долгопрудный/Московская область, 3 октября 2021 года</t>
  </si>
  <si>
    <t>Всероссийский мастерский турнир
СПР Жим лежа в однопетельной софт экипировке ДК
Долгопрудный/Московская область, 3 октября 2021 года</t>
  </si>
  <si>
    <t>Всероссийский мастерский турнир
СПР Жим лежа в однопетельной софт экипировке
Долгопрудный/Московская область, 3 октября 2021 года</t>
  </si>
  <si>
    <t>Весовая категория</t>
  </si>
  <si>
    <t xml:space="preserve">Исачкин И. </t>
  </si>
  <si>
    <t>Васильев А.</t>
  </si>
  <si>
    <t>Подошевкин Н.</t>
  </si>
  <si>
    <t xml:space="preserve">Манюк А. </t>
  </si>
  <si>
    <t xml:space="preserve">Васильев А. </t>
  </si>
  <si>
    <t xml:space="preserve">Москва </t>
  </si>
  <si>
    <t xml:space="preserve">Люберцы </t>
  </si>
  <si>
    <t xml:space="preserve">Мытищи </t>
  </si>
  <si>
    <t xml:space="preserve">Чехов </t>
  </si>
  <si>
    <t xml:space="preserve">Лосино-Петровский </t>
  </si>
  <si>
    <t xml:space="preserve">Родники </t>
  </si>
  <si>
    <t xml:space="preserve">Вичуга </t>
  </si>
  <si>
    <t xml:space="preserve">Зеленоград </t>
  </si>
  <si>
    <t xml:space="preserve">Новописцово </t>
  </si>
  <si>
    <t xml:space="preserve">Серпухов </t>
  </si>
  <si>
    <t xml:space="preserve">Кохма </t>
  </si>
  <si>
    <t xml:space="preserve">Вологда </t>
  </si>
  <si>
    <t xml:space="preserve">Ногинск </t>
  </si>
  <si>
    <t xml:space="preserve">Сыктывкар </t>
  </si>
  <si>
    <t xml:space="preserve">Лобня </t>
  </si>
  <si>
    <t xml:space="preserve">Брянск </t>
  </si>
  <si>
    <t xml:space="preserve">Моздок </t>
  </si>
  <si>
    <t xml:space="preserve">Истра </t>
  </si>
  <si>
    <t xml:space="preserve">Ивантеевка </t>
  </si>
  <si>
    <t xml:space="preserve">Киров </t>
  </si>
  <si>
    <t xml:space="preserve">Монино </t>
  </si>
  <si>
    <t xml:space="preserve">Рязань </t>
  </si>
  <si>
    <t xml:space="preserve">Щёлково </t>
  </si>
  <si>
    <t xml:space="preserve">Балашиха </t>
  </si>
  <si>
    <t xml:space="preserve">Зеленоградск </t>
  </si>
  <si>
    <t xml:space="preserve">Долгопрудный </t>
  </si>
  <si>
    <t xml:space="preserve">Иркутск </t>
  </si>
  <si>
    <t>№</t>
  </si>
  <si>
    <t>Жим</t>
  </si>
  <si>
    <t xml:space="preserve">
Дата рождения/Возраст</t>
  </si>
  <si>
    <t>Возрастная группа</t>
  </si>
  <si>
    <t>O</t>
  </si>
  <si>
    <t>M2</t>
  </si>
  <si>
    <t>M3</t>
  </si>
  <si>
    <t>M4</t>
  </si>
  <si>
    <t>M1</t>
  </si>
  <si>
    <t>M5</t>
  </si>
  <si>
    <t>T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</si>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</sst>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16"/>
  <sheetViews>
    <sheetView workbookViewId="0">
      <selection activeCell="E15" sqref="E15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4.1640625" style="5" customWidth="1"/>
    <col min="14" max="16384" width="9.1640625" style="3"/>
  </cols>
  <sheetData>
    <row r="1" spans="1:13" s="2" customFormat="1" ht="29" customHeight="1">
      <c r="A1" s="35" t="s">
        <v>304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339</v>
      </c>
      <c r="B3" s="29" t="s">
        <v>0</v>
      </c>
      <c r="C3" s="45" t="s">
        <v>341</v>
      </c>
      <c r="D3" s="45" t="s">
        <v>5</v>
      </c>
      <c r="E3" s="33" t="s">
        <v>342</v>
      </c>
      <c r="F3" s="33" t="s">
        <v>6</v>
      </c>
      <c r="G3" s="33" t="s">
        <v>7</v>
      </c>
      <c r="H3" s="33"/>
      <c r="I3" s="33"/>
      <c r="J3" s="33"/>
      <c r="K3" s="33" t="s">
        <v>89</v>
      </c>
      <c r="L3" s="33" t="s">
        <v>3</v>
      </c>
      <c r="M3" s="46" t="s">
        <v>2</v>
      </c>
    </row>
    <row r="4" spans="1:13" s="1" customFormat="1" ht="21" customHeight="1" thickBot="1">
      <c r="A4" s="44"/>
      <c r="B4" s="30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47"/>
    </row>
    <row r="5" spans="1:13" ht="16">
      <c r="A5" s="31" t="s">
        <v>38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12" t="s">
        <v>71</v>
      </c>
      <c r="B6" s="11" t="s">
        <v>114</v>
      </c>
      <c r="C6" s="11" t="s">
        <v>115</v>
      </c>
      <c r="D6" s="11" t="s">
        <v>116</v>
      </c>
      <c r="E6" s="11" t="s">
        <v>343</v>
      </c>
      <c r="F6" s="11" t="s">
        <v>312</v>
      </c>
      <c r="G6" s="23" t="s">
        <v>60</v>
      </c>
      <c r="H6" s="25" t="s">
        <v>60</v>
      </c>
      <c r="I6" s="23" t="s">
        <v>49</v>
      </c>
      <c r="J6" s="12"/>
      <c r="K6" s="12" t="str">
        <f>"212,5"</f>
        <v>212,5</v>
      </c>
      <c r="L6" s="12" t="str">
        <f>"147,0394"</f>
        <v>147,0394</v>
      </c>
      <c r="M6" s="11" t="s">
        <v>117</v>
      </c>
    </row>
    <row r="7" spans="1:13">
      <c r="B7" s="5" t="s">
        <v>73</v>
      </c>
    </row>
    <row r="8" spans="1:13" ht="16">
      <c r="A8" s="28" t="s">
        <v>45</v>
      </c>
      <c r="B8" s="28"/>
      <c r="C8" s="28"/>
      <c r="D8" s="28"/>
      <c r="E8" s="28"/>
      <c r="F8" s="28"/>
      <c r="G8" s="28"/>
      <c r="H8" s="28"/>
      <c r="I8" s="28"/>
      <c r="J8" s="28"/>
    </row>
    <row r="9" spans="1:13">
      <c r="A9" s="12" t="s">
        <v>71</v>
      </c>
      <c r="B9" s="11" t="s">
        <v>118</v>
      </c>
      <c r="C9" s="11" t="s">
        <v>119</v>
      </c>
      <c r="D9" s="11" t="s">
        <v>99</v>
      </c>
      <c r="E9" s="11" t="s">
        <v>343</v>
      </c>
      <c r="F9" s="11" t="s">
        <v>313</v>
      </c>
      <c r="G9" s="25" t="s">
        <v>42</v>
      </c>
      <c r="H9" s="25" t="s">
        <v>47</v>
      </c>
      <c r="I9" s="23" t="s">
        <v>44</v>
      </c>
      <c r="J9" s="12"/>
      <c r="K9" s="12" t="str">
        <f>"175,0"</f>
        <v>175,0</v>
      </c>
      <c r="L9" s="12" t="str">
        <f>"113,5225"</f>
        <v>113,5225</v>
      </c>
      <c r="M9" s="11" t="s">
        <v>120</v>
      </c>
    </row>
    <row r="10" spans="1:13">
      <c r="B10" s="5" t="s">
        <v>73</v>
      </c>
    </row>
    <row r="11" spans="1:13" ht="16">
      <c r="A11" s="28" t="s">
        <v>57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3">
      <c r="A12" s="12" t="s">
        <v>71</v>
      </c>
      <c r="B12" s="11" t="s">
        <v>121</v>
      </c>
      <c r="C12" s="11" t="s">
        <v>122</v>
      </c>
      <c r="D12" s="11" t="s">
        <v>123</v>
      </c>
      <c r="E12" s="11" t="s">
        <v>343</v>
      </c>
      <c r="F12" s="11" t="s">
        <v>314</v>
      </c>
      <c r="G12" s="25" t="s">
        <v>40</v>
      </c>
      <c r="H12" s="25" t="s">
        <v>41</v>
      </c>
      <c r="I12" s="23" t="s">
        <v>87</v>
      </c>
      <c r="J12" s="12"/>
      <c r="K12" s="12" t="str">
        <f>"200,0"</f>
        <v>200,0</v>
      </c>
      <c r="L12" s="12" t="str">
        <f>"114,5500"</f>
        <v>114,5500</v>
      </c>
      <c r="M12" s="11"/>
    </row>
    <row r="13" spans="1:13">
      <c r="B13" s="5" t="s">
        <v>73</v>
      </c>
    </row>
    <row r="14" spans="1:13" ht="16">
      <c r="A14" s="28" t="s">
        <v>58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3">
      <c r="A15" s="12" t="s">
        <v>71</v>
      </c>
      <c r="B15" s="11" t="s">
        <v>124</v>
      </c>
      <c r="C15" s="11" t="s">
        <v>295</v>
      </c>
      <c r="D15" s="11" t="s">
        <v>125</v>
      </c>
      <c r="E15" s="11" t="s">
        <v>344</v>
      </c>
      <c r="F15" s="11" t="s">
        <v>315</v>
      </c>
      <c r="G15" s="25" t="s">
        <v>79</v>
      </c>
      <c r="H15" s="23" t="s">
        <v>52</v>
      </c>
      <c r="I15" s="23" t="s">
        <v>126</v>
      </c>
      <c r="J15" s="12"/>
      <c r="K15" s="12" t="str">
        <f>"230,0"</f>
        <v>230,0</v>
      </c>
      <c r="L15" s="12" t="str">
        <f>"151,2602"</f>
        <v>151,2602</v>
      </c>
      <c r="M15" s="11"/>
    </row>
    <row r="16" spans="1:13">
      <c r="B16" s="5" t="s">
        <v>73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46"/>
  <sheetViews>
    <sheetView tabSelected="1" workbookViewId="0">
      <selection activeCell="E37" sqref="E37"/>
    </sheetView>
  </sheetViews>
  <sheetFormatPr baseColWidth="10" defaultColWidth="9.1640625" defaultRowHeight="13"/>
  <cols>
    <col min="1" max="1" width="7.5" style="5" bestFit="1" customWidth="1"/>
    <col min="2" max="2" width="24.16406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4.3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0.5" style="5" bestFit="1" customWidth="1"/>
    <col min="14" max="16384" width="9.1640625" style="3"/>
  </cols>
  <sheetData>
    <row r="1" spans="1:13" s="2" customFormat="1" ht="29" customHeight="1">
      <c r="A1" s="35" t="s">
        <v>299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339</v>
      </c>
      <c r="B3" s="29" t="s">
        <v>0</v>
      </c>
      <c r="C3" s="45" t="s">
        <v>341</v>
      </c>
      <c r="D3" s="45" t="s">
        <v>5</v>
      </c>
      <c r="E3" s="33" t="s">
        <v>342</v>
      </c>
      <c r="F3" s="33" t="s">
        <v>6</v>
      </c>
      <c r="G3" s="33" t="s">
        <v>340</v>
      </c>
      <c r="H3" s="33"/>
      <c r="I3" s="33"/>
      <c r="J3" s="33"/>
      <c r="K3" s="33" t="s">
        <v>89</v>
      </c>
      <c r="L3" s="33" t="s">
        <v>3</v>
      </c>
      <c r="M3" s="46" t="s">
        <v>2</v>
      </c>
    </row>
    <row r="4" spans="1:13" s="1" customFormat="1" ht="21" customHeight="1" thickBot="1">
      <c r="A4" s="44"/>
      <c r="B4" s="30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47"/>
    </row>
    <row r="5" spans="1:13" ht="16">
      <c r="A5" s="31" t="s">
        <v>32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12" t="s">
        <v>71</v>
      </c>
      <c r="B6" s="11" t="s">
        <v>201</v>
      </c>
      <c r="C6" s="11" t="s">
        <v>202</v>
      </c>
      <c r="D6" s="11" t="s">
        <v>203</v>
      </c>
      <c r="E6" s="11" t="s">
        <v>343</v>
      </c>
      <c r="F6" s="11" t="s">
        <v>323</v>
      </c>
      <c r="G6" s="25" t="s">
        <v>204</v>
      </c>
      <c r="H6" s="25" t="s">
        <v>160</v>
      </c>
      <c r="I6" s="23" t="s">
        <v>161</v>
      </c>
      <c r="J6" s="12"/>
      <c r="K6" s="12" t="str">
        <f>"30,0"</f>
        <v>30,0</v>
      </c>
      <c r="L6" s="12" t="str">
        <f>"29,6280"</f>
        <v>29,6280</v>
      </c>
      <c r="M6" s="11" t="s">
        <v>205</v>
      </c>
    </row>
    <row r="7" spans="1:13">
      <c r="B7" s="5" t="s">
        <v>73</v>
      </c>
    </row>
    <row r="8" spans="1:13" ht="16">
      <c r="A8" s="28" t="s">
        <v>35</v>
      </c>
      <c r="B8" s="28"/>
      <c r="C8" s="28"/>
      <c r="D8" s="28"/>
      <c r="E8" s="28"/>
      <c r="F8" s="28"/>
      <c r="G8" s="28"/>
      <c r="H8" s="28"/>
      <c r="I8" s="28"/>
      <c r="J8" s="28"/>
    </row>
    <row r="9" spans="1:13">
      <c r="A9" s="12" t="s">
        <v>71</v>
      </c>
      <c r="B9" s="11" t="s">
        <v>206</v>
      </c>
      <c r="C9" s="11" t="s">
        <v>292</v>
      </c>
      <c r="D9" s="11" t="s">
        <v>207</v>
      </c>
      <c r="E9" s="11" t="s">
        <v>347</v>
      </c>
      <c r="F9" s="11" t="s">
        <v>334</v>
      </c>
      <c r="G9" s="25" t="s">
        <v>208</v>
      </c>
      <c r="H9" s="23" t="s">
        <v>80</v>
      </c>
      <c r="I9" s="23" t="s">
        <v>80</v>
      </c>
      <c r="J9" s="12"/>
      <c r="K9" s="12" t="str">
        <f>"35,0"</f>
        <v>35,0</v>
      </c>
      <c r="L9" s="12" t="str">
        <f>"32,6305"</f>
        <v>32,6305</v>
      </c>
      <c r="M9" s="11" t="s">
        <v>309</v>
      </c>
    </row>
    <row r="10" spans="1:13">
      <c r="B10" s="5" t="s">
        <v>73</v>
      </c>
    </row>
    <row r="11" spans="1:13" ht="16">
      <c r="A11" s="28" t="s">
        <v>35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3">
      <c r="A12" s="12" t="s">
        <v>71</v>
      </c>
      <c r="B12" s="11" t="s">
        <v>209</v>
      </c>
      <c r="C12" s="11" t="s">
        <v>277</v>
      </c>
      <c r="D12" s="11" t="s">
        <v>210</v>
      </c>
      <c r="E12" s="11" t="s">
        <v>349</v>
      </c>
      <c r="F12" s="11" t="s">
        <v>312</v>
      </c>
      <c r="G12" s="25" t="s">
        <v>80</v>
      </c>
      <c r="H12" s="23" t="s">
        <v>36</v>
      </c>
      <c r="I12" s="23" t="s">
        <v>36</v>
      </c>
      <c r="J12" s="12"/>
      <c r="K12" s="12" t="str">
        <f>"42,5"</f>
        <v>42,5</v>
      </c>
      <c r="L12" s="12" t="str">
        <f>"32,9077"</f>
        <v>32,9077</v>
      </c>
      <c r="M12" s="11" t="s">
        <v>95</v>
      </c>
    </row>
    <row r="13" spans="1:13">
      <c r="B13" s="5" t="s">
        <v>73</v>
      </c>
    </row>
    <row r="14" spans="1:13" ht="16">
      <c r="A14" s="28" t="s">
        <v>38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3">
      <c r="A15" s="12" t="s">
        <v>71</v>
      </c>
      <c r="B15" s="11" t="s">
        <v>211</v>
      </c>
      <c r="C15" s="11" t="s">
        <v>212</v>
      </c>
      <c r="D15" s="11" t="s">
        <v>213</v>
      </c>
      <c r="E15" s="11" t="s">
        <v>343</v>
      </c>
      <c r="F15" s="11" t="s">
        <v>335</v>
      </c>
      <c r="G15" s="25" t="s">
        <v>20</v>
      </c>
      <c r="H15" s="25" t="s">
        <v>11</v>
      </c>
      <c r="I15" s="23" t="s">
        <v>92</v>
      </c>
      <c r="J15" s="12"/>
      <c r="K15" s="12" t="str">
        <f>"65,0"</f>
        <v>65,0</v>
      </c>
      <c r="L15" s="12" t="str">
        <f>"45,2498"</f>
        <v>45,2498</v>
      </c>
      <c r="M15" s="11"/>
    </row>
    <row r="16" spans="1:13">
      <c r="B16" s="5" t="s">
        <v>73</v>
      </c>
    </row>
    <row r="17" spans="1:13" ht="16">
      <c r="A17" s="28" t="s">
        <v>45</v>
      </c>
      <c r="B17" s="28"/>
      <c r="C17" s="28"/>
      <c r="D17" s="28"/>
      <c r="E17" s="28"/>
      <c r="F17" s="28"/>
      <c r="G17" s="28"/>
      <c r="H17" s="28"/>
      <c r="I17" s="28"/>
      <c r="J17" s="28"/>
    </row>
    <row r="18" spans="1:13">
      <c r="A18" s="8" t="s">
        <v>71</v>
      </c>
      <c r="B18" s="7" t="s">
        <v>214</v>
      </c>
      <c r="C18" s="7" t="s">
        <v>215</v>
      </c>
      <c r="D18" s="7" t="s">
        <v>164</v>
      </c>
      <c r="E18" s="7" t="s">
        <v>343</v>
      </c>
      <c r="F18" s="7" t="s">
        <v>336</v>
      </c>
      <c r="G18" s="20" t="s">
        <v>25</v>
      </c>
      <c r="H18" s="24" t="s">
        <v>216</v>
      </c>
      <c r="I18" s="20" t="s">
        <v>96</v>
      </c>
      <c r="J18" s="8"/>
      <c r="K18" s="8" t="str">
        <f>"97,5"</f>
        <v>97,5</v>
      </c>
      <c r="L18" s="8" t="str">
        <f>"62,8485"</f>
        <v>62,8485</v>
      </c>
      <c r="M18" s="7"/>
    </row>
    <row r="19" spans="1:13">
      <c r="A19" s="14" t="s">
        <v>72</v>
      </c>
      <c r="B19" s="13" t="s">
        <v>217</v>
      </c>
      <c r="C19" s="13" t="s">
        <v>218</v>
      </c>
      <c r="D19" s="13" t="s">
        <v>83</v>
      </c>
      <c r="E19" s="13" t="s">
        <v>343</v>
      </c>
      <c r="F19" s="13" t="s">
        <v>337</v>
      </c>
      <c r="G19" s="26" t="s">
        <v>13</v>
      </c>
      <c r="H19" s="27" t="s">
        <v>33</v>
      </c>
      <c r="I19" s="27" t="s">
        <v>33</v>
      </c>
      <c r="J19" s="14"/>
      <c r="K19" s="14" t="str">
        <f>"72,5"</f>
        <v>72,5</v>
      </c>
      <c r="L19" s="14" t="str">
        <f>"46,9184"</f>
        <v>46,9184</v>
      </c>
      <c r="M19" s="13"/>
    </row>
    <row r="20" spans="1:13">
      <c r="A20" s="14" t="s">
        <v>71</v>
      </c>
      <c r="B20" s="13" t="s">
        <v>217</v>
      </c>
      <c r="C20" s="13" t="s">
        <v>293</v>
      </c>
      <c r="D20" s="13" t="s">
        <v>83</v>
      </c>
      <c r="E20" s="13" t="s">
        <v>347</v>
      </c>
      <c r="F20" s="13" t="s">
        <v>337</v>
      </c>
      <c r="G20" s="26" t="s">
        <v>13</v>
      </c>
      <c r="H20" s="27" t="s">
        <v>33</v>
      </c>
      <c r="I20" s="27" t="s">
        <v>33</v>
      </c>
      <c r="J20" s="14"/>
      <c r="K20" s="14" t="str">
        <f>"72,5"</f>
        <v>72,5</v>
      </c>
      <c r="L20" s="14" t="str">
        <f>"50,7657"</f>
        <v>50,7657</v>
      </c>
      <c r="M20" s="13"/>
    </row>
    <row r="21" spans="1:13">
      <c r="A21" s="14" t="s">
        <v>71</v>
      </c>
      <c r="B21" s="13" t="s">
        <v>189</v>
      </c>
      <c r="C21" s="13" t="s">
        <v>279</v>
      </c>
      <c r="D21" s="13" t="s">
        <v>50</v>
      </c>
      <c r="E21" s="13" t="s">
        <v>344</v>
      </c>
      <c r="F21" s="13" t="s">
        <v>312</v>
      </c>
      <c r="G21" s="26" t="s">
        <v>91</v>
      </c>
      <c r="H21" s="26" t="s">
        <v>191</v>
      </c>
      <c r="I21" s="27" t="s">
        <v>12</v>
      </c>
      <c r="J21" s="14"/>
      <c r="K21" s="14" t="str">
        <f>"63,0"</f>
        <v>63,0</v>
      </c>
      <c r="L21" s="14" t="str">
        <f>"45,9247"</f>
        <v>45,9247</v>
      </c>
      <c r="M21" s="13"/>
    </row>
    <row r="22" spans="1:13">
      <c r="A22" s="10" t="s">
        <v>72</v>
      </c>
      <c r="B22" s="9" t="s">
        <v>219</v>
      </c>
      <c r="C22" s="9" t="s">
        <v>294</v>
      </c>
      <c r="D22" s="9" t="s">
        <v>104</v>
      </c>
      <c r="E22" s="9" t="s">
        <v>344</v>
      </c>
      <c r="F22" s="9" t="s">
        <v>319</v>
      </c>
      <c r="G22" s="22" t="s">
        <v>27</v>
      </c>
      <c r="H22" s="22" t="s">
        <v>19</v>
      </c>
      <c r="I22" s="21" t="s">
        <v>20</v>
      </c>
      <c r="J22" s="10"/>
      <c r="K22" s="10" t="str">
        <f>"55,0"</f>
        <v>55,0</v>
      </c>
      <c r="L22" s="10" t="str">
        <f>"47,1812"</f>
        <v>47,1812</v>
      </c>
      <c r="M22" s="9"/>
    </row>
    <row r="23" spans="1:13">
      <c r="B23" s="5" t="s">
        <v>73</v>
      </c>
    </row>
    <row r="24" spans="1:13" ht="16">
      <c r="A24" s="28" t="s">
        <v>37</v>
      </c>
      <c r="B24" s="28"/>
      <c r="C24" s="28"/>
      <c r="D24" s="28"/>
      <c r="E24" s="28"/>
      <c r="F24" s="28"/>
      <c r="G24" s="28"/>
      <c r="H24" s="28"/>
      <c r="I24" s="28"/>
      <c r="J24" s="28"/>
    </row>
    <row r="25" spans="1:13">
      <c r="A25" s="12" t="s">
        <v>71</v>
      </c>
      <c r="B25" s="11" t="s">
        <v>220</v>
      </c>
      <c r="C25" s="11" t="s">
        <v>221</v>
      </c>
      <c r="D25" s="11" t="s">
        <v>222</v>
      </c>
      <c r="E25" s="11" t="s">
        <v>343</v>
      </c>
      <c r="F25" s="11" t="s">
        <v>223</v>
      </c>
      <c r="G25" s="25" t="s">
        <v>11</v>
      </c>
      <c r="H25" s="25" t="s">
        <v>92</v>
      </c>
      <c r="I25" s="23" t="s">
        <v>12</v>
      </c>
      <c r="J25" s="12"/>
      <c r="K25" s="12" t="str">
        <f>"67,5"</f>
        <v>67,5</v>
      </c>
      <c r="L25" s="12" t="str">
        <f>"41,4281"</f>
        <v>41,4281</v>
      </c>
      <c r="M25" s="11" t="s">
        <v>310</v>
      </c>
    </row>
    <row r="26" spans="1:13">
      <c r="B26" s="5" t="s">
        <v>73</v>
      </c>
    </row>
    <row r="27" spans="1:13" ht="16">
      <c r="A27" s="28" t="s">
        <v>56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3">
      <c r="A28" s="8" t="s">
        <v>71</v>
      </c>
      <c r="B28" s="7" t="s">
        <v>224</v>
      </c>
      <c r="C28" s="7" t="s">
        <v>282</v>
      </c>
      <c r="D28" s="7" t="s">
        <v>225</v>
      </c>
      <c r="E28" s="7" t="s">
        <v>347</v>
      </c>
      <c r="F28" s="7" t="s">
        <v>327</v>
      </c>
      <c r="G28" s="20" t="s">
        <v>91</v>
      </c>
      <c r="H28" s="20" t="s">
        <v>20</v>
      </c>
      <c r="I28" s="24" t="s">
        <v>21</v>
      </c>
      <c r="J28" s="8"/>
      <c r="K28" s="8" t="str">
        <f>"60,0"</f>
        <v>60,0</v>
      </c>
      <c r="L28" s="8" t="str">
        <f>"36,8179"</f>
        <v>36,8179</v>
      </c>
      <c r="M28" s="7" t="s">
        <v>311</v>
      </c>
    </row>
    <row r="29" spans="1:13">
      <c r="A29" s="10" t="s">
        <v>71</v>
      </c>
      <c r="B29" s="9" t="s">
        <v>226</v>
      </c>
      <c r="C29" s="9" t="s">
        <v>227</v>
      </c>
      <c r="D29" s="9" t="s">
        <v>228</v>
      </c>
      <c r="E29" s="9" t="s">
        <v>345</v>
      </c>
      <c r="F29" s="9" t="s">
        <v>312</v>
      </c>
      <c r="G29" s="22" t="s">
        <v>36</v>
      </c>
      <c r="H29" s="22" t="s">
        <v>24</v>
      </c>
      <c r="I29" s="21" t="s">
        <v>91</v>
      </c>
      <c r="J29" s="10"/>
      <c r="K29" s="10" t="str">
        <f>"52,5"</f>
        <v>52,5</v>
      </c>
      <c r="L29" s="10" t="str">
        <f>"45,8501"</f>
        <v>45,8501</v>
      </c>
      <c r="M29" s="9"/>
    </row>
    <row r="30" spans="1:13">
      <c r="B30" s="5" t="s">
        <v>73</v>
      </c>
    </row>
    <row r="31" spans="1:13" ht="16">
      <c r="A31" s="28" t="s">
        <v>57</v>
      </c>
      <c r="B31" s="28"/>
      <c r="C31" s="28"/>
      <c r="D31" s="28"/>
      <c r="E31" s="28"/>
      <c r="F31" s="28"/>
      <c r="G31" s="28"/>
      <c r="H31" s="28"/>
      <c r="I31" s="28"/>
      <c r="J31" s="28"/>
    </row>
    <row r="32" spans="1:13">
      <c r="A32" s="8" t="s">
        <v>71</v>
      </c>
      <c r="B32" s="7" t="s">
        <v>229</v>
      </c>
      <c r="C32" s="7" t="s">
        <v>230</v>
      </c>
      <c r="D32" s="7" t="s">
        <v>231</v>
      </c>
      <c r="E32" s="7" t="s">
        <v>343</v>
      </c>
      <c r="F32" s="7" t="s">
        <v>338</v>
      </c>
      <c r="G32" s="20" t="s">
        <v>33</v>
      </c>
      <c r="H32" s="20" t="s">
        <v>34</v>
      </c>
      <c r="I32" s="20" t="s">
        <v>17</v>
      </c>
      <c r="J32" s="8"/>
      <c r="K32" s="8" t="str">
        <f>"85,0"</f>
        <v>85,0</v>
      </c>
      <c r="L32" s="8" t="str">
        <f>"48,0675"</f>
        <v>48,0675</v>
      </c>
      <c r="M32" s="7"/>
    </row>
    <row r="33" spans="1:13">
      <c r="A33" s="10" t="s">
        <v>71</v>
      </c>
      <c r="B33" s="9" t="s">
        <v>229</v>
      </c>
      <c r="C33" s="9" t="s">
        <v>278</v>
      </c>
      <c r="D33" s="9" t="s">
        <v>231</v>
      </c>
      <c r="E33" s="9" t="s">
        <v>347</v>
      </c>
      <c r="F33" s="9" t="s">
        <v>338</v>
      </c>
      <c r="G33" s="22" t="s">
        <v>33</v>
      </c>
      <c r="H33" s="22" t="s">
        <v>34</v>
      </c>
      <c r="I33" s="22" t="s">
        <v>17</v>
      </c>
      <c r="J33" s="10"/>
      <c r="K33" s="10" t="str">
        <f>"85,0"</f>
        <v>85,0</v>
      </c>
      <c r="L33" s="10" t="str">
        <f>"50,1344"</f>
        <v>50,1344</v>
      </c>
      <c r="M33" s="9"/>
    </row>
    <row r="34" spans="1:13">
      <c r="B34" s="5" t="s">
        <v>73</v>
      </c>
    </row>
    <row r="35" spans="1:13" ht="16">
      <c r="A35" s="28" t="s">
        <v>58</v>
      </c>
      <c r="B35" s="28"/>
      <c r="C35" s="28"/>
      <c r="D35" s="28"/>
      <c r="E35" s="28"/>
      <c r="F35" s="28"/>
      <c r="G35" s="28"/>
      <c r="H35" s="28"/>
      <c r="I35" s="28"/>
      <c r="J35" s="28"/>
    </row>
    <row r="36" spans="1:13">
      <c r="A36" s="12" t="s">
        <v>71</v>
      </c>
      <c r="B36" s="11" t="s">
        <v>197</v>
      </c>
      <c r="C36" s="11" t="s">
        <v>198</v>
      </c>
      <c r="D36" s="11" t="s">
        <v>199</v>
      </c>
      <c r="E36" s="11" t="s">
        <v>343</v>
      </c>
      <c r="F36" s="11" t="s">
        <v>321</v>
      </c>
      <c r="G36" s="25" t="s">
        <v>29</v>
      </c>
      <c r="H36" s="25" t="s">
        <v>8</v>
      </c>
      <c r="I36" s="23" t="s">
        <v>81</v>
      </c>
      <c r="J36" s="12"/>
      <c r="K36" s="12" t="str">
        <f>"105,0"</f>
        <v>105,0</v>
      </c>
      <c r="L36" s="12" t="str">
        <f>"57,4560"</f>
        <v>57,4560</v>
      </c>
      <c r="M36" s="11"/>
    </row>
    <row r="37" spans="1:13">
      <c r="B37" s="5" t="s">
        <v>73</v>
      </c>
    </row>
    <row r="38" spans="1:13">
      <c r="B38" s="5" t="s">
        <v>73</v>
      </c>
    </row>
    <row r="39" spans="1:13">
      <c r="B39" s="5" t="s">
        <v>73</v>
      </c>
    </row>
    <row r="40" spans="1:13" ht="18">
      <c r="B40" s="15" t="s">
        <v>61</v>
      </c>
      <c r="C40" s="15"/>
      <c r="F40" s="3"/>
    </row>
    <row r="41" spans="1:13" ht="16">
      <c r="B41" s="16" t="s">
        <v>65</v>
      </c>
      <c r="C41" s="16"/>
      <c r="F41" s="3"/>
    </row>
    <row r="42" spans="1:13" ht="14">
      <c r="B42" s="17"/>
      <c r="C42" s="18" t="s">
        <v>62</v>
      </c>
      <c r="F42" s="3"/>
    </row>
    <row r="43" spans="1:13" ht="14">
      <c r="B43" s="19" t="s">
        <v>63</v>
      </c>
      <c r="C43" s="19" t="s">
        <v>64</v>
      </c>
      <c r="D43" s="19" t="s">
        <v>306</v>
      </c>
      <c r="E43" s="19" t="s">
        <v>88</v>
      </c>
      <c r="F43" s="19" t="s">
        <v>113</v>
      </c>
    </row>
    <row r="44" spans="1:13">
      <c r="B44" s="5" t="s">
        <v>214</v>
      </c>
      <c r="C44" s="5" t="s">
        <v>62</v>
      </c>
      <c r="D44" s="6" t="s">
        <v>67</v>
      </c>
      <c r="E44" s="6" t="s">
        <v>96</v>
      </c>
      <c r="F44" s="6" t="s">
        <v>232</v>
      </c>
    </row>
    <row r="45" spans="1:13">
      <c r="B45" s="5" t="s">
        <v>197</v>
      </c>
      <c r="C45" s="5" t="s">
        <v>62</v>
      </c>
      <c r="D45" s="6" t="s">
        <v>68</v>
      </c>
      <c r="E45" s="6" t="s">
        <v>8</v>
      </c>
      <c r="F45" s="6" t="s">
        <v>233</v>
      </c>
    </row>
    <row r="46" spans="1:13">
      <c r="B46" s="5" t="s">
        <v>229</v>
      </c>
      <c r="C46" s="5" t="s">
        <v>62</v>
      </c>
      <c r="D46" s="6" t="s">
        <v>85</v>
      </c>
      <c r="E46" s="6" t="s">
        <v>17</v>
      </c>
      <c r="F46" s="6" t="s">
        <v>234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1:J31"/>
    <mergeCell ref="A35:J35"/>
    <mergeCell ref="B3:B4"/>
    <mergeCell ref="A8:J8"/>
    <mergeCell ref="A11:J11"/>
    <mergeCell ref="A14:J14"/>
    <mergeCell ref="A17:J17"/>
    <mergeCell ref="A24:J24"/>
    <mergeCell ref="A27:J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3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35" t="s">
        <v>305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339</v>
      </c>
      <c r="B3" s="29" t="s">
        <v>0</v>
      </c>
      <c r="C3" s="45" t="s">
        <v>341</v>
      </c>
      <c r="D3" s="45" t="s">
        <v>5</v>
      </c>
      <c r="E3" s="33" t="s">
        <v>342</v>
      </c>
      <c r="F3" s="33" t="s">
        <v>6</v>
      </c>
      <c r="G3" s="33" t="s">
        <v>7</v>
      </c>
      <c r="H3" s="33"/>
      <c r="I3" s="33"/>
      <c r="J3" s="33"/>
      <c r="K3" s="33" t="s">
        <v>89</v>
      </c>
      <c r="L3" s="33" t="s">
        <v>3</v>
      </c>
      <c r="M3" s="46" t="s">
        <v>2</v>
      </c>
    </row>
    <row r="4" spans="1:13" s="1" customFormat="1" ht="21" customHeight="1" thickBot="1">
      <c r="A4" s="44"/>
      <c r="B4" s="30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47"/>
    </row>
    <row r="5" spans="1:13" ht="16">
      <c r="A5" s="31" t="s">
        <v>57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12" t="s">
        <v>71</v>
      </c>
      <c r="B6" s="11" t="s">
        <v>108</v>
      </c>
      <c r="C6" s="11" t="s">
        <v>109</v>
      </c>
      <c r="D6" s="11" t="s">
        <v>110</v>
      </c>
      <c r="E6" s="11" t="s">
        <v>343</v>
      </c>
      <c r="F6" s="11" t="s">
        <v>316</v>
      </c>
      <c r="G6" s="25" t="s">
        <v>79</v>
      </c>
      <c r="H6" s="25" t="s">
        <v>111</v>
      </c>
      <c r="I6" s="25" t="s">
        <v>48</v>
      </c>
      <c r="J6" s="12"/>
      <c r="K6" s="12" t="str">
        <f>"260,0"</f>
        <v>260,0</v>
      </c>
      <c r="L6" s="12" t="str">
        <f>"146,9780"</f>
        <v>146,9780</v>
      </c>
      <c r="M6" s="11" t="s">
        <v>112</v>
      </c>
    </row>
    <row r="7" spans="1:13">
      <c r="B7" s="5" t="s">
        <v>73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M10"/>
  <sheetViews>
    <sheetView workbookViewId="0">
      <selection activeCell="F3" sqref="F3:F4"/>
    </sheetView>
  </sheetViews>
  <sheetFormatPr baseColWidth="10" defaultColWidth="9.1640625" defaultRowHeight="13"/>
  <cols>
    <col min="1" max="1" width="7.5" style="5" bestFit="1" customWidth="1"/>
    <col min="2" max="2" width="16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0.8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35" t="s">
        <v>303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339</v>
      </c>
      <c r="B3" s="29" t="s">
        <v>0</v>
      </c>
      <c r="C3" s="45" t="s">
        <v>341</v>
      </c>
      <c r="D3" s="45" t="s">
        <v>5</v>
      </c>
      <c r="E3" s="33" t="s">
        <v>342</v>
      </c>
      <c r="F3" s="33" t="s">
        <v>6</v>
      </c>
      <c r="G3" s="33" t="s">
        <v>7</v>
      </c>
      <c r="H3" s="33"/>
      <c r="I3" s="33"/>
      <c r="J3" s="33"/>
      <c r="K3" s="33" t="s">
        <v>89</v>
      </c>
      <c r="L3" s="33" t="s">
        <v>3</v>
      </c>
      <c r="M3" s="46" t="s">
        <v>2</v>
      </c>
    </row>
    <row r="4" spans="1:13" s="1" customFormat="1" ht="21" customHeight="1" thickBot="1">
      <c r="A4" s="44"/>
      <c r="B4" s="30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47"/>
    </row>
    <row r="5" spans="1:13" ht="16">
      <c r="A5" s="31" t="s">
        <v>38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12" t="s">
        <v>71</v>
      </c>
      <c r="B6" s="11" t="s">
        <v>127</v>
      </c>
      <c r="C6" s="11" t="s">
        <v>128</v>
      </c>
      <c r="D6" s="11" t="s">
        <v>129</v>
      </c>
      <c r="E6" s="11" t="s">
        <v>343</v>
      </c>
      <c r="F6" s="11" t="s">
        <v>312</v>
      </c>
      <c r="G6" s="25" t="s">
        <v>59</v>
      </c>
      <c r="H6" s="25" t="s">
        <v>130</v>
      </c>
      <c r="I6" s="23" t="s">
        <v>131</v>
      </c>
      <c r="J6" s="12"/>
      <c r="K6" s="12" t="str">
        <f>"310,0"</f>
        <v>310,0</v>
      </c>
      <c r="L6" s="12" t="str">
        <f>"216,4730"</f>
        <v>216,4730</v>
      </c>
      <c r="M6" s="11"/>
    </row>
    <row r="7" spans="1:13">
      <c r="B7" s="5" t="s">
        <v>73</v>
      </c>
    </row>
    <row r="8" spans="1:13" ht="16">
      <c r="A8" s="28" t="s">
        <v>57</v>
      </c>
      <c r="B8" s="28"/>
      <c r="C8" s="28"/>
      <c r="D8" s="28"/>
      <c r="E8" s="28"/>
      <c r="F8" s="28"/>
      <c r="G8" s="28"/>
      <c r="H8" s="28"/>
      <c r="I8" s="28"/>
      <c r="J8" s="28"/>
    </row>
    <row r="9" spans="1:13">
      <c r="A9" s="12" t="s">
        <v>71</v>
      </c>
      <c r="B9" s="11" t="s">
        <v>132</v>
      </c>
      <c r="C9" s="11" t="s">
        <v>133</v>
      </c>
      <c r="D9" s="11" t="s">
        <v>134</v>
      </c>
      <c r="E9" s="11" t="s">
        <v>343</v>
      </c>
      <c r="F9" s="11" t="s">
        <v>313</v>
      </c>
      <c r="G9" s="25" t="s">
        <v>78</v>
      </c>
      <c r="H9" s="23" t="s">
        <v>135</v>
      </c>
      <c r="I9" s="23" t="s">
        <v>135</v>
      </c>
      <c r="J9" s="12"/>
      <c r="K9" s="12" t="str">
        <f>"360,0"</f>
        <v>360,0</v>
      </c>
      <c r="L9" s="12" t="str">
        <f>"203,4000"</f>
        <v>203,4000</v>
      </c>
      <c r="M9" s="11"/>
    </row>
    <row r="10" spans="1:13">
      <c r="B10" s="5" t="s">
        <v>73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47"/>
  <sheetViews>
    <sheetView workbookViewId="0">
      <selection activeCell="E37" sqref="E37"/>
    </sheetView>
  </sheetViews>
  <sheetFormatPr baseColWidth="10" defaultColWidth="9.1640625" defaultRowHeight="13"/>
  <cols>
    <col min="1" max="1" width="7.5" style="5" bestFit="1" customWidth="1"/>
    <col min="2" max="2" width="22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5.6640625" style="5" customWidth="1"/>
    <col min="14" max="16384" width="9.1640625" style="3"/>
  </cols>
  <sheetData>
    <row r="1" spans="1:13" s="2" customFormat="1" ht="29" customHeight="1">
      <c r="A1" s="35" t="s">
        <v>302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339</v>
      </c>
      <c r="B3" s="29" t="s">
        <v>0</v>
      </c>
      <c r="C3" s="45" t="s">
        <v>341</v>
      </c>
      <c r="D3" s="45" t="s">
        <v>5</v>
      </c>
      <c r="E3" s="33" t="s">
        <v>342</v>
      </c>
      <c r="F3" s="33" t="s">
        <v>6</v>
      </c>
      <c r="G3" s="33" t="s">
        <v>7</v>
      </c>
      <c r="H3" s="33"/>
      <c r="I3" s="33"/>
      <c r="J3" s="33"/>
      <c r="K3" s="33" t="s">
        <v>89</v>
      </c>
      <c r="L3" s="33" t="s">
        <v>3</v>
      </c>
      <c r="M3" s="46" t="s">
        <v>2</v>
      </c>
    </row>
    <row r="4" spans="1:13" s="1" customFormat="1" ht="21" customHeight="1" thickBot="1">
      <c r="A4" s="44"/>
      <c r="B4" s="30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47"/>
    </row>
    <row r="5" spans="1:13" ht="16">
      <c r="A5" s="31" t="s">
        <v>35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12" t="s">
        <v>71</v>
      </c>
      <c r="B6" s="11" t="s">
        <v>136</v>
      </c>
      <c r="C6" s="11" t="s">
        <v>137</v>
      </c>
      <c r="D6" s="11" t="s">
        <v>138</v>
      </c>
      <c r="E6" s="11" t="s">
        <v>345</v>
      </c>
      <c r="F6" s="11" t="s">
        <v>317</v>
      </c>
      <c r="G6" s="25" t="s">
        <v>90</v>
      </c>
      <c r="H6" s="25" t="s">
        <v>80</v>
      </c>
      <c r="I6" s="23" t="s">
        <v>26</v>
      </c>
      <c r="J6" s="12"/>
      <c r="K6" s="12" t="str">
        <f>"42,5"</f>
        <v>42,5</v>
      </c>
      <c r="L6" s="12" t="str">
        <f>"53,4874"</f>
        <v>53,4874</v>
      </c>
      <c r="M6" s="11" t="s">
        <v>146</v>
      </c>
    </row>
    <row r="7" spans="1:13">
      <c r="B7" s="5" t="s">
        <v>73</v>
      </c>
    </row>
    <row r="8" spans="1:13" ht="16">
      <c r="A8" s="28" t="s">
        <v>45</v>
      </c>
      <c r="B8" s="28"/>
      <c r="C8" s="28"/>
      <c r="D8" s="28"/>
      <c r="E8" s="28"/>
      <c r="F8" s="28"/>
      <c r="G8" s="28"/>
      <c r="H8" s="28"/>
      <c r="I8" s="28"/>
      <c r="J8" s="28"/>
    </row>
    <row r="9" spans="1:13">
      <c r="A9" s="12" t="s">
        <v>71</v>
      </c>
      <c r="B9" s="11" t="s">
        <v>139</v>
      </c>
      <c r="C9" s="11" t="s">
        <v>140</v>
      </c>
      <c r="D9" s="11" t="s">
        <v>141</v>
      </c>
      <c r="E9" s="11" t="s">
        <v>346</v>
      </c>
      <c r="F9" s="11" t="s">
        <v>318</v>
      </c>
      <c r="G9" s="25" t="s">
        <v>24</v>
      </c>
      <c r="H9" s="23" t="s">
        <v>91</v>
      </c>
      <c r="I9" s="23" t="s">
        <v>91</v>
      </c>
      <c r="J9" s="12"/>
      <c r="K9" s="12" t="str">
        <f>"52,5"</f>
        <v>52,5</v>
      </c>
      <c r="L9" s="12" t="str">
        <f>"75,8565"</f>
        <v>75,8565</v>
      </c>
      <c r="M9" s="11" t="s">
        <v>142</v>
      </c>
    </row>
    <row r="10" spans="1:13">
      <c r="B10" s="5" t="s">
        <v>73</v>
      </c>
    </row>
    <row r="11" spans="1:13" ht="16">
      <c r="A11" s="28" t="s">
        <v>143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3">
      <c r="A12" s="12" t="s">
        <v>71</v>
      </c>
      <c r="B12" s="11" t="s">
        <v>144</v>
      </c>
      <c r="C12" s="11" t="s">
        <v>145</v>
      </c>
      <c r="D12" s="11" t="s">
        <v>76</v>
      </c>
      <c r="E12" s="11" t="s">
        <v>345</v>
      </c>
      <c r="F12" s="11" t="s">
        <v>317</v>
      </c>
      <c r="G12" s="25" t="s">
        <v>33</v>
      </c>
      <c r="H12" s="25" t="s">
        <v>30</v>
      </c>
      <c r="I12" s="25" t="s">
        <v>34</v>
      </c>
      <c r="J12" s="12"/>
      <c r="K12" s="12" t="str">
        <f>"80,0"</f>
        <v>80,0</v>
      </c>
      <c r="L12" s="12" t="str">
        <f>"84,9417"</f>
        <v>84,9417</v>
      </c>
      <c r="M12" s="11" t="s">
        <v>146</v>
      </c>
    </row>
    <row r="13" spans="1:13">
      <c r="B13" s="5" t="s">
        <v>73</v>
      </c>
    </row>
    <row r="14" spans="1:13" ht="16">
      <c r="A14" s="28" t="s">
        <v>35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3">
      <c r="A15" s="8" t="s">
        <v>71</v>
      </c>
      <c r="B15" s="7" t="s">
        <v>147</v>
      </c>
      <c r="C15" s="7" t="s">
        <v>148</v>
      </c>
      <c r="D15" s="7" t="s">
        <v>149</v>
      </c>
      <c r="E15" s="7" t="s">
        <v>343</v>
      </c>
      <c r="F15" s="7" t="s">
        <v>319</v>
      </c>
      <c r="G15" s="20" t="s">
        <v>23</v>
      </c>
      <c r="H15" s="24" t="s">
        <v>18</v>
      </c>
      <c r="I15" s="24" t="s">
        <v>18</v>
      </c>
      <c r="J15" s="8"/>
      <c r="K15" s="8" t="str">
        <f>"82,5"</f>
        <v>82,5</v>
      </c>
      <c r="L15" s="8" t="str">
        <f>"64,3252"</f>
        <v>64,3252</v>
      </c>
      <c r="M15" s="7" t="s">
        <v>150</v>
      </c>
    </row>
    <row r="16" spans="1:13">
      <c r="A16" s="10" t="s">
        <v>71</v>
      </c>
      <c r="B16" s="9" t="s">
        <v>151</v>
      </c>
      <c r="C16" s="9" t="s">
        <v>152</v>
      </c>
      <c r="D16" s="9" t="s">
        <v>153</v>
      </c>
      <c r="E16" s="9" t="s">
        <v>345</v>
      </c>
      <c r="F16" s="9" t="s">
        <v>320</v>
      </c>
      <c r="G16" s="22" t="s">
        <v>28</v>
      </c>
      <c r="H16" s="21" t="s">
        <v>29</v>
      </c>
      <c r="I16" s="22" t="s">
        <v>29</v>
      </c>
      <c r="J16" s="10"/>
      <c r="K16" s="10" t="str">
        <f>"100,0"</f>
        <v>100,0</v>
      </c>
      <c r="L16" s="10" t="str">
        <f>"105,6657"</f>
        <v>105,6657</v>
      </c>
      <c r="M16" s="9" t="s">
        <v>146</v>
      </c>
    </row>
    <row r="17" spans="1:13">
      <c r="B17" s="5" t="s">
        <v>73</v>
      </c>
    </row>
    <row r="18" spans="1:13" ht="16">
      <c r="A18" s="28" t="s">
        <v>38</v>
      </c>
      <c r="B18" s="28"/>
      <c r="C18" s="28"/>
      <c r="D18" s="28"/>
      <c r="E18" s="28"/>
      <c r="F18" s="28"/>
      <c r="G18" s="28"/>
      <c r="H18" s="28"/>
      <c r="I18" s="28"/>
      <c r="J18" s="28"/>
    </row>
    <row r="19" spans="1:13">
      <c r="A19" s="8" t="s">
        <v>71</v>
      </c>
      <c r="B19" s="7" t="s">
        <v>154</v>
      </c>
      <c r="C19" s="7" t="s">
        <v>155</v>
      </c>
      <c r="D19" s="7" t="s">
        <v>156</v>
      </c>
      <c r="E19" s="7" t="s">
        <v>347</v>
      </c>
      <c r="F19" s="7" t="s">
        <v>321</v>
      </c>
      <c r="G19" s="20" t="s">
        <v>18</v>
      </c>
      <c r="H19" s="20" t="s">
        <v>29</v>
      </c>
      <c r="I19" s="24" t="s">
        <v>9</v>
      </c>
      <c r="J19" s="8"/>
      <c r="K19" s="8" t="str">
        <f>"100,0"</f>
        <v>100,0</v>
      </c>
      <c r="L19" s="8" t="str">
        <f>"72,8462"</f>
        <v>72,8462</v>
      </c>
      <c r="M19" s="7" t="s">
        <v>157</v>
      </c>
    </row>
    <row r="20" spans="1:13">
      <c r="A20" s="10" t="s">
        <v>71</v>
      </c>
      <c r="B20" s="9" t="s">
        <v>158</v>
      </c>
      <c r="C20" s="9" t="s">
        <v>159</v>
      </c>
      <c r="D20" s="9" t="s">
        <v>106</v>
      </c>
      <c r="E20" s="9" t="s">
        <v>348</v>
      </c>
      <c r="F20" s="9" t="s">
        <v>318</v>
      </c>
      <c r="G20" s="22" t="s">
        <v>160</v>
      </c>
      <c r="H20" s="22" t="s">
        <v>161</v>
      </c>
      <c r="I20" s="21" t="s">
        <v>31</v>
      </c>
      <c r="J20" s="10"/>
      <c r="K20" s="10" t="str">
        <f>"32,5"</f>
        <v>32,5</v>
      </c>
      <c r="L20" s="10" t="str">
        <f>"46,0112"</f>
        <v>46,0112</v>
      </c>
      <c r="M20" s="9" t="s">
        <v>142</v>
      </c>
    </row>
    <row r="21" spans="1:13">
      <c r="B21" s="5" t="s">
        <v>73</v>
      </c>
    </row>
    <row r="22" spans="1:13" ht="16">
      <c r="A22" s="28" t="s">
        <v>45</v>
      </c>
      <c r="B22" s="28"/>
      <c r="C22" s="28"/>
      <c r="D22" s="28"/>
      <c r="E22" s="28"/>
      <c r="F22" s="28"/>
      <c r="G22" s="28"/>
      <c r="H22" s="28"/>
      <c r="I22" s="28"/>
      <c r="J22" s="28"/>
    </row>
    <row r="23" spans="1:13">
      <c r="A23" s="8" t="s">
        <v>71</v>
      </c>
      <c r="B23" s="7" t="s">
        <v>162</v>
      </c>
      <c r="C23" s="7" t="s">
        <v>163</v>
      </c>
      <c r="D23" s="7" t="s">
        <v>164</v>
      </c>
      <c r="E23" s="7" t="s">
        <v>345</v>
      </c>
      <c r="F23" s="7" t="s">
        <v>320</v>
      </c>
      <c r="G23" s="20" t="s">
        <v>8</v>
      </c>
      <c r="H23" s="20" t="s">
        <v>9</v>
      </c>
      <c r="I23" s="20" t="s">
        <v>10</v>
      </c>
      <c r="J23" s="8"/>
      <c r="K23" s="8" t="str">
        <f>"115,0"</f>
        <v>115,0</v>
      </c>
      <c r="L23" s="8" t="str">
        <f>"103,2617"</f>
        <v>103,2617</v>
      </c>
      <c r="M23" s="7" t="s">
        <v>142</v>
      </c>
    </row>
    <row r="24" spans="1:13">
      <c r="A24" s="10" t="s">
        <v>72</v>
      </c>
      <c r="B24" s="9" t="s">
        <v>165</v>
      </c>
      <c r="C24" s="9" t="s">
        <v>166</v>
      </c>
      <c r="D24" s="9" t="s">
        <v>167</v>
      </c>
      <c r="E24" s="9" t="s">
        <v>345</v>
      </c>
      <c r="F24" s="9" t="s">
        <v>318</v>
      </c>
      <c r="G24" s="22" t="s">
        <v>25</v>
      </c>
      <c r="H24" s="22" t="s">
        <v>96</v>
      </c>
      <c r="I24" s="21" t="s">
        <v>97</v>
      </c>
      <c r="J24" s="10"/>
      <c r="K24" s="10" t="str">
        <f>"97,5"</f>
        <v>97,5</v>
      </c>
      <c r="L24" s="10" t="str">
        <f>"97,4341"</f>
        <v>97,4341</v>
      </c>
      <c r="M24" s="9" t="s">
        <v>146</v>
      </c>
    </row>
    <row r="25" spans="1:13">
      <c r="B25" s="5" t="s">
        <v>73</v>
      </c>
    </row>
    <row r="26" spans="1:13" ht="16">
      <c r="A26" s="28" t="s">
        <v>37</v>
      </c>
      <c r="B26" s="28"/>
      <c r="C26" s="28"/>
      <c r="D26" s="28"/>
      <c r="E26" s="28"/>
      <c r="F26" s="28"/>
      <c r="G26" s="28"/>
      <c r="H26" s="28"/>
      <c r="I26" s="28"/>
      <c r="J26" s="28"/>
    </row>
    <row r="27" spans="1:13">
      <c r="A27" s="8" t="s">
        <v>71</v>
      </c>
      <c r="B27" s="7" t="s">
        <v>168</v>
      </c>
      <c r="C27" s="7" t="s">
        <v>169</v>
      </c>
      <c r="D27" s="7" t="s">
        <v>170</v>
      </c>
      <c r="E27" s="7" t="s">
        <v>347</v>
      </c>
      <c r="F27" s="7" t="s">
        <v>318</v>
      </c>
      <c r="G27" s="20" t="s">
        <v>28</v>
      </c>
      <c r="H27" s="20" t="s">
        <v>29</v>
      </c>
      <c r="I27" s="24" t="s">
        <v>8</v>
      </c>
      <c r="J27" s="8"/>
      <c r="K27" s="8" t="str">
        <f>"100,0"</f>
        <v>100,0</v>
      </c>
      <c r="L27" s="8" t="str">
        <f>"69,7034"</f>
        <v>69,7034</v>
      </c>
      <c r="M27" s="7" t="s">
        <v>142</v>
      </c>
    </row>
    <row r="28" spans="1:13">
      <c r="A28" s="10" t="s">
        <v>72</v>
      </c>
      <c r="B28" s="9" t="s">
        <v>171</v>
      </c>
      <c r="C28" s="9" t="s">
        <v>172</v>
      </c>
      <c r="D28" s="9" t="s">
        <v>173</v>
      </c>
      <c r="E28" s="9" t="s">
        <v>347</v>
      </c>
      <c r="F28" s="9" t="s">
        <v>312</v>
      </c>
      <c r="G28" s="22" t="s">
        <v>18</v>
      </c>
      <c r="H28" s="22" t="s">
        <v>29</v>
      </c>
      <c r="I28" s="21" t="s">
        <v>82</v>
      </c>
      <c r="J28" s="10"/>
      <c r="K28" s="10" t="str">
        <f>"100,0"</f>
        <v>100,0</v>
      </c>
      <c r="L28" s="10" t="str">
        <f>"63,4185"</f>
        <v>63,4185</v>
      </c>
      <c r="M28" s="9"/>
    </row>
    <row r="29" spans="1:13">
      <c r="B29" s="5" t="s">
        <v>73</v>
      </c>
    </row>
    <row r="30" spans="1:13" ht="16">
      <c r="A30" s="28" t="s">
        <v>56</v>
      </c>
      <c r="B30" s="28"/>
      <c r="C30" s="28"/>
      <c r="D30" s="28"/>
      <c r="E30" s="28"/>
      <c r="F30" s="28"/>
      <c r="G30" s="28"/>
      <c r="H30" s="28"/>
      <c r="I30" s="28"/>
      <c r="J30" s="28"/>
    </row>
    <row r="31" spans="1:13">
      <c r="A31" s="8" t="s">
        <v>71</v>
      </c>
      <c r="B31" s="7" t="s">
        <v>174</v>
      </c>
      <c r="C31" s="7" t="s">
        <v>175</v>
      </c>
      <c r="D31" s="7" t="s">
        <v>176</v>
      </c>
      <c r="E31" s="7" t="s">
        <v>347</v>
      </c>
      <c r="F31" s="7" t="s">
        <v>318</v>
      </c>
      <c r="G31" s="20" t="s">
        <v>28</v>
      </c>
      <c r="H31" s="20" t="s">
        <v>29</v>
      </c>
      <c r="I31" s="24" t="s">
        <v>97</v>
      </c>
      <c r="J31" s="8"/>
      <c r="K31" s="8" t="str">
        <f>"100,0"</f>
        <v>100,0</v>
      </c>
      <c r="L31" s="8" t="str">
        <f>"59,2820"</f>
        <v>59,2820</v>
      </c>
      <c r="M31" s="7" t="s">
        <v>142</v>
      </c>
    </row>
    <row r="32" spans="1:13">
      <c r="A32" s="14" t="s">
        <v>71</v>
      </c>
      <c r="B32" s="13" t="s">
        <v>177</v>
      </c>
      <c r="C32" s="13" t="s">
        <v>178</v>
      </c>
      <c r="D32" s="13" t="s">
        <v>75</v>
      </c>
      <c r="E32" s="13" t="s">
        <v>344</v>
      </c>
      <c r="F32" s="13" t="s">
        <v>318</v>
      </c>
      <c r="G32" s="26" t="s">
        <v>15</v>
      </c>
      <c r="H32" s="26" t="s">
        <v>16</v>
      </c>
      <c r="I32" s="26" t="s">
        <v>51</v>
      </c>
      <c r="J32" s="14"/>
      <c r="K32" s="14" t="str">
        <f>"147,5"</f>
        <v>147,5</v>
      </c>
      <c r="L32" s="14" t="str">
        <f>"99,9321"</f>
        <v>99,9321</v>
      </c>
      <c r="M32" s="13"/>
    </row>
    <row r="33" spans="1:13">
      <c r="A33" s="10" t="s">
        <v>71</v>
      </c>
      <c r="B33" s="9" t="s">
        <v>179</v>
      </c>
      <c r="C33" s="9" t="s">
        <v>180</v>
      </c>
      <c r="D33" s="9" t="s">
        <v>181</v>
      </c>
      <c r="E33" s="9" t="s">
        <v>345</v>
      </c>
      <c r="F33" s="9" t="s">
        <v>322</v>
      </c>
      <c r="G33" s="22" t="s">
        <v>28</v>
      </c>
      <c r="H33" s="22" t="s">
        <v>29</v>
      </c>
      <c r="I33" s="21" t="s">
        <v>8</v>
      </c>
      <c r="J33" s="10"/>
      <c r="K33" s="10" t="str">
        <f>"100,0"</f>
        <v>100,0</v>
      </c>
      <c r="L33" s="10" t="str">
        <f>"92,9889"</f>
        <v>92,9889</v>
      </c>
      <c r="M33" s="9" t="s">
        <v>146</v>
      </c>
    </row>
    <row r="34" spans="1:13">
      <c r="B34" s="5" t="s">
        <v>73</v>
      </c>
    </row>
    <row r="35" spans="1:13" ht="16">
      <c r="A35" s="28" t="s">
        <v>57</v>
      </c>
      <c r="B35" s="28"/>
      <c r="C35" s="28"/>
      <c r="D35" s="28"/>
      <c r="E35" s="28"/>
      <c r="F35" s="28"/>
      <c r="G35" s="28"/>
      <c r="H35" s="28"/>
      <c r="I35" s="28"/>
      <c r="J35" s="28"/>
    </row>
    <row r="36" spans="1:13">
      <c r="A36" s="12" t="s">
        <v>71</v>
      </c>
      <c r="B36" s="11" t="s">
        <v>182</v>
      </c>
      <c r="C36" s="11" t="s">
        <v>183</v>
      </c>
      <c r="D36" s="11" t="s">
        <v>184</v>
      </c>
      <c r="E36" s="11" t="s">
        <v>343</v>
      </c>
      <c r="F36" s="11" t="s">
        <v>319</v>
      </c>
      <c r="G36" s="25" t="s">
        <v>43</v>
      </c>
      <c r="H36" s="23" t="s">
        <v>14</v>
      </c>
      <c r="I36" s="23" t="s">
        <v>14</v>
      </c>
      <c r="J36" s="12"/>
      <c r="K36" s="12" t="str">
        <f>"125,0"</f>
        <v>125,0</v>
      </c>
      <c r="L36" s="12" t="str">
        <f>"70,6500"</f>
        <v>70,6500</v>
      </c>
      <c r="M36" s="11" t="s">
        <v>150</v>
      </c>
    </row>
    <row r="37" spans="1:13">
      <c r="B37" s="5" t="s">
        <v>73</v>
      </c>
    </row>
    <row r="38" spans="1:13">
      <c r="B38" s="5" t="s">
        <v>73</v>
      </c>
    </row>
    <row r="39" spans="1:13">
      <c r="B39" s="5" t="s">
        <v>73</v>
      </c>
    </row>
    <row r="40" spans="1:13" ht="18">
      <c r="B40" s="15" t="s">
        <v>61</v>
      </c>
      <c r="C40" s="15"/>
      <c r="F40" s="3"/>
    </row>
    <row r="41" spans="1:13" ht="16">
      <c r="B41" s="16" t="s">
        <v>65</v>
      </c>
      <c r="C41" s="16"/>
      <c r="F41" s="3"/>
    </row>
    <row r="42" spans="1:13" ht="14">
      <c r="B42" s="17"/>
      <c r="C42" s="18" t="s">
        <v>69</v>
      </c>
      <c r="F42" s="3"/>
    </row>
    <row r="43" spans="1:13" ht="14">
      <c r="B43" s="19" t="s">
        <v>63</v>
      </c>
      <c r="C43" s="19" t="s">
        <v>64</v>
      </c>
      <c r="D43" s="19" t="s">
        <v>306</v>
      </c>
      <c r="E43" s="19" t="s">
        <v>88</v>
      </c>
      <c r="F43" s="19" t="s">
        <v>113</v>
      </c>
    </row>
    <row r="44" spans="1:13">
      <c r="B44" s="5" t="s">
        <v>151</v>
      </c>
      <c r="C44" s="5" t="s">
        <v>70</v>
      </c>
      <c r="D44" s="6" t="s">
        <v>84</v>
      </c>
      <c r="E44" s="6" t="s">
        <v>29</v>
      </c>
      <c r="F44" s="6" t="s">
        <v>185</v>
      </c>
    </row>
    <row r="45" spans="1:13">
      <c r="B45" s="5" t="s">
        <v>162</v>
      </c>
      <c r="C45" s="5" t="s">
        <v>70</v>
      </c>
      <c r="D45" s="6" t="s">
        <v>67</v>
      </c>
      <c r="E45" s="6" t="s">
        <v>10</v>
      </c>
      <c r="F45" s="6" t="s">
        <v>186</v>
      </c>
    </row>
    <row r="46" spans="1:13">
      <c r="B46" s="5" t="s">
        <v>177</v>
      </c>
      <c r="C46" s="5" t="s">
        <v>86</v>
      </c>
      <c r="D46" s="6" t="s">
        <v>66</v>
      </c>
      <c r="E46" s="6" t="s">
        <v>51</v>
      </c>
      <c r="F46" s="6" t="s">
        <v>187</v>
      </c>
    </row>
    <row r="47" spans="1:13">
      <c r="B47" s="5" t="s">
        <v>73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0:J30"/>
    <mergeCell ref="A35:J35"/>
    <mergeCell ref="B3:B4"/>
    <mergeCell ref="A8:J8"/>
    <mergeCell ref="A11:J11"/>
    <mergeCell ref="A14:J14"/>
    <mergeCell ref="A18:J18"/>
    <mergeCell ref="A22:J22"/>
    <mergeCell ref="A26:J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13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21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2" style="5" customWidth="1"/>
    <col min="7" max="14" width="5.5" style="6" customWidth="1"/>
    <col min="15" max="15" width="7.83203125" style="6" bestFit="1" customWidth="1"/>
    <col min="16" max="16" width="8.5" style="6" bestFit="1" customWidth="1"/>
    <col min="17" max="17" width="21.1640625" style="5" customWidth="1"/>
    <col min="18" max="16384" width="9.1640625" style="3"/>
  </cols>
  <sheetData>
    <row r="1" spans="1:17" s="2" customFormat="1" ht="29" customHeight="1">
      <c r="A1" s="35" t="s">
        <v>296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8"/>
    </row>
    <row r="2" spans="1:17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</row>
    <row r="3" spans="1:17" s="1" customFormat="1" ht="12.75" customHeight="1">
      <c r="A3" s="43" t="s">
        <v>339</v>
      </c>
      <c r="B3" s="29" t="s">
        <v>0</v>
      </c>
      <c r="C3" s="45" t="s">
        <v>341</v>
      </c>
      <c r="D3" s="45" t="s">
        <v>5</v>
      </c>
      <c r="E3" s="33" t="s">
        <v>342</v>
      </c>
      <c r="F3" s="33" t="s">
        <v>6</v>
      </c>
      <c r="G3" s="33" t="s">
        <v>340</v>
      </c>
      <c r="H3" s="33"/>
      <c r="I3" s="33"/>
      <c r="J3" s="33"/>
      <c r="K3" s="33" t="s">
        <v>276</v>
      </c>
      <c r="L3" s="33"/>
      <c r="M3" s="33"/>
      <c r="N3" s="33"/>
      <c r="O3" s="33" t="s">
        <v>1</v>
      </c>
      <c r="P3" s="33" t="s">
        <v>3</v>
      </c>
      <c r="Q3" s="46" t="s">
        <v>2</v>
      </c>
    </row>
    <row r="4" spans="1:17" s="1" customFormat="1" ht="21" customHeight="1" thickBot="1">
      <c r="A4" s="44"/>
      <c r="B4" s="30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4"/>
      <c r="P4" s="34"/>
      <c r="Q4" s="47"/>
    </row>
    <row r="5" spans="1:17" ht="16">
      <c r="A5" s="31" t="s">
        <v>32</v>
      </c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7">
      <c r="A6" s="8" t="s">
        <v>71</v>
      </c>
      <c r="B6" s="7" t="s">
        <v>266</v>
      </c>
      <c r="C6" s="7" t="s">
        <v>267</v>
      </c>
      <c r="D6" s="7" t="s">
        <v>268</v>
      </c>
      <c r="E6" s="7" t="s">
        <v>343</v>
      </c>
      <c r="F6" s="7" t="s">
        <v>312</v>
      </c>
      <c r="G6" s="20" t="s">
        <v>90</v>
      </c>
      <c r="H6" s="20" t="s">
        <v>269</v>
      </c>
      <c r="I6" s="24" t="s">
        <v>26</v>
      </c>
      <c r="J6" s="8"/>
      <c r="K6" s="20" t="s">
        <v>90</v>
      </c>
      <c r="L6" s="20" t="s">
        <v>80</v>
      </c>
      <c r="M6" s="20" t="s">
        <v>26</v>
      </c>
      <c r="N6" s="8"/>
      <c r="O6" s="8" t="str">
        <f>"88,0"</f>
        <v>88,0</v>
      </c>
      <c r="P6" s="8" t="str">
        <f>"90,8248"</f>
        <v>90,8248</v>
      </c>
      <c r="Q6" s="7" t="s">
        <v>270</v>
      </c>
    </row>
    <row r="7" spans="1:17">
      <c r="A7" s="10" t="s">
        <v>72</v>
      </c>
      <c r="B7" s="9" t="s">
        <v>201</v>
      </c>
      <c r="C7" s="9" t="s">
        <v>202</v>
      </c>
      <c r="D7" s="9" t="s">
        <v>203</v>
      </c>
      <c r="E7" s="9" t="s">
        <v>343</v>
      </c>
      <c r="F7" s="9" t="s">
        <v>323</v>
      </c>
      <c r="G7" s="22" t="s">
        <v>204</v>
      </c>
      <c r="H7" s="22" t="s">
        <v>160</v>
      </c>
      <c r="I7" s="22" t="s">
        <v>161</v>
      </c>
      <c r="J7" s="10"/>
      <c r="K7" s="22" t="s">
        <v>204</v>
      </c>
      <c r="L7" s="22" t="s">
        <v>160</v>
      </c>
      <c r="M7" s="21" t="s">
        <v>161</v>
      </c>
      <c r="N7" s="10"/>
      <c r="O7" s="10" t="str">
        <f>"62,5"</f>
        <v>62,5</v>
      </c>
      <c r="P7" s="10" t="str">
        <f>"61,7250"</f>
        <v>61,7250</v>
      </c>
      <c r="Q7" s="9" t="s">
        <v>205</v>
      </c>
    </row>
    <row r="8" spans="1:17">
      <c r="B8" s="5" t="s">
        <v>73</v>
      </c>
    </row>
    <row r="9" spans="1:17" ht="16">
      <c r="A9" s="28" t="s">
        <v>37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7">
      <c r="A10" s="8" t="s">
        <v>71</v>
      </c>
      <c r="B10" s="7" t="s">
        <v>271</v>
      </c>
      <c r="C10" s="7" t="s">
        <v>272</v>
      </c>
      <c r="D10" s="7" t="s">
        <v>273</v>
      </c>
      <c r="E10" s="7" t="s">
        <v>343</v>
      </c>
      <c r="F10" s="7" t="s">
        <v>319</v>
      </c>
      <c r="G10" s="20" t="s">
        <v>12</v>
      </c>
      <c r="H10" s="20" t="s">
        <v>13</v>
      </c>
      <c r="I10" s="20" t="s">
        <v>33</v>
      </c>
      <c r="J10" s="8"/>
      <c r="K10" s="20" t="s">
        <v>24</v>
      </c>
      <c r="L10" s="20" t="s">
        <v>91</v>
      </c>
      <c r="M10" s="20" t="s">
        <v>21</v>
      </c>
      <c r="N10" s="8"/>
      <c r="O10" s="8" t="str">
        <f>"137,5"</f>
        <v>137,5</v>
      </c>
      <c r="P10" s="8" t="str">
        <f>"84,8787"</f>
        <v>84,8787</v>
      </c>
      <c r="Q10" s="7" t="s">
        <v>307</v>
      </c>
    </row>
    <row r="11" spans="1:17">
      <c r="A11" s="14" t="s">
        <v>72</v>
      </c>
      <c r="B11" s="13" t="s">
        <v>274</v>
      </c>
      <c r="C11" s="13" t="s">
        <v>107</v>
      </c>
      <c r="D11" s="13" t="s">
        <v>275</v>
      </c>
      <c r="E11" s="13" t="s">
        <v>343</v>
      </c>
      <c r="F11" s="13" t="s">
        <v>324</v>
      </c>
      <c r="G11" s="27" t="s">
        <v>12</v>
      </c>
      <c r="H11" s="26" t="s">
        <v>12</v>
      </c>
      <c r="I11" s="26" t="s">
        <v>33</v>
      </c>
      <c r="J11" s="14"/>
      <c r="K11" s="26" t="s">
        <v>24</v>
      </c>
      <c r="L11" s="26" t="s">
        <v>91</v>
      </c>
      <c r="M11" s="27" t="s">
        <v>21</v>
      </c>
      <c r="N11" s="14"/>
      <c r="O11" s="14" t="str">
        <f>"132,5"</f>
        <v>132,5</v>
      </c>
      <c r="P11" s="14" t="str">
        <f>"82,8258"</f>
        <v>82,8258</v>
      </c>
      <c r="Q11" s="13"/>
    </row>
    <row r="12" spans="1:17">
      <c r="A12" s="10" t="s">
        <v>71</v>
      </c>
      <c r="B12" s="9" t="s">
        <v>53</v>
      </c>
      <c r="C12" s="9" t="s">
        <v>54</v>
      </c>
      <c r="D12" s="9" t="s">
        <v>55</v>
      </c>
      <c r="E12" s="9" t="s">
        <v>347</v>
      </c>
      <c r="F12" s="9" t="s">
        <v>325</v>
      </c>
      <c r="G12" s="21" t="s">
        <v>17</v>
      </c>
      <c r="H12" s="21" t="s">
        <v>17</v>
      </c>
      <c r="I12" s="22" t="s">
        <v>17</v>
      </c>
      <c r="J12" s="10"/>
      <c r="K12" s="22" t="s">
        <v>20</v>
      </c>
      <c r="L12" s="22" t="s">
        <v>12</v>
      </c>
      <c r="M12" s="22" t="s">
        <v>200</v>
      </c>
      <c r="N12" s="21" t="s">
        <v>33</v>
      </c>
      <c r="O12" s="10" t="str">
        <f>"158,0"</f>
        <v>158,0</v>
      </c>
      <c r="P12" s="10" t="str">
        <f>"102,4393"</f>
        <v>102,4393</v>
      </c>
      <c r="Q12" s="9"/>
    </row>
    <row r="13" spans="1:17">
      <c r="B13" s="5" t="s">
        <v>73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9:N9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Q18"/>
  <sheetViews>
    <sheetView workbookViewId="0">
      <selection activeCell="E18" sqref="E18"/>
    </sheetView>
  </sheetViews>
  <sheetFormatPr baseColWidth="10" defaultColWidth="9.1640625" defaultRowHeight="13"/>
  <cols>
    <col min="1" max="1" width="7.5" style="5" bestFit="1" customWidth="1"/>
    <col min="2" max="2" width="19.3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.66406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0" style="5" customWidth="1"/>
    <col min="18" max="16384" width="9.1640625" style="3"/>
  </cols>
  <sheetData>
    <row r="1" spans="1:17" s="2" customFormat="1" ht="29" customHeight="1">
      <c r="A1" s="35" t="s">
        <v>297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8"/>
    </row>
    <row r="2" spans="1:17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</row>
    <row r="3" spans="1:17" s="1" customFormat="1" ht="12.75" customHeight="1">
      <c r="A3" s="43" t="s">
        <v>339</v>
      </c>
      <c r="B3" s="29" t="s">
        <v>0</v>
      </c>
      <c r="C3" s="45" t="s">
        <v>341</v>
      </c>
      <c r="D3" s="45" t="s">
        <v>5</v>
      </c>
      <c r="E3" s="33" t="s">
        <v>342</v>
      </c>
      <c r="F3" s="33" t="s">
        <v>6</v>
      </c>
      <c r="G3" s="33" t="s">
        <v>340</v>
      </c>
      <c r="H3" s="33"/>
      <c r="I3" s="33"/>
      <c r="J3" s="33"/>
      <c r="K3" s="33" t="s">
        <v>276</v>
      </c>
      <c r="L3" s="33"/>
      <c r="M3" s="33"/>
      <c r="N3" s="33"/>
      <c r="O3" s="33" t="s">
        <v>1</v>
      </c>
      <c r="P3" s="33" t="s">
        <v>3</v>
      </c>
      <c r="Q3" s="46" t="s">
        <v>2</v>
      </c>
    </row>
    <row r="4" spans="1:17" s="1" customFormat="1" ht="21" customHeight="1" thickBot="1">
      <c r="A4" s="44"/>
      <c r="B4" s="30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4"/>
      <c r="P4" s="34"/>
      <c r="Q4" s="47"/>
    </row>
    <row r="5" spans="1:17" ht="16">
      <c r="A5" s="31" t="s">
        <v>45</v>
      </c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7">
      <c r="A6" s="12" t="s">
        <v>71</v>
      </c>
      <c r="B6" s="11" t="s">
        <v>189</v>
      </c>
      <c r="C6" s="11" t="s">
        <v>279</v>
      </c>
      <c r="D6" s="11" t="s">
        <v>50</v>
      </c>
      <c r="E6" s="11" t="s">
        <v>344</v>
      </c>
      <c r="F6" s="11" t="s">
        <v>312</v>
      </c>
      <c r="G6" s="25" t="s">
        <v>30</v>
      </c>
      <c r="H6" s="25" t="s">
        <v>23</v>
      </c>
      <c r="I6" s="25" t="s">
        <v>190</v>
      </c>
      <c r="J6" s="23" t="s">
        <v>18</v>
      </c>
      <c r="K6" s="25" t="s">
        <v>91</v>
      </c>
      <c r="L6" s="25" t="s">
        <v>191</v>
      </c>
      <c r="M6" s="23" t="s">
        <v>12</v>
      </c>
      <c r="N6" s="12"/>
      <c r="O6" s="12" t="str">
        <f>"149,0"</f>
        <v>149,0</v>
      </c>
      <c r="P6" s="12" t="str">
        <f>"108,6155"</f>
        <v>108,6155</v>
      </c>
      <c r="Q6" s="11"/>
    </row>
    <row r="7" spans="1:17">
      <c r="B7" s="5" t="s">
        <v>73</v>
      </c>
    </row>
    <row r="8" spans="1:17" ht="16">
      <c r="A8" s="28" t="s">
        <v>37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7">
      <c r="A9" s="12" t="s">
        <v>71</v>
      </c>
      <c r="B9" s="11" t="s">
        <v>53</v>
      </c>
      <c r="C9" s="11" t="s">
        <v>54</v>
      </c>
      <c r="D9" s="11" t="s">
        <v>55</v>
      </c>
      <c r="E9" s="11" t="s">
        <v>347</v>
      </c>
      <c r="F9" s="11" t="s">
        <v>325</v>
      </c>
      <c r="G9" s="23" t="s">
        <v>17</v>
      </c>
      <c r="H9" s="23" t="s">
        <v>17</v>
      </c>
      <c r="I9" s="25" t="s">
        <v>17</v>
      </c>
      <c r="J9" s="12"/>
      <c r="K9" s="25" t="s">
        <v>20</v>
      </c>
      <c r="L9" s="25" t="s">
        <v>12</v>
      </c>
      <c r="M9" s="25" t="s">
        <v>200</v>
      </c>
      <c r="N9" s="12"/>
      <c r="O9" s="12" t="str">
        <f>"158,0"</f>
        <v>158,0</v>
      </c>
      <c r="P9" s="12" t="str">
        <f>"102,4393"</f>
        <v>102,4393</v>
      </c>
      <c r="Q9" s="11"/>
    </row>
    <row r="10" spans="1:17">
      <c r="B10" s="5" t="s">
        <v>73</v>
      </c>
    </row>
    <row r="11" spans="1:17" ht="16">
      <c r="A11" s="28" t="s">
        <v>56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7">
      <c r="A12" s="8" t="s">
        <v>71</v>
      </c>
      <c r="B12" s="7" t="s">
        <v>192</v>
      </c>
      <c r="C12" s="7" t="s">
        <v>280</v>
      </c>
      <c r="D12" s="7" t="s">
        <v>193</v>
      </c>
      <c r="E12" s="7" t="s">
        <v>347</v>
      </c>
      <c r="F12" s="7" t="s">
        <v>326</v>
      </c>
      <c r="G12" s="20" t="s">
        <v>9</v>
      </c>
      <c r="H12" s="20" t="s">
        <v>10</v>
      </c>
      <c r="I12" s="24" t="s">
        <v>105</v>
      </c>
      <c r="J12" s="8"/>
      <c r="K12" s="20" t="s">
        <v>33</v>
      </c>
      <c r="L12" s="24" t="s">
        <v>34</v>
      </c>
      <c r="M12" s="24" t="s">
        <v>34</v>
      </c>
      <c r="N12" s="8"/>
      <c r="O12" s="8" t="str">
        <f>"190,0"</f>
        <v>190,0</v>
      </c>
      <c r="P12" s="8" t="str">
        <f>"118,5849"</f>
        <v>118,5849</v>
      </c>
      <c r="Q12" s="7"/>
    </row>
    <row r="13" spans="1:17">
      <c r="A13" s="14" t="s">
        <v>72</v>
      </c>
      <c r="B13" s="13" t="s">
        <v>264</v>
      </c>
      <c r="C13" s="13" t="s">
        <v>281</v>
      </c>
      <c r="D13" s="13" t="s">
        <v>265</v>
      </c>
      <c r="E13" s="13" t="s">
        <v>347</v>
      </c>
      <c r="F13" s="13" t="s">
        <v>319</v>
      </c>
      <c r="G13" s="26" t="s">
        <v>28</v>
      </c>
      <c r="H13" s="26" t="s">
        <v>29</v>
      </c>
      <c r="I13" s="26" t="s">
        <v>8</v>
      </c>
      <c r="J13" s="14"/>
      <c r="K13" s="27" t="s">
        <v>33</v>
      </c>
      <c r="L13" s="26" t="s">
        <v>30</v>
      </c>
      <c r="M13" s="26" t="s">
        <v>34</v>
      </c>
      <c r="N13" s="14"/>
      <c r="O13" s="14" t="str">
        <f>"185,0"</f>
        <v>185,0</v>
      </c>
      <c r="P13" s="14" t="str">
        <f>"112,3620"</f>
        <v>112,3620</v>
      </c>
      <c r="Q13" s="13"/>
    </row>
    <row r="14" spans="1:17">
      <c r="A14" s="10" t="s">
        <v>74</v>
      </c>
      <c r="B14" s="9" t="s">
        <v>224</v>
      </c>
      <c r="C14" s="9" t="s">
        <v>282</v>
      </c>
      <c r="D14" s="9" t="s">
        <v>225</v>
      </c>
      <c r="E14" s="9" t="s">
        <v>347</v>
      </c>
      <c r="F14" s="9" t="s">
        <v>327</v>
      </c>
      <c r="G14" s="22" t="s">
        <v>30</v>
      </c>
      <c r="H14" s="22" t="s">
        <v>34</v>
      </c>
      <c r="I14" s="21" t="s">
        <v>23</v>
      </c>
      <c r="J14" s="10"/>
      <c r="K14" s="22" t="s">
        <v>91</v>
      </c>
      <c r="L14" s="22" t="s">
        <v>20</v>
      </c>
      <c r="M14" s="21" t="s">
        <v>21</v>
      </c>
      <c r="N14" s="10"/>
      <c r="O14" s="10" t="str">
        <f>"140,0"</f>
        <v>140,0</v>
      </c>
      <c r="P14" s="10" t="str">
        <f>"85,9085"</f>
        <v>85,9085</v>
      </c>
      <c r="Q14" s="9" t="s">
        <v>308</v>
      </c>
    </row>
    <row r="15" spans="1:17">
      <c r="B15" s="5" t="s">
        <v>73</v>
      </c>
    </row>
    <row r="16" spans="1:17" ht="16">
      <c r="A16" s="28" t="s">
        <v>58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7">
      <c r="A17" s="12" t="s">
        <v>71</v>
      </c>
      <c r="B17" s="11" t="s">
        <v>197</v>
      </c>
      <c r="C17" s="11" t="s">
        <v>198</v>
      </c>
      <c r="D17" s="11" t="s">
        <v>199</v>
      </c>
      <c r="E17" s="11" t="s">
        <v>343</v>
      </c>
      <c r="F17" s="11" t="s">
        <v>321</v>
      </c>
      <c r="G17" s="25" t="s">
        <v>22</v>
      </c>
      <c r="H17" s="23" t="s">
        <v>14</v>
      </c>
      <c r="I17" s="25" t="s">
        <v>14</v>
      </c>
      <c r="J17" s="12"/>
      <c r="K17" s="25" t="s">
        <v>29</v>
      </c>
      <c r="L17" s="25" t="s">
        <v>8</v>
      </c>
      <c r="M17" s="23" t="s">
        <v>81</v>
      </c>
      <c r="N17" s="12"/>
      <c r="O17" s="12" t="str">
        <f>"235,0"</f>
        <v>235,0</v>
      </c>
      <c r="P17" s="12" t="str">
        <f>"128,5920"</f>
        <v>128,5920</v>
      </c>
      <c r="Q17" s="11"/>
    </row>
    <row r="18" spans="1:17">
      <c r="B18" s="5" t="s">
        <v>73</v>
      </c>
    </row>
  </sheetData>
  <mergeCells count="16"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A16:N16"/>
    <mergeCell ref="B3:B4"/>
    <mergeCell ref="O3:O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33203125" style="5" customWidth="1"/>
    <col min="7" max="10" width="5.5" style="6" customWidth="1"/>
    <col min="11" max="11" width="10.5" style="6" bestFit="1" customWidth="1"/>
    <col min="12" max="12" width="10" style="6" customWidth="1"/>
    <col min="13" max="13" width="21" style="5" customWidth="1"/>
    <col min="14" max="16384" width="9.1640625" style="3"/>
  </cols>
  <sheetData>
    <row r="1" spans="1:13" s="2" customFormat="1" ht="29" customHeight="1">
      <c r="A1" s="35" t="s">
        <v>300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339</v>
      </c>
      <c r="B3" s="29" t="s">
        <v>0</v>
      </c>
      <c r="C3" s="45" t="s">
        <v>341</v>
      </c>
      <c r="D3" s="45" t="s">
        <v>5</v>
      </c>
      <c r="E3" s="33" t="s">
        <v>342</v>
      </c>
      <c r="F3" s="33" t="s">
        <v>6</v>
      </c>
      <c r="G3" s="33" t="s">
        <v>188</v>
      </c>
      <c r="H3" s="33"/>
      <c r="I3" s="33"/>
      <c r="J3" s="33"/>
      <c r="K3" s="33" t="s">
        <v>89</v>
      </c>
      <c r="L3" s="33" t="s">
        <v>3</v>
      </c>
      <c r="M3" s="46" t="s">
        <v>2</v>
      </c>
    </row>
    <row r="4" spans="1:13" s="1" customFormat="1" ht="21" customHeight="1" thickBot="1">
      <c r="A4" s="44"/>
      <c r="B4" s="30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47"/>
    </row>
    <row r="5" spans="1:13" ht="16">
      <c r="A5" s="31" t="s">
        <v>37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12" t="s">
        <v>71</v>
      </c>
      <c r="B6" s="11" t="s">
        <v>53</v>
      </c>
      <c r="C6" s="11" t="s">
        <v>54</v>
      </c>
      <c r="D6" s="11" t="s">
        <v>55</v>
      </c>
      <c r="E6" s="11" t="s">
        <v>347</v>
      </c>
      <c r="F6" s="11" t="s">
        <v>325</v>
      </c>
      <c r="G6" s="23" t="s">
        <v>17</v>
      </c>
      <c r="H6" s="23" t="s">
        <v>17</v>
      </c>
      <c r="I6" s="25" t="s">
        <v>17</v>
      </c>
      <c r="J6" s="12"/>
      <c r="K6" s="12" t="str">
        <f>"85,0"</f>
        <v>85,0</v>
      </c>
      <c r="L6" s="12" t="str">
        <f>"55,1098"</f>
        <v>55,1098</v>
      </c>
      <c r="M6" s="11"/>
    </row>
    <row r="7" spans="1:13">
      <c r="B7" s="5" t="s">
        <v>73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16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17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6.3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9.1640625" style="6" customWidth="1"/>
    <col min="13" max="13" width="25.1640625" style="5" customWidth="1"/>
    <col min="14" max="16384" width="9.1640625" style="3"/>
  </cols>
  <sheetData>
    <row r="1" spans="1:13" s="2" customFormat="1" ht="29" customHeight="1">
      <c r="A1" s="35" t="s">
        <v>301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339</v>
      </c>
      <c r="B3" s="29" t="s">
        <v>0</v>
      </c>
      <c r="C3" s="45" t="s">
        <v>341</v>
      </c>
      <c r="D3" s="45" t="s">
        <v>5</v>
      </c>
      <c r="E3" s="33" t="s">
        <v>342</v>
      </c>
      <c r="F3" s="33" t="s">
        <v>6</v>
      </c>
      <c r="G3" s="33" t="s">
        <v>188</v>
      </c>
      <c r="H3" s="33"/>
      <c r="I3" s="33"/>
      <c r="J3" s="33"/>
      <c r="K3" s="33" t="s">
        <v>89</v>
      </c>
      <c r="L3" s="33" t="s">
        <v>3</v>
      </c>
      <c r="M3" s="46" t="s">
        <v>2</v>
      </c>
    </row>
    <row r="4" spans="1:13" s="1" customFormat="1" ht="21" customHeight="1" thickBot="1">
      <c r="A4" s="44"/>
      <c r="B4" s="30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47"/>
    </row>
    <row r="5" spans="1:13" ht="16">
      <c r="A5" s="31" t="s">
        <v>45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12" t="s">
        <v>71</v>
      </c>
      <c r="B6" s="11" t="s">
        <v>189</v>
      </c>
      <c r="C6" s="11" t="s">
        <v>279</v>
      </c>
      <c r="D6" s="11" t="s">
        <v>50</v>
      </c>
      <c r="E6" s="11" t="s">
        <v>344</v>
      </c>
      <c r="F6" s="11" t="s">
        <v>312</v>
      </c>
      <c r="G6" s="25" t="s">
        <v>30</v>
      </c>
      <c r="H6" s="25" t="s">
        <v>23</v>
      </c>
      <c r="I6" s="25" t="s">
        <v>190</v>
      </c>
      <c r="J6" s="23" t="s">
        <v>18</v>
      </c>
      <c r="K6" s="12" t="str">
        <f>"86,0"</f>
        <v>86,0</v>
      </c>
      <c r="L6" s="12" t="str">
        <f>"62,6908"</f>
        <v>62,6908</v>
      </c>
      <c r="M6" s="11"/>
    </row>
    <row r="7" spans="1:13">
      <c r="B7" s="5" t="s">
        <v>73</v>
      </c>
    </row>
    <row r="8" spans="1:13" ht="16">
      <c r="A8" s="28" t="s">
        <v>56</v>
      </c>
      <c r="B8" s="28"/>
      <c r="C8" s="28"/>
      <c r="D8" s="28"/>
      <c r="E8" s="28"/>
      <c r="F8" s="28"/>
      <c r="G8" s="28"/>
      <c r="H8" s="28"/>
      <c r="I8" s="28"/>
      <c r="J8" s="28"/>
    </row>
    <row r="9" spans="1:13">
      <c r="A9" s="12" t="s">
        <v>71</v>
      </c>
      <c r="B9" s="11" t="s">
        <v>192</v>
      </c>
      <c r="C9" s="11" t="s">
        <v>280</v>
      </c>
      <c r="D9" s="11" t="s">
        <v>193</v>
      </c>
      <c r="E9" s="11" t="s">
        <v>347</v>
      </c>
      <c r="F9" s="11" t="s">
        <v>326</v>
      </c>
      <c r="G9" s="25" t="s">
        <v>9</v>
      </c>
      <c r="H9" s="25" t="s">
        <v>10</v>
      </c>
      <c r="I9" s="23" t="s">
        <v>105</v>
      </c>
      <c r="J9" s="12"/>
      <c r="K9" s="12" t="str">
        <f>"115,0"</f>
        <v>115,0</v>
      </c>
      <c r="L9" s="12" t="str">
        <f>"71,7751"</f>
        <v>71,7751</v>
      </c>
      <c r="M9" s="11"/>
    </row>
    <row r="10" spans="1:13">
      <c r="B10" s="5" t="s">
        <v>73</v>
      </c>
    </row>
    <row r="11" spans="1:13" ht="16">
      <c r="A11" s="28" t="s">
        <v>57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3">
      <c r="A12" s="12" t="s">
        <v>71</v>
      </c>
      <c r="B12" s="11" t="s">
        <v>194</v>
      </c>
      <c r="C12" s="11" t="s">
        <v>195</v>
      </c>
      <c r="D12" s="11" t="s">
        <v>196</v>
      </c>
      <c r="E12" s="11" t="s">
        <v>343</v>
      </c>
      <c r="F12" s="11" t="s">
        <v>77</v>
      </c>
      <c r="G12" s="23" t="s">
        <v>18</v>
      </c>
      <c r="H12" s="25" t="s">
        <v>18</v>
      </c>
      <c r="I12" s="23" t="s">
        <v>29</v>
      </c>
      <c r="J12" s="12"/>
      <c r="K12" s="12" t="str">
        <f>"90,0"</f>
        <v>90,0</v>
      </c>
      <c r="L12" s="12" t="str">
        <f>"52,1235"</f>
        <v>52,1235</v>
      </c>
      <c r="M12" s="11"/>
    </row>
    <row r="13" spans="1:13">
      <c r="B13" s="5" t="s">
        <v>73</v>
      </c>
    </row>
    <row r="14" spans="1:13" ht="16">
      <c r="A14" s="28" t="s">
        <v>58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3">
      <c r="A15" s="12" t="s">
        <v>71</v>
      </c>
      <c r="B15" s="11" t="s">
        <v>197</v>
      </c>
      <c r="C15" s="11" t="s">
        <v>198</v>
      </c>
      <c r="D15" s="11" t="s">
        <v>199</v>
      </c>
      <c r="E15" s="11" t="s">
        <v>343</v>
      </c>
      <c r="F15" s="11" t="s">
        <v>321</v>
      </c>
      <c r="G15" s="25" t="s">
        <v>22</v>
      </c>
      <c r="H15" s="23" t="s">
        <v>14</v>
      </c>
      <c r="I15" s="25" t="s">
        <v>14</v>
      </c>
      <c r="J15" s="12"/>
      <c r="K15" s="12" t="str">
        <f>"130,0"</f>
        <v>130,0</v>
      </c>
      <c r="L15" s="12" t="str">
        <f>"71,1360"</f>
        <v>71,1360</v>
      </c>
      <c r="M15" s="11"/>
    </row>
    <row r="16" spans="1:13">
      <c r="B16" s="5" t="s">
        <v>73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35"/>
  <sheetViews>
    <sheetView workbookViewId="0">
      <selection activeCell="E35" sqref="E35"/>
    </sheetView>
  </sheetViews>
  <sheetFormatPr baseColWidth="10" defaultColWidth="9.1640625" defaultRowHeight="13"/>
  <cols>
    <col min="1" max="1" width="7.5" style="5" bestFit="1" customWidth="1"/>
    <col min="2" max="2" width="23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83203125" style="5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3.6640625" style="5" customWidth="1"/>
    <col min="14" max="16384" width="9.1640625" style="3"/>
  </cols>
  <sheetData>
    <row r="1" spans="1:13" s="2" customFormat="1" ht="29" customHeight="1">
      <c r="A1" s="35" t="s">
        <v>298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2" customFormat="1" ht="62" customHeight="1" thickBot="1">
      <c r="A2" s="39"/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s="1" customFormat="1" ht="12.75" customHeight="1">
      <c r="A3" s="43" t="s">
        <v>339</v>
      </c>
      <c r="B3" s="29" t="s">
        <v>0</v>
      </c>
      <c r="C3" s="45" t="s">
        <v>341</v>
      </c>
      <c r="D3" s="45" t="s">
        <v>5</v>
      </c>
      <c r="E3" s="33" t="s">
        <v>342</v>
      </c>
      <c r="F3" s="33" t="s">
        <v>6</v>
      </c>
      <c r="G3" s="33" t="s">
        <v>340</v>
      </c>
      <c r="H3" s="33"/>
      <c r="I3" s="33"/>
      <c r="J3" s="33"/>
      <c r="K3" s="33" t="s">
        <v>89</v>
      </c>
      <c r="L3" s="33" t="s">
        <v>3</v>
      </c>
      <c r="M3" s="46" t="s">
        <v>2</v>
      </c>
    </row>
    <row r="4" spans="1:13" s="1" customFormat="1" ht="21" customHeight="1" thickBot="1">
      <c r="A4" s="44"/>
      <c r="B4" s="30"/>
      <c r="C4" s="34"/>
      <c r="D4" s="34"/>
      <c r="E4" s="34"/>
      <c r="F4" s="34"/>
      <c r="G4" s="4">
        <v>1</v>
      </c>
      <c r="H4" s="4">
        <v>2</v>
      </c>
      <c r="I4" s="4">
        <v>3</v>
      </c>
      <c r="J4" s="4" t="s">
        <v>4</v>
      </c>
      <c r="K4" s="34"/>
      <c r="L4" s="34"/>
      <c r="M4" s="47"/>
    </row>
    <row r="5" spans="1:13" ht="16">
      <c r="A5" s="31" t="s">
        <v>32</v>
      </c>
      <c r="B5" s="31"/>
      <c r="C5" s="32"/>
      <c r="D5" s="32"/>
      <c r="E5" s="32"/>
      <c r="F5" s="32"/>
      <c r="G5" s="32"/>
      <c r="H5" s="32"/>
      <c r="I5" s="32"/>
      <c r="J5" s="32"/>
    </row>
    <row r="6" spans="1:13">
      <c r="A6" s="12" t="s">
        <v>71</v>
      </c>
      <c r="B6" s="11" t="s">
        <v>201</v>
      </c>
      <c r="C6" s="11" t="s">
        <v>202</v>
      </c>
      <c r="D6" s="11" t="s">
        <v>203</v>
      </c>
      <c r="E6" s="11" t="s">
        <v>343</v>
      </c>
      <c r="F6" s="11" t="s">
        <v>323</v>
      </c>
      <c r="G6" s="25" t="s">
        <v>204</v>
      </c>
      <c r="H6" s="25" t="s">
        <v>160</v>
      </c>
      <c r="I6" s="23" t="s">
        <v>161</v>
      </c>
      <c r="J6" s="12"/>
      <c r="K6" s="12" t="str">
        <f>"30,0"</f>
        <v>30,0</v>
      </c>
      <c r="L6" s="12" t="str">
        <f>"29,6280"</f>
        <v>29,6280</v>
      </c>
      <c r="M6" s="11" t="s">
        <v>205</v>
      </c>
    </row>
    <row r="7" spans="1:13">
      <c r="B7" s="5" t="s">
        <v>73</v>
      </c>
    </row>
    <row r="8" spans="1:13" ht="16">
      <c r="A8" s="28" t="s">
        <v>32</v>
      </c>
      <c r="B8" s="28"/>
      <c r="C8" s="28"/>
      <c r="D8" s="28"/>
      <c r="E8" s="28"/>
      <c r="F8" s="28"/>
      <c r="G8" s="28"/>
      <c r="H8" s="28"/>
      <c r="I8" s="28"/>
      <c r="J8" s="28"/>
    </row>
    <row r="9" spans="1:13">
      <c r="A9" s="8" t="s">
        <v>71</v>
      </c>
      <c r="B9" s="7" t="s">
        <v>235</v>
      </c>
      <c r="C9" s="7" t="s">
        <v>283</v>
      </c>
      <c r="D9" s="7" t="s">
        <v>203</v>
      </c>
      <c r="E9" s="7" t="s">
        <v>349</v>
      </c>
      <c r="F9" s="7" t="s">
        <v>328</v>
      </c>
      <c r="G9" s="20" t="s">
        <v>90</v>
      </c>
      <c r="H9" s="24" t="s">
        <v>26</v>
      </c>
      <c r="I9" s="24" t="s">
        <v>26</v>
      </c>
      <c r="J9" s="8"/>
      <c r="K9" s="8" t="str">
        <f>"40,0"</f>
        <v>40,0</v>
      </c>
      <c r="L9" s="8" t="str">
        <f>"33,3140"</f>
        <v>33,3140</v>
      </c>
      <c r="M9" s="7"/>
    </row>
    <row r="10" spans="1:13">
      <c r="A10" s="10" t="s">
        <v>71</v>
      </c>
      <c r="B10" s="9" t="s">
        <v>236</v>
      </c>
      <c r="C10" s="9" t="s">
        <v>237</v>
      </c>
      <c r="D10" s="9" t="s">
        <v>238</v>
      </c>
      <c r="E10" s="9" t="s">
        <v>343</v>
      </c>
      <c r="F10" s="9" t="s">
        <v>329</v>
      </c>
      <c r="G10" s="22" t="s">
        <v>19</v>
      </c>
      <c r="H10" s="22" t="s">
        <v>91</v>
      </c>
      <c r="I10" s="21" t="s">
        <v>239</v>
      </c>
      <c r="J10" s="10"/>
      <c r="K10" s="10" t="str">
        <f>"57,5"</f>
        <v>57,5</v>
      </c>
      <c r="L10" s="10" t="str">
        <f>"49,0101"</f>
        <v>49,0101</v>
      </c>
      <c r="M10" s="9" t="s">
        <v>240</v>
      </c>
    </row>
    <row r="11" spans="1:13">
      <c r="B11" s="5" t="s">
        <v>73</v>
      </c>
    </row>
    <row r="12" spans="1:13" ht="16">
      <c r="A12" s="28" t="s">
        <v>35</v>
      </c>
      <c r="B12" s="28"/>
      <c r="C12" s="28"/>
      <c r="D12" s="28"/>
      <c r="E12" s="28"/>
      <c r="F12" s="28"/>
      <c r="G12" s="28"/>
      <c r="H12" s="28"/>
      <c r="I12" s="28"/>
      <c r="J12" s="28"/>
    </row>
    <row r="13" spans="1:13">
      <c r="A13" s="8" t="s">
        <v>71</v>
      </c>
      <c r="B13" s="7" t="s">
        <v>241</v>
      </c>
      <c r="C13" s="7" t="s">
        <v>284</v>
      </c>
      <c r="D13" s="7" t="s">
        <v>98</v>
      </c>
      <c r="E13" s="7" t="s">
        <v>349</v>
      </c>
      <c r="F13" s="7" t="s">
        <v>312</v>
      </c>
      <c r="G13" s="20" t="s">
        <v>80</v>
      </c>
      <c r="H13" s="20" t="s">
        <v>26</v>
      </c>
      <c r="I13" s="20" t="s">
        <v>27</v>
      </c>
      <c r="J13" s="8"/>
      <c r="K13" s="8" t="str">
        <f>"50,0"</f>
        <v>50,0</v>
      </c>
      <c r="L13" s="8" t="str">
        <f>"38,1000"</f>
        <v>38,1000</v>
      </c>
      <c r="M13" s="7" t="s">
        <v>242</v>
      </c>
    </row>
    <row r="14" spans="1:13">
      <c r="A14" s="14" t="s">
        <v>72</v>
      </c>
      <c r="B14" s="13" t="s">
        <v>93</v>
      </c>
      <c r="C14" s="13" t="s">
        <v>285</v>
      </c>
      <c r="D14" s="13" t="s">
        <v>94</v>
      </c>
      <c r="E14" s="13" t="s">
        <v>349</v>
      </c>
      <c r="F14" s="13" t="s">
        <v>312</v>
      </c>
      <c r="G14" s="26" t="s">
        <v>90</v>
      </c>
      <c r="H14" s="26" t="s">
        <v>80</v>
      </c>
      <c r="I14" s="26" t="s">
        <v>26</v>
      </c>
      <c r="J14" s="14"/>
      <c r="K14" s="14" t="str">
        <f>"45,0"</f>
        <v>45,0</v>
      </c>
      <c r="L14" s="14" t="str">
        <f>"33,6780"</f>
        <v>33,6780</v>
      </c>
      <c r="M14" s="13" t="s">
        <v>95</v>
      </c>
    </row>
    <row r="15" spans="1:13">
      <c r="A15" s="14" t="s">
        <v>74</v>
      </c>
      <c r="B15" s="13" t="s">
        <v>209</v>
      </c>
      <c r="C15" s="13" t="s">
        <v>277</v>
      </c>
      <c r="D15" s="13" t="s">
        <v>210</v>
      </c>
      <c r="E15" s="13" t="s">
        <v>349</v>
      </c>
      <c r="F15" s="13" t="s">
        <v>312</v>
      </c>
      <c r="G15" s="26" t="s">
        <v>80</v>
      </c>
      <c r="H15" s="27" t="s">
        <v>36</v>
      </c>
      <c r="I15" s="27" t="s">
        <v>36</v>
      </c>
      <c r="J15" s="14"/>
      <c r="K15" s="14" t="str">
        <f>"42,5"</f>
        <v>42,5</v>
      </c>
      <c r="L15" s="14" t="str">
        <f>"32,9077"</f>
        <v>32,9077</v>
      </c>
      <c r="M15" s="13" t="s">
        <v>95</v>
      </c>
    </row>
    <row r="16" spans="1:13">
      <c r="A16" s="10" t="s">
        <v>71</v>
      </c>
      <c r="B16" s="9" t="s">
        <v>243</v>
      </c>
      <c r="C16" s="9" t="s">
        <v>286</v>
      </c>
      <c r="D16" s="9" t="s">
        <v>244</v>
      </c>
      <c r="E16" s="9" t="s">
        <v>350</v>
      </c>
      <c r="F16" s="9" t="s">
        <v>330</v>
      </c>
      <c r="G16" s="22" t="s">
        <v>26</v>
      </c>
      <c r="H16" s="22" t="s">
        <v>27</v>
      </c>
      <c r="I16" s="21" t="s">
        <v>24</v>
      </c>
      <c r="J16" s="10"/>
      <c r="K16" s="10" t="str">
        <f>"50,0"</f>
        <v>50,0</v>
      </c>
      <c r="L16" s="10" t="str">
        <f>"37,8050"</f>
        <v>37,8050</v>
      </c>
      <c r="M16" s="9" t="s">
        <v>245</v>
      </c>
    </row>
    <row r="17" spans="1:13">
      <c r="B17" s="5" t="s">
        <v>73</v>
      </c>
    </row>
    <row r="18" spans="1:13" ht="16">
      <c r="A18" s="28" t="s">
        <v>38</v>
      </c>
      <c r="B18" s="28"/>
      <c r="C18" s="28"/>
      <c r="D18" s="28"/>
      <c r="E18" s="28"/>
      <c r="F18" s="28"/>
      <c r="G18" s="28"/>
      <c r="H18" s="28"/>
      <c r="I18" s="28"/>
      <c r="J18" s="28"/>
    </row>
    <row r="19" spans="1:13">
      <c r="A19" s="8" t="s">
        <v>71</v>
      </c>
      <c r="B19" s="7" t="s">
        <v>246</v>
      </c>
      <c r="C19" s="7" t="s">
        <v>247</v>
      </c>
      <c r="D19" s="7" t="s">
        <v>248</v>
      </c>
      <c r="E19" s="7" t="s">
        <v>343</v>
      </c>
      <c r="F19" s="7" t="s">
        <v>312</v>
      </c>
      <c r="G19" s="20" t="s">
        <v>34</v>
      </c>
      <c r="H19" s="20" t="s">
        <v>17</v>
      </c>
      <c r="I19" s="24" t="s">
        <v>249</v>
      </c>
      <c r="J19" s="8"/>
      <c r="K19" s="8" t="str">
        <f>"85,0"</f>
        <v>85,0</v>
      </c>
      <c r="L19" s="8" t="str">
        <f>"60,1715"</f>
        <v>60,1715</v>
      </c>
      <c r="M19" s="7"/>
    </row>
    <row r="20" spans="1:13">
      <c r="A20" s="14" t="s">
        <v>71</v>
      </c>
      <c r="B20" s="13" t="s">
        <v>250</v>
      </c>
      <c r="C20" s="13" t="s">
        <v>287</v>
      </c>
      <c r="D20" s="13" t="s">
        <v>251</v>
      </c>
      <c r="E20" s="13" t="s">
        <v>347</v>
      </c>
      <c r="F20" s="13" t="s">
        <v>331</v>
      </c>
      <c r="G20" s="26" t="s">
        <v>19</v>
      </c>
      <c r="H20" s="26" t="s">
        <v>91</v>
      </c>
      <c r="I20" s="26" t="s">
        <v>20</v>
      </c>
      <c r="J20" s="14"/>
      <c r="K20" s="14" t="str">
        <f>"60,0"</f>
        <v>60,0</v>
      </c>
      <c r="L20" s="14" t="str">
        <f>"42,2291"</f>
        <v>42,2291</v>
      </c>
      <c r="M20" s="13"/>
    </row>
    <row r="21" spans="1:13">
      <c r="A21" s="10" t="s">
        <v>71</v>
      </c>
      <c r="B21" s="9" t="s">
        <v>252</v>
      </c>
      <c r="C21" s="9" t="s">
        <v>288</v>
      </c>
      <c r="D21" s="9" t="s">
        <v>39</v>
      </c>
      <c r="E21" s="9" t="s">
        <v>344</v>
      </c>
      <c r="F21" s="9" t="s">
        <v>312</v>
      </c>
      <c r="G21" s="22" t="s">
        <v>253</v>
      </c>
      <c r="H21" s="21" t="s">
        <v>91</v>
      </c>
      <c r="I21" s="22" t="s">
        <v>91</v>
      </c>
      <c r="J21" s="22" t="s">
        <v>20</v>
      </c>
      <c r="K21" s="10" t="str">
        <f>"57,5"</f>
        <v>57,5</v>
      </c>
      <c r="L21" s="10" t="str">
        <f>"47,0603"</f>
        <v>47,0603</v>
      </c>
      <c r="M21" s="9"/>
    </row>
    <row r="22" spans="1:13">
      <c r="B22" s="5" t="s">
        <v>73</v>
      </c>
    </row>
    <row r="23" spans="1:13" ht="16">
      <c r="A23" s="28" t="s">
        <v>45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3">
      <c r="A24" s="12" t="s">
        <v>71</v>
      </c>
      <c r="B24" s="11" t="s">
        <v>254</v>
      </c>
      <c r="C24" s="11" t="s">
        <v>289</v>
      </c>
      <c r="D24" s="11" t="s">
        <v>46</v>
      </c>
      <c r="E24" s="11" t="s">
        <v>347</v>
      </c>
      <c r="F24" s="11" t="s">
        <v>332</v>
      </c>
      <c r="G24" s="25" t="s">
        <v>27</v>
      </c>
      <c r="H24" s="25" t="s">
        <v>19</v>
      </c>
      <c r="I24" s="23" t="s">
        <v>91</v>
      </c>
      <c r="J24" s="12"/>
      <c r="K24" s="12" t="str">
        <f>"55,0"</f>
        <v>55,0</v>
      </c>
      <c r="L24" s="12" t="str">
        <f>"36,9632"</f>
        <v>36,9632</v>
      </c>
      <c r="M24" s="11" t="s">
        <v>255</v>
      </c>
    </row>
    <row r="25" spans="1:13">
      <c r="B25" s="5" t="s">
        <v>73</v>
      </c>
    </row>
    <row r="26" spans="1:13" ht="16">
      <c r="A26" s="28" t="s">
        <v>37</v>
      </c>
      <c r="B26" s="28"/>
      <c r="C26" s="28"/>
      <c r="D26" s="28"/>
      <c r="E26" s="28"/>
      <c r="F26" s="28"/>
      <c r="G26" s="28"/>
      <c r="H26" s="28"/>
      <c r="I26" s="28"/>
      <c r="J26" s="28"/>
    </row>
    <row r="27" spans="1:13">
      <c r="A27" s="8" t="s">
        <v>71</v>
      </c>
      <c r="B27" s="7" t="s">
        <v>256</v>
      </c>
      <c r="C27" s="7" t="s">
        <v>257</v>
      </c>
      <c r="D27" s="7" t="s">
        <v>258</v>
      </c>
      <c r="E27" s="7" t="s">
        <v>343</v>
      </c>
      <c r="F27" s="7" t="s">
        <v>319</v>
      </c>
      <c r="G27" s="20" t="s">
        <v>12</v>
      </c>
      <c r="H27" s="20" t="s">
        <v>33</v>
      </c>
      <c r="I27" s="24" t="s">
        <v>30</v>
      </c>
      <c r="J27" s="8"/>
      <c r="K27" s="8" t="str">
        <f>"75,0"</f>
        <v>75,0</v>
      </c>
      <c r="L27" s="8" t="str">
        <f>"46,4137"</f>
        <v>46,4137</v>
      </c>
      <c r="M27" s="7"/>
    </row>
    <row r="28" spans="1:13">
      <c r="A28" s="14" t="s">
        <v>72</v>
      </c>
      <c r="B28" s="13" t="s">
        <v>259</v>
      </c>
      <c r="C28" s="13" t="s">
        <v>260</v>
      </c>
      <c r="D28" s="13" t="s">
        <v>103</v>
      </c>
      <c r="E28" s="13" t="s">
        <v>343</v>
      </c>
      <c r="F28" s="13" t="s">
        <v>312</v>
      </c>
      <c r="G28" s="26" t="s">
        <v>13</v>
      </c>
      <c r="H28" s="26" t="s">
        <v>33</v>
      </c>
      <c r="I28" s="27" t="s">
        <v>34</v>
      </c>
      <c r="J28" s="14"/>
      <c r="K28" s="14" t="str">
        <f>"75,0"</f>
        <v>75,0</v>
      </c>
      <c r="L28" s="14" t="str">
        <f>"46,1775"</f>
        <v>46,1775</v>
      </c>
      <c r="M28" s="13"/>
    </row>
    <row r="29" spans="1:13">
      <c r="A29" s="14" t="s">
        <v>74</v>
      </c>
      <c r="B29" s="13" t="s">
        <v>101</v>
      </c>
      <c r="C29" s="13" t="s">
        <v>102</v>
      </c>
      <c r="D29" s="13" t="s">
        <v>100</v>
      </c>
      <c r="E29" s="13" t="s">
        <v>343</v>
      </c>
      <c r="F29" s="13" t="s">
        <v>333</v>
      </c>
      <c r="G29" s="26" t="s">
        <v>11</v>
      </c>
      <c r="H29" s="27" t="s">
        <v>13</v>
      </c>
      <c r="I29" s="27" t="s">
        <v>13</v>
      </c>
      <c r="J29" s="14"/>
      <c r="K29" s="14" t="str">
        <f>"65,0"</f>
        <v>65,0</v>
      </c>
      <c r="L29" s="14" t="str">
        <f>"39,9685"</f>
        <v>39,9685</v>
      </c>
      <c r="M29" s="13"/>
    </row>
    <row r="30" spans="1:13">
      <c r="A30" s="14" t="s">
        <v>71</v>
      </c>
      <c r="B30" s="13" t="s">
        <v>259</v>
      </c>
      <c r="C30" s="13" t="s">
        <v>290</v>
      </c>
      <c r="D30" s="13" t="s">
        <v>103</v>
      </c>
      <c r="E30" s="13" t="s">
        <v>347</v>
      </c>
      <c r="F30" s="13" t="s">
        <v>312</v>
      </c>
      <c r="G30" s="26" t="s">
        <v>13</v>
      </c>
      <c r="H30" s="26" t="s">
        <v>33</v>
      </c>
      <c r="I30" s="27" t="s">
        <v>34</v>
      </c>
      <c r="J30" s="14"/>
      <c r="K30" s="14" t="str">
        <f>"75,0"</f>
        <v>75,0</v>
      </c>
      <c r="L30" s="14" t="str">
        <f>"47,6090"</f>
        <v>47,6090</v>
      </c>
      <c r="M30" s="13"/>
    </row>
    <row r="31" spans="1:13">
      <c r="A31" s="10" t="s">
        <v>72</v>
      </c>
      <c r="B31" s="9" t="s">
        <v>53</v>
      </c>
      <c r="C31" s="9" t="s">
        <v>54</v>
      </c>
      <c r="D31" s="9" t="s">
        <v>55</v>
      </c>
      <c r="E31" s="9" t="s">
        <v>347</v>
      </c>
      <c r="F31" s="9" t="s">
        <v>325</v>
      </c>
      <c r="G31" s="22" t="s">
        <v>20</v>
      </c>
      <c r="H31" s="22" t="s">
        <v>12</v>
      </c>
      <c r="I31" s="22" t="s">
        <v>200</v>
      </c>
      <c r="J31" s="21" t="s">
        <v>33</v>
      </c>
      <c r="K31" s="10" t="str">
        <f>"73,0"</f>
        <v>73,0</v>
      </c>
      <c r="L31" s="10" t="str">
        <f>"47,3296"</f>
        <v>47,3296</v>
      </c>
      <c r="M31" s="9"/>
    </row>
    <row r="32" spans="1:13">
      <c r="B32" s="5" t="s">
        <v>73</v>
      </c>
    </row>
    <row r="33" spans="1:13" ht="16">
      <c r="A33" s="28" t="s">
        <v>57</v>
      </c>
      <c r="B33" s="28"/>
      <c r="C33" s="28"/>
      <c r="D33" s="28"/>
      <c r="E33" s="28"/>
      <c r="F33" s="28"/>
      <c r="G33" s="28"/>
      <c r="H33" s="28"/>
      <c r="I33" s="28"/>
      <c r="J33" s="28"/>
    </row>
    <row r="34" spans="1:13">
      <c r="A34" s="12" t="s">
        <v>71</v>
      </c>
      <c r="B34" s="11" t="s">
        <v>261</v>
      </c>
      <c r="C34" s="11" t="s">
        <v>291</v>
      </c>
      <c r="D34" s="11" t="s">
        <v>262</v>
      </c>
      <c r="E34" s="11" t="s">
        <v>350</v>
      </c>
      <c r="F34" s="11" t="s">
        <v>312</v>
      </c>
      <c r="G34" s="25" t="s">
        <v>91</v>
      </c>
      <c r="H34" s="25" t="s">
        <v>21</v>
      </c>
      <c r="I34" s="25" t="s">
        <v>11</v>
      </c>
      <c r="J34" s="12"/>
      <c r="K34" s="12" t="str">
        <f>"65,0"</f>
        <v>65,0</v>
      </c>
      <c r="L34" s="12" t="str">
        <f>"36,9850"</f>
        <v>36,9850</v>
      </c>
      <c r="M34" s="11" t="s">
        <v>263</v>
      </c>
    </row>
    <row r="35" spans="1:13">
      <c r="B35" s="5" t="s">
        <v>73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33:J33"/>
    <mergeCell ref="K3:K4"/>
    <mergeCell ref="L3:L4"/>
    <mergeCell ref="M3:M4"/>
    <mergeCell ref="A5:J5"/>
    <mergeCell ref="B3:B4"/>
    <mergeCell ref="A8:J8"/>
    <mergeCell ref="A12:J12"/>
    <mergeCell ref="A18:J18"/>
    <mergeCell ref="A23:J23"/>
    <mergeCell ref="A26:J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СПР Жим софт однопетельная ДК</vt:lpstr>
      <vt:lpstr>СПР Жим софт однопетельная</vt:lpstr>
      <vt:lpstr>СПР Жим софт многопетельная ДК</vt:lpstr>
      <vt:lpstr>СПР Жим СФО</vt:lpstr>
      <vt:lpstr>СПР Пауэрспорт ДК</vt:lpstr>
      <vt:lpstr>СПР Пауэрспорт</vt:lpstr>
      <vt:lpstr>СПР Жим стоя ДК</vt:lpstr>
      <vt:lpstr>СПР Жим стоя</vt:lpstr>
      <vt:lpstr>СПР Подъем на бицепс ДК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2021-10-04T20:37:51Z</dcterms:modified>
</cp:coreProperties>
</file>