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Октябрь/"/>
    </mc:Choice>
  </mc:AlternateContent>
  <xr:revisionPtr revIDLastSave="0" documentId="13_ncr:1_{792ECA9E-51E1-EC4B-8ED3-A314F989A0EE}" xr6:coauthVersionLast="45" xr6:coauthVersionMax="45" xr10:uidLastSave="{00000000-0000-0000-0000-000000000000}"/>
  <bookViews>
    <workbookView xWindow="480" yWindow="460" windowWidth="28060" windowHeight="15940" xr2:uid="{00000000-000D-0000-FFFF-FFFF00000000}"/>
  </bookViews>
  <sheets>
    <sheet name="GPA ПЛ без экипировки ДК" sheetId="5" r:id="rId1"/>
    <sheet name="GPA ПЛ без экипировки" sheetId="8" r:id="rId2"/>
    <sheet name="GPA ПЛ в бинтах ДК" sheetId="7" r:id="rId3"/>
    <sheet name="GPA ПЛ в бинтах" sheetId="6" r:id="rId4"/>
    <sheet name="GPA Двоеборье без экип ДК" sheetId="20" r:id="rId5"/>
    <sheet name="GPA Двоеборье без экип" sheetId="19" r:id="rId6"/>
    <sheet name="GPA Присед без экипировки ДК" sheetId="18" r:id="rId7"/>
    <sheet name="GPA Жим без экипировки ДК" sheetId="11" r:id="rId8"/>
    <sheet name="GPA Жим без экипировки" sheetId="9" r:id="rId9"/>
    <sheet name="IPO Жим однослой ДК" sheetId="13" r:id="rId10"/>
    <sheet name="IPO Жим однослой" sheetId="12" r:id="rId11"/>
    <sheet name="GPA Тяга без экипировки ДК" sheetId="15" r:id="rId12"/>
    <sheet name="GPA Тяга без экипировки" sheetId="14" r:id="rId13"/>
  </sheets>
  <definedNames>
    <definedName name="_FilterDatabase" localSheetId="0" hidden="1">'GPA ПЛ без экипировки ДК'!$A$1:$S$3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6" i="20" l="1"/>
  <c r="O16" i="20"/>
  <c r="P13" i="20"/>
  <c r="O13" i="20"/>
  <c r="P10" i="20"/>
  <c r="O10" i="20"/>
  <c r="P9" i="20"/>
  <c r="O9" i="20"/>
  <c r="P6" i="20"/>
  <c r="O6" i="20"/>
  <c r="P9" i="19"/>
  <c r="O9" i="19"/>
  <c r="P6" i="19"/>
  <c r="O6" i="19"/>
  <c r="L6" i="18"/>
  <c r="K6" i="18"/>
  <c r="L28" i="15"/>
  <c r="K28" i="15"/>
  <c r="L25" i="15"/>
  <c r="K25" i="15"/>
  <c r="L22" i="15"/>
  <c r="K22" i="15"/>
  <c r="L21" i="15"/>
  <c r="K21" i="15"/>
  <c r="L18" i="15"/>
  <c r="K18" i="15"/>
  <c r="L15" i="15"/>
  <c r="K15" i="15"/>
  <c r="L12" i="15"/>
  <c r="K12" i="15"/>
  <c r="L11" i="15"/>
  <c r="K11" i="15"/>
  <c r="L8" i="15"/>
  <c r="K8" i="15"/>
  <c r="L7" i="15"/>
  <c r="K7" i="15"/>
  <c r="L6" i="15"/>
  <c r="K6" i="15"/>
  <c r="L13" i="14"/>
  <c r="K13" i="14"/>
  <c r="L10" i="14"/>
  <c r="K10" i="14"/>
  <c r="L9" i="14"/>
  <c r="K9" i="14"/>
  <c r="L6" i="14"/>
  <c r="K6" i="14"/>
  <c r="L6" i="13"/>
  <c r="K6" i="13"/>
  <c r="L7" i="12"/>
  <c r="K7" i="12"/>
  <c r="L6" i="12"/>
  <c r="K6" i="12"/>
  <c r="L59" i="11"/>
  <c r="K59" i="11"/>
  <c r="L58" i="11"/>
  <c r="K58" i="11"/>
  <c r="L55" i="11"/>
  <c r="K55" i="11"/>
  <c r="L52" i="11"/>
  <c r="K52" i="11"/>
  <c r="L51" i="11"/>
  <c r="K51" i="11"/>
  <c r="L50" i="11"/>
  <c r="K50" i="11"/>
  <c r="L49" i="11"/>
  <c r="K49" i="11"/>
  <c r="L46" i="11"/>
  <c r="K46" i="11"/>
  <c r="L45" i="11"/>
  <c r="K45" i="11"/>
  <c r="L44" i="11"/>
  <c r="K44" i="11"/>
  <c r="L43" i="11"/>
  <c r="K43" i="11"/>
  <c r="L42" i="11"/>
  <c r="K42" i="11"/>
  <c r="L41" i="11"/>
  <c r="K41" i="11"/>
  <c r="L38" i="11"/>
  <c r="K38" i="11"/>
  <c r="L37" i="11"/>
  <c r="K37" i="11"/>
  <c r="L36" i="11"/>
  <c r="K36" i="11"/>
  <c r="L35" i="11"/>
  <c r="K35" i="11"/>
  <c r="L34" i="11"/>
  <c r="K34" i="11"/>
  <c r="L33" i="11"/>
  <c r="K33" i="11"/>
  <c r="L30" i="11"/>
  <c r="K30" i="11"/>
  <c r="L29" i="11"/>
  <c r="K29" i="11"/>
  <c r="L28" i="11"/>
  <c r="K28" i="11"/>
  <c r="L27" i="11"/>
  <c r="K27" i="11"/>
  <c r="L24" i="11"/>
  <c r="L23" i="11"/>
  <c r="K23" i="11"/>
  <c r="L20" i="11"/>
  <c r="L19" i="11"/>
  <c r="K19" i="11"/>
  <c r="L18" i="11"/>
  <c r="K18" i="11"/>
  <c r="L17" i="11"/>
  <c r="K17" i="11"/>
  <c r="L16" i="11"/>
  <c r="K16" i="11"/>
  <c r="L15" i="11"/>
  <c r="L12" i="11"/>
  <c r="K12" i="11"/>
  <c r="L9" i="11"/>
  <c r="K9" i="11"/>
  <c r="L6" i="11"/>
  <c r="K6" i="11"/>
  <c r="L28" i="9"/>
  <c r="K28" i="9"/>
  <c r="L25" i="9"/>
  <c r="K25" i="9"/>
  <c r="L24" i="9"/>
  <c r="L21" i="9"/>
  <c r="K21" i="9"/>
  <c r="L20" i="9"/>
  <c r="K20" i="9"/>
  <c r="L19" i="9"/>
  <c r="K19" i="9"/>
  <c r="L18" i="9"/>
  <c r="K18" i="9"/>
  <c r="L17" i="9"/>
  <c r="K17" i="9"/>
  <c r="L14" i="9"/>
  <c r="K14" i="9"/>
  <c r="L11" i="9"/>
  <c r="K11" i="9"/>
  <c r="L10" i="9"/>
  <c r="K10" i="9"/>
  <c r="L9" i="9"/>
  <c r="K9" i="9"/>
  <c r="L6" i="9"/>
  <c r="K6" i="9"/>
  <c r="T21" i="8"/>
  <c r="S21" i="8"/>
  <c r="T20" i="8"/>
  <c r="S20" i="8"/>
  <c r="T17" i="8"/>
  <c r="S17" i="8"/>
  <c r="T14" i="8"/>
  <c r="T13" i="8"/>
  <c r="S13" i="8"/>
  <c r="T10" i="8"/>
  <c r="S10" i="8"/>
  <c r="T7" i="8"/>
  <c r="S7" i="8"/>
  <c r="T6" i="8"/>
  <c r="S6" i="8"/>
  <c r="T15" i="7"/>
  <c r="S15" i="7"/>
  <c r="T12" i="7"/>
  <c r="S12" i="7"/>
  <c r="T9" i="7"/>
  <c r="S9" i="7"/>
  <c r="T6" i="7"/>
  <c r="S6" i="7"/>
  <c r="T27" i="6"/>
  <c r="T26" i="6"/>
  <c r="S26" i="6"/>
  <c r="T23" i="6"/>
  <c r="T20" i="6"/>
  <c r="T17" i="6"/>
  <c r="S17" i="6"/>
  <c r="T16" i="6"/>
  <c r="S16" i="6"/>
  <c r="T13" i="6"/>
  <c r="S13" i="6"/>
  <c r="T12" i="6"/>
  <c r="S12" i="6"/>
  <c r="T9" i="6"/>
  <c r="S9" i="6"/>
  <c r="T6" i="6"/>
  <c r="S6" i="6"/>
  <c r="T46" i="5"/>
  <c r="S46" i="5"/>
  <c r="T43" i="5"/>
  <c r="S43" i="5"/>
  <c r="T40" i="5"/>
  <c r="S40" i="5"/>
  <c r="T39" i="5"/>
  <c r="S39" i="5"/>
  <c r="T38" i="5"/>
  <c r="S38" i="5"/>
  <c r="T35" i="5"/>
  <c r="T34" i="5"/>
  <c r="S34" i="5"/>
  <c r="T31" i="5"/>
  <c r="S31" i="5"/>
  <c r="T30" i="5"/>
  <c r="S30" i="5"/>
  <c r="T29" i="5"/>
  <c r="S29" i="5"/>
  <c r="T28" i="5"/>
  <c r="S28" i="5"/>
  <c r="T25" i="5"/>
  <c r="S25" i="5"/>
  <c r="T24" i="5"/>
  <c r="S24" i="5"/>
  <c r="T23" i="5"/>
  <c r="S23" i="5"/>
  <c r="T20" i="5"/>
  <c r="S20" i="5"/>
  <c r="T17" i="5"/>
  <c r="S17" i="5"/>
  <c r="T14" i="5"/>
  <c r="T13" i="5"/>
  <c r="S13" i="5"/>
  <c r="T10" i="5"/>
  <c r="T7" i="5"/>
  <c r="S7" i="5"/>
  <c r="T6" i="5"/>
  <c r="S6" i="5"/>
</calcChain>
</file>

<file path=xl/sharedStrings.xml><?xml version="1.0" encoding="utf-8"?>
<sst xmlns="http://schemas.openxmlformats.org/spreadsheetml/2006/main" count="1729" uniqueCount="590">
  <si>
    <t>ФИО</t>
  </si>
  <si>
    <t>Сумма</t>
  </si>
  <si>
    <t>Тренер</t>
  </si>
  <si>
    <t>Очки</t>
  </si>
  <si>
    <t>Рек</t>
  </si>
  <si>
    <t>Собственный 
вес</t>
  </si>
  <si>
    <t>Город/Страна</t>
  </si>
  <si>
    <t>Приседание</t>
  </si>
  <si>
    <t>Жим лёжа</t>
  </si>
  <si>
    <t>Становая тяга</t>
  </si>
  <si>
    <t>ВЕСОВАЯ КАТЕГОРИЯ   48</t>
  </si>
  <si>
    <t>Gavrilova Aurika</t>
  </si>
  <si>
    <t>Открытая (21.06.1988)/33</t>
  </si>
  <si>
    <t>47,80</t>
  </si>
  <si>
    <t xml:space="preserve">LVA/Daugavpils </t>
  </si>
  <si>
    <t>105,0</t>
  </si>
  <si>
    <t>110,0</t>
  </si>
  <si>
    <t>115,0</t>
  </si>
  <si>
    <t>65,0</t>
  </si>
  <si>
    <t>70,0</t>
  </si>
  <si>
    <t>72,5</t>
  </si>
  <si>
    <t>130,0</t>
  </si>
  <si>
    <t>140,0</t>
  </si>
  <si>
    <t>145,0</t>
  </si>
  <si>
    <t xml:space="preserve">Талеров А. </t>
  </si>
  <si>
    <t>Кочеткова Елена</t>
  </si>
  <si>
    <t>Открытая (20.10.1991)/29</t>
  </si>
  <si>
    <t>47,30</t>
  </si>
  <si>
    <t xml:space="preserve">RUS/Тейково </t>
  </si>
  <si>
    <t>85,0</t>
  </si>
  <si>
    <t>90,0</t>
  </si>
  <si>
    <t>55,0</t>
  </si>
  <si>
    <t>60,0</t>
  </si>
  <si>
    <t>62,5</t>
  </si>
  <si>
    <t>120,0</t>
  </si>
  <si>
    <t>ВЕСОВАЯ КАТЕГОРИЯ   52</t>
  </si>
  <si>
    <t>Бондарь Татьяна</t>
  </si>
  <si>
    <t>Открытая (30.10.1995)/25</t>
  </si>
  <si>
    <t>51,10</t>
  </si>
  <si>
    <t xml:space="preserve">RUS/Москва </t>
  </si>
  <si>
    <t>82,5</t>
  </si>
  <si>
    <t>87,5</t>
  </si>
  <si>
    <t>52,5</t>
  </si>
  <si>
    <t xml:space="preserve">Харитонов А. </t>
  </si>
  <si>
    <t>ВЕСОВАЯ КАТЕГОРИЯ   56</t>
  </si>
  <si>
    <t>Хуснутдинова Наталья</t>
  </si>
  <si>
    <t>Открытая (28.02.1979)/42</t>
  </si>
  <si>
    <t>55,10</t>
  </si>
  <si>
    <t xml:space="preserve">RUS/Кемерово </t>
  </si>
  <si>
    <t>92,5</t>
  </si>
  <si>
    <t>45,0</t>
  </si>
  <si>
    <t>50,0</t>
  </si>
  <si>
    <t>95,0</t>
  </si>
  <si>
    <t>100,0</t>
  </si>
  <si>
    <t xml:space="preserve">Рощупкин А. </t>
  </si>
  <si>
    <t>Ярмоленко Ирина</t>
  </si>
  <si>
    <t>Открытая (10.06.1985)/36</t>
  </si>
  <si>
    <t>55,30</t>
  </si>
  <si>
    <t>77,5</t>
  </si>
  <si>
    <t>37,5</t>
  </si>
  <si>
    <t>ВЕСОВАЯ КАТЕГОРИЯ   60</t>
  </si>
  <si>
    <t>Стародубцева Анастасия</t>
  </si>
  <si>
    <t>Открытая (22.10.1992)/28</t>
  </si>
  <si>
    <t>58,80</t>
  </si>
  <si>
    <t>75,0</t>
  </si>
  <si>
    <t>80,0</t>
  </si>
  <si>
    <t xml:space="preserve">Моргулец Д. </t>
  </si>
  <si>
    <t>ВЕСОВАЯ КАТЕГОРИЯ   67.5</t>
  </si>
  <si>
    <t>Толстова Мария</t>
  </si>
  <si>
    <t>Открытая (18.05.1987)/34</t>
  </si>
  <si>
    <t>62,70</t>
  </si>
  <si>
    <t xml:space="preserve">RUS/Саранск </t>
  </si>
  <si>
    <t>47,5</t>
  </si>
  <si>
    <t>ВЕСОВАЯ КАТЕГОРИЯ   90</t>
  </si>
  <si>
    <t>155,0</t>
  </si>
  <si>
    <t>160,0</t>
  </si>
  <si>
    <t>ВЕСОВАЯ КАТЕГОРИЯ   75</t>
  </si>
  <si>
    <t>Костин Антон</t>
  </si>
  <si>
    <t>Открытая (05.08.1988)/33</t>
  </si>
  <si>
    <t>74,60</t>
  </si>
  <si>
    <t xml:space="preserve">RUS/Брянск </t>
  </si>
  <si>
    <t>150,0</t>
  </si>
  <si>
    <t>170,0</t>
  </si>
  <si>
    <t>190,0</t>
  </si>
  <si>
    <t>200,0</t>
  </si>
  <si>
    <t>205,0</t>
  </si>
  <si>
    <t>Малютин Семен</t>
  </si>
  <si>
    <t>Открытая (28.10.1993)/27</t>
  </si>
  <si>
    <t>74,40</t>
  </si>
  <si>
    <t>165,0</t>
  </si>
  <si>
    <t>125,0</t>
  </si>
  <si>
    <t>132,5</t>
  </si>
  <si>
    <t>180,0</t>
  </si>
  <si>
    <t>Жакин Владимир</t>
  </si>
  <si>
    <t>Мастера 60-69 (15.09.1952)/69</t>
  </si>
  <si>
    <t>72,20</t>
  </si>
  <si>
    <t>122,5</t>
  </si>
  <si>
    <t>152,5</t>
  </si>
  <si>
    <t>157,5</t>
  </si>
  <si>
    <t>ВЕСОВАЯ КАТЕГОРИЯ   82.5</t>
  </si>
  <si>
    <t>Щелыкальнов Александр</t>
  </si>
  <si>
    <t>80,90</t>
  </si>
  <si>
    <t xml:space="preserve">RUS/Гусь-Хрустальный </t>
  </si>
  <si>
    <t xml:space="preserve">Кочнев Г. </t>
  </si>
  <si>
    <t>Кочетков Александр</t>
  </si>
  <si>
    <t>Открытая (19.09.1988)/33</t>
  </si>
  <si>
    <t>81,10</t>
  </si>
  <si>
    <t>175,0</t>
  </si>
  <si>
    <t>182,5</t>
  </si>
  <si>
    <t>250,0</t>
  </si>
  <si>
    <t>260,0</t>
  </si>
  <si>
    <t>265,0</t>
  </si>
  <si>
    <t>Румасов Андрей</t>
  </si>
  <si>
    <t>Открытая (10.03.1991)/30</t>
  </si>
  <si>
    <t>81,40</t>
  </si>
  <si>
    <t>220,0</t>
  </si>
  <si>
    <t>270,0</t>
  </si>
  <si>
    <t>287,5</t>
  </si>
  <si>
    <t>Елсаков Константин</t>
  </si>
  <si>
    <t>Открытая (26.05.1990)/31</t>
  </si>
  <si>
    <t>82,40</t>
  </si>
  <si>
    <t xml:space="preserve">RUS/Нахабино </t>
  </si>
  <si>
    <t>210,0</t>
  </si>
  <si>
    <t>142,5</t>
  </si>
  <si>
    <t>147,5</t>
  </si>
  <si>
    <t>240,0</t>
  </si>
  <si>
    <t>Торов Алан</t>
  </si>
  <si>
    <t>Открытая (27.02.1994)/27</t>
  </si>
  <si>
    <t>90,00</t>
  </si>
  <si>
    <t xml:space="preserve">RUS/Санкт-Петербург </t>
  </si>
  <si>
    <t>135,0</t>
  </si>
  <si>
    <t>Барбье Александр</t>
  </si>
  <si>
    <t>Мастера 40-49 (25.08.1976)/45</t>
  </si>
  <si>
    <t>89,30</t>
  </si>
  <si>
    <t xml:space="preserve">RUS/Сыктывкар </t>
  </si>
  <si>
    <t>ВЕСОВАЯ КАТЕГОРИЯ   100</t>
  </si>
  <si>
    <t>Беркун Олег</t>
  </si>
  <si>
    <t>98,20</t>
  </si>
  <si>
    <t>127,5</t>
  </si>
  <si>
    <t>195,0</t>
  </si>
  <si>
    <t>217,5</t>
  </si>
  <si>
    <t>Павликов Денис</t>
  </si>
  <si>
    <t>94,90</t>
  </si>
  <si>
    <t>Васильев Максим</t>
  </si>
  <si>
    <t>Открытая (13.10.1989)/31</t>
  </si>
  <si>
    <t xml:space="preserve">RUS/Кубинка </t>
  </si>
  <si>
    <t>162,5</t>
  </si>
  <si>
    <t>225,0</t>
  </si>
  <si>
    <t>235,0</t>
  </si>
  <si>
    <t>ВЕСОВАЯ КАТЕГОРИЯ   110</t>
  </si>
  <si>
    <t>Бойко Дмитрий</t>
  </si>
  <si>
    <t>Открытая (11.09.1995)/26</t>
  </si>
  <si>
    <t>105,80</t>
  </si>
  <si>
    <t>167,5</t>
  </si>
  <si>
    <t xml:space="preserve">Журавлев С. </t>
  </si>
  <si>
    <t>ВЕСОВАЯ КАТЕГОРИЯ   125</t>
  </si>
  <si>
    <t>Бухман Антон</t>
  </si>
  <si>
    <t>Открытая (22.08.1988)/33</t>
  </si>
  <si>
    <t>124,00</t>
  </si>
  <si>
    <t>280,0</t>
  </si>
  <si>
    <t>300,0</t>
  </si>
  <si>
    <t>307,5</t>
  </si>
  <si>
    <t>207,5</t>
  </si>
  <si>
    <t>212,5</t>
  </si>
  <si>
    <t>295,0</t>
  </si>
  <si>
    <t xml:space="preserve">Абсолютный зачёт </t>
  </si>
  <si>
    <t xml:space="preserve">Открытая </t>
  </si>
  <si>
    <t xml:space="preserve">ФИО </t>
  </si>
  <si>
    <t xml:space="preserve">Возрастная группа </t>
  </si>
  <si>
    <t xml:space="preserve">Сумма </t>
  </si>
  <si>
    <t xml:space="preserve">Reshel </t>
  </si>
  <si>
    <t xml:space="preserve">Мужчины </t>
  </si>
  <si>
    <t>100</t>
  </si>
  <si>
    <t>82.5</t>
  </si>
  <si>
    <t>370,0</t>
  </si>
  <si>
    <t>125</t>
  </si>
  <si>
    <t>815,0</t>
  </si>
  <si>
    <t>700,0850</t>
  </si>
  <si>
    <t>615,0</t>
  </si>
  <si>
    <t>641,3220</t>
  </si>
  <si>
    <t>600,0</t>
  </si>
  <si>
    <t>623,8800</t>
  </si>
  <si>
    <t xml:space="preserve">Мастера </t>
  </si>
  <si>
    <t>1</t>
  </si>
  <si>
    <t>2</t>
  </si>
  <si>
    <t/>
  </si>
  <si>
    <t>-</t>
  </si>
  <si>
    <t>3</t>
  </si>
  <si>
    <t>Кончакова Наталья</t>
  </si>
  <si>
    <t>Мастера 40-49 (14.08.1977)/44</t>
  </si>
  <si>
    <t>54,70</t>
  </si>
  <si>
    <t xml:space="preserve">Исаков П. </t>
  </si>
  <si>
    <t>Илюшин Евгений</t>
  </si>
  <si>
    <t>Открытая (21.09.1987)/34</t>
  </si>
  <si>
    <t>81,60</t>
  </si>
  <si>
    <t xml:space="preserve">RUS/Тула </t>
  </si>
  <si>
    <t>215,0</t>
  </si>
  <si>
    <t>Набатчиков Виталий</t>
  </si>
  <si>
    <t>Открытая (07.06.1994)/27</t>
  </si>
  <si>
    <t>89,60</t>
  </si>
  <si>
    <t xml:space="preserve">RUS/Коломна </t>
  </si>
  <si>
    <t>Каторов Сергей</t>
  </si>
  <si>
    <t>Мастера 40-49 (29.03.1980)/41</t>
  </si>
  <si>
    <t>86,20</t>
  </si>
  <si>
    <t xml:space="preserve">Сагитов М. </t>
  </si>
  <si>
    <t>Лебедев Михаил</t>
  </si>
  <si>
    <t>Открытая (01.02.1996)/25</t>
  </si>
  <si>
    <t>99,90</t>
  </si>
  <si>
    <t xml:space="preserve">RUS/Химки </t>
  </si>
  <si>
    <t xml:space="preserve">Беловал Е. </t>
  </si>
  <si>
    <t>Карпычев Сергей</t>
  </si>
  <si>
    <t>Открытая (30.05.1992)/29</t>
  </si>
  <si>
    <t>90,10</t>
  </si>
  <si>
    <t xml:space="preserve">RUS/Ярославль </t>
  </si>
  <si>
    <t>185,0</t>
  </si>
  <si>
    <t>Кочнев Григорий</t>
  </si>
  <si>
    <t>Открытая (24.04.1988)/33</t>
  </si>
  <si>
    <t>109,70</t>
  </si>
  <si>
    <t>Papageorgiou Ioannis</t>
  </si>
  <si>
    <t>Открытая (21.06.1996)/25</t>
  </si>
  <si>
    <t>120,20</t>
  </si>
  <si>
    <t xml:space="preserve">GRC/Athens </t>
  </si>
  <si>
    <t>305,0</t>
  </si>
  <si>
    <t>ВЕСОВАЯ КАТЕГОРИЯ   140</t>
  </si>
  <si>
    <t>Пысь Дмитрий</t>
  </si>
  <si>
    <t>Открытая (04.05.1986)/35</t>
  </si>
  <si>
    <t>131,30</t>
  </si>
  <si>
    <t xml:space="preserve">RUS/Геленджик </t>
  </si>
  <si>
    <t>360,0</t>
  </si>
  <si>
    <t>380,0</t>
  </si>
  <si>
    <t>230,0</t>
  </si>
  <si>
    <t>320,0</t>
  </si>
  <si>
    <t>340,0</t>
  </si>
  <si>
    <t>Туляков Никита</t>
  </si>
  <si>
    <t>Открытая (23.02.1988)/33</t>
  </si>
  <si>
    <t>131,15</t>
  </si>
  <si>
    <t xml:space="preserve">Панферова М. </t>
  </si>
  <si>
    <t xml:space="preserve">Мастера 40-49 </t>
  </si>
  <si>
    <t>140</t>
  </si>
  <si>
    <t>90</t>
  </si>
  <si>
    <t>Гусева Ксения</t>
  </si>
  <si>
    <t>Открытая (26.06.2000)/21</t>
  </si>
  <si>
    <t>42,5</t>
  </si>
  <si>
    <t>Семыкина Дарья</t>
  </si>
  <si>
    <t>Открытая (03.03.2001)/20</t>
  </si>
  <si>
    <t>70,50</t>
  </si>
  <si>
    <t xml:space="preserve">Румянцев С. </t>
  </si>
  <si>
    <t>Открытая (11.07.1998)/23</t>
  </si>
  <si>
    <t>123,90</t>
  </si>
  <si>
    <t xml:space="preserve">CIV/Abidjan </t>
  </si>
  <si>
    <t>Шуров Антон</t>
  </si>
  <si>
    <t>135,30</t>
  </si>
  <si>
    <t>272,5</t>
  </si>
  <si>
    <t>282,5</t>
  </si>
  <si>
    <t>172,5</t>
  </si>
  <si>
    <t>255,0</t>
  </si>
  <si>
    <t>275,0</t>
  </si>
  <si>
    <t>Осипова Евгения</t>
  </si>
  <si>
    <t>Открытая (05.12.1983)/37</t>
  </si>
  <si>
    <t>65,30</t>
  </si>
  <si>
    <t>Бондарчук Елена</t>
  </si>
  <si>
    <t>Мастера 40-49 (18.06.1980)/41</t>
  </si>
  <si>
    <t>63,10</t>
  </si>
  <si>
    <t>107,5</t>
  </si>
  <si>
    <t>112,5</t>
  </si>
  <si>
    <t>187,5</t>
  </si>
  <si>
    <t xml:space="preserve">Таранухин Г. </t>
  </si>
  <si>
    <t>Тарасов Виталий</t>
  </si>
  <si>
    <t>Открытая (09.06.1977)/44</t>
  </si>
  <si>
    <t>82,00</t>
  </si>
  <si>
    <t xml:space="preserve">RUS/Лобня </t>
  </si>
  <si>
    <t>262,5</t>
  </si>
  <si>
    <t>Николаев Артем</t>
  </si>
  <si>
    <t>Открытая (01.06.1987)/34</t>
  </si>
  <si>
    <t>89,40</t>
  </si>
  <si>
    <t xml:space="preserve">RUS/Тверь </t>
  </si>
  <si>
    <t>Шомахов Алексей</t>
  </si>
  <si>
    <t>Открытая (31.10.1995)/25</t>
  </si>
  <si>
    <t>87,10</t>
  </si>
  <si>
    <t>Лукьянов Евгений</t>
  </si>
  <si>
    <t>Открытая (06.02.1981)/40</t>
  </si>
  <si>
    <t>97,70</t>
  </si>
  <si>
    <t xml:space="preserve">RUS/Радужный </t>
  </si>
  <si>
    <t>Маснев Владимир</t>
  </si>
  <si>
    <t>108,70</t>
  </si>
  <si>
    <t>Ржанков Владимир</t>
  </si>
  <si>
    <t>Мастера 50-59 (03.05.1962)/59</t>
  </si>
  <si>
    <t>106,90</t>
  </si>
  <si>
    <t xml:space="preserve">RUS/Кондопога </t>
  </si>
  <si>
    <t xml:space="preserve">Руруа О. </t>
  </si>
  <si>
    <t xml:space="preserve">Мастера 50-59 </t>
  </si>
  <si>
    <t>Крицкий Антон</t>
  </si>
  <si>
    <t xml:space="preserve">RUS/Старый Оскол </t>
  </si>
  <si>
    <t xml:space="preserve">Лысенко Д. </t>
  </si>
  <si>
    <t>Гаврин Василий</t>
  </si>
  <si>
    <t>Открытая (28.02.1992)/29</t>
  </si>
  <si>
    <t>80,60</t>
  </si>
  <si>
    <t xml:space="preserve">RUS/Нижний Новгород </t>
  </si>
  <si>
    <t xml:space="preserve">Савченко И. </t>
  </si>
  <si>
    <t>Зелепукин Алексей</t>
  </si>
  <si>
    <t>Открытая (22.01.1990)/31</t>
  </si>
  <si>
    <t>88,50</t>
  </si>
  <si>
    <t>Мишин Алексей</t>
  </si>
  <si>
    <t>98,30</t>
  </si>
  <si>
    <t xml:space="preserve">RUS/Фрязино </t>
  </si>
  <si>
    <t>Румянцев Сергей</t>
  </si>
  <si>
    <t>Открытая (14.08.1990)/31</t>
  </si>
  <si>
    <t>99,30</t>
  </si>
  <si>
    <t>202,5</t>
  </si>
  <si>
    <t>Павлов Сергей</t>
  </si>
  <si>
    <t>Открытая (30.05.1985)/36</t>
  </si>
  <si>
    <t>97,90</t>
  </si>
  <si>
    <t>Мышко Никита</t>
  </si>
  <si>
    <t>Открытая (09.02.1997)/24</t>
  </si>
  <si>
    <t>98,40</t>
  </si>
  <si>
    <t>Петросян Артур</t>
  </si>
  <si>
    <t>Мастера 50-59 (23.02.1970)/51</t>
  </si>
  <si>
    <t>98,10</t>
  </si>
  <si>
    <t>Жикулин Валерий</t>
  </si>
  <si>
    <t>Открытая (20.06.1983)/38</t>
  </si>
  <si>
    <t>110,00</t>
  </si>
  <si>
    <t xml:space="preserve">Парфёнов А </t>
  </si>
  <si>
    <t>Герштанский Сергей</t>
  </si>
  <si>
    <t>Мастера 40-49 (06.04.1974)/47</t>
  </si>
  <si>
    <t>105,60</t>
  </si>
  <si>
    <t xml:space="preserve">Петросян А. </t>
  </si>
  <si>
    <t>Вагин Александр</t>
  </si>
  <si>
    <t>Открытая (25.04.1986)/35</t>
  </si>
  <si>
    <t>116,00</t>
  </si>
  <si>
    <t>192,5</t>
  </si>
  <si>
    <t xml:space="preserve">Результат </t>
  </si>
  <si>
    <t>178,9710</t>
  </si>
  <si>
    <t>171,1380</t>
  </si>
  <si>
    <t>170,8290</t>
  </si>
  <si>
    <t>Результат</t>
  </si>
  <si>
    <t>Кокорев Илья</t>
  </si>
  <si>
    <t>82,30</t>
  </si>
  <si>
    <t>ВЕСОВАЯ КАТЕГОРИЯ   44</t>
  </si>
  <si>
    <t>Флёрова Анна</t>
  </si>
  <si>
    <t>43,70</t>
  </si>
  <si>
    <t xml:space="preserve">RUS/Одинцово </t>
  </si>
  <si>
    <t>40,0</t>
  </si>
  <si>
    <t>Шмелёва Марина</t>
  </si>
  <si>
    <t>Открытая (04.04.1988)/33</t>
  </si>
  <si>
    <t>59,70</t>
  </si>
  <si>
    <t>57,5</t>
  </si>
  <si>
    <t>67,5</t>
  </si>
  <si>
    <t>Серов Александр</t>
  </si>
  <si>
    <t>67,50</t>
  </si>
  <si>
    <t xml:space="preserve">Гончаров В. </t>
  </si>
  <si>
    <t>Тибилов Георгий</t>
  </si>
  <si>
    <t>Открытая (24.11.1997)/23</t>
  </si>
  <si>
    <t>65,60</t>
  </si>
  <si>
    <t xml:space="preserve">RUS/Владикавказ </t>
  </si>
  <si>
    <t>Новиков Вадим</t>
  </si>
  <si>
    <t>Открытая (09.11.1995)/25</t>
  </si>
  <si>
    <t>67,00</t>
  </si>
  <si>
    <t xml:space="preserve">RUS/Пенза </t>
  </si>
  <si>
    <t>Аветисян Рубен</t>
  </si>
  <si>
    <t>Открытая (15.08.1997)/24</t>
  </si>
  <si>
    <t>66,20</t>
  </si>
  <si>
    <t>97,5</t>
  </si>
  <si>
    <t>102,5</t>
  </si>
  <si>
    <t>Боровков Вадим</t>
  </si>
  <si>
    <t>Открытая (11.09.1986)/35</t>
  </si>
  <si>
    <t xml:space="preserve">Солохин Д. </t>
  </si>
  <si>
    <t>Николаев Олег</t>
  </si>
  <si>
    <t>Открытая (02.06.1989)/32</t>
  </si>
  <si>
    <t>66,10</t>
  </si>
  <si>
    <t>Пеку Юрий</t>
  </si>
  <si>
    <t>Открытая (28.08.1988)/33</t>
  </si>
  <si>
    <t>72,00</t>
  </si>
  <si>
    <t xml:space="preserve">Велиал Н. </t>
  </si>
  <si>
    <t>Кетенчиев Марат</t>
  </si>
  <si>
    <t>Открытая (19.07.1986)/35</t>
  </si>
  <si>
    <t>73,20</t>
  </si>
  <si>
    <t xml:space="preserve">RUS/Нальчик </t>
  </si>
  <si>
    <t>Дробченко Евгений</t>
  </si>
  <si>
    <t>Открытая (05.10.1981)/39</t>
  </si>
  <si>
    <t>81,70</t>
  </si>
  <si>
    <t xml:space="preserve">RUS/Красногорск </t>
  </si>
  <si>
    <t>Кужелев Геннадий</t>
  </si>
  <si>
    <t>Открытая (12.08.1983)/38</t>
  </si>
  <si>
    <t>80,80</t>
  </si>
  <si>
    <t xml:space="preserve">RUS/Смоленск </t>
  </si>
  <si>
    <t xml:space="preserve">FIN/Tampere </t>
  </si>
  <si>
    <t>Мастера 40-49 (19.01.1973)/48</t>
  </si>
  <si>
    <t>Барабанов Герман</t>
  </si>
  <si>
    <t>Мастера 80+ (28.01.1940)/81</t>
  </si>
  <si>
    <t>79,70</t>
  </si>
  <si>
    <t xml:space="preserve">RUS/Кимры </t>
  </si>
  <si>
    <t>Мищенко Артем</t>
  </si>
  <si>
    <t>Открытая (26.06.1984)/37</t>
  </si>
  <si>
    <t>88,90</t>
  </si>
  <si>
    <t xml:space="preserve">Чокаев У. </t>
  </si>
  <si>
    <t>Вислогузов Артем</t>
  </si>
  <si>
    <t>Открытая (25.12.1990)/30</t>
  </si>
  <si>
    <t>89,20</t>
  </si>
  <si>
    <t>Устарханов Ислам</t>
  </si>
  <si>
    <t>Открытая (13.05.1990)/31</t>
  </si>
  <si>
    <t xml:space="preserve">RUS/Рязань </t>
  </si>
  <si>
    <t>Пайзулаев Расул</t>
  </si>
  <si>
    <t>Открытая (07.09.1988)/33</t>
  </si>
  <si>
    <t>87,70</t>
  </si>
  <si>
    <t xml:space="preserve">RUS/Владимир </t>
  </si>
  <si>
    <t xml:space="preserve">Ортега А. </t>
  </si>
  <si>
    <t>Корнилов Алексей</t>
  </si>
  <si>
    <t>Открытая (05.08.1990)/31</t>
  </si>
  <si>
    <t>89,00</t>
  </si>
  <si>
    <t>Габидулин Олег</t>
  </si>
  <si>
    <t>Открытая (08.09.1994)/27</t>
  </si>
  <si>
    <t>89,10</t>
  </si>
  <si>
    <t xml:space="preserve">RUS/Мытищи </t>
  </si>
  <si>
    <t xml:space="preserve">Наумлюк С. </t>
  </si>
  <si>
    <t>Шамин Георгий</t>
  </si>
  <si>
    <t>96,40</t>
  </si>
  <si>
    <t xml:space="preserve">RUS/Долгопрудный </t>
  </si>
  <si>
    <t>Кочуров Павел</t>
  </si>
  <si>
    <t>Открытая (04.06.1996)/25</t>
  </si>
  <si>
    <t xml:space="preserve">Иванов Д. </t>
  </si>
  <si>
    <t>Максимов Андрей</t>
  </si>
  <si>
    <t>Открытая (14.10.1993)/27</t>
  </si>
  <si>
    <t>99,60</t>
  </si>
  <si>
    <t>Алешкин Сергей</t>
  </si>
  <si>
    <t>Открытая (26.12.1985)/35</t>
  </si>
  <si>
    <t>Камель Владислав</t>
  </si>
  <si>
    <t>Мастера 40-49 (06.01.1976)/45</t>
  </si>
  <si>
    <t>93,80</t>
  </si>
  <si>
    <t>Григорьев Юрий</t>
  </si>
  <si>
    <t>Мастера 50-59 (30.12.1970)/50</t>
  </si>
  <si>
    <t>99,00</t>
  </si>
  <si>
    <t>Фомин Павел</t>
  </si>
  <si>
    <t>Открытая (16.05.1979)/42</t>
  </si>
  <si>
    <t>104,60</t>
  </si>
  <si>
    <t>Алимов Алексей</t>
  </si>
  <si>
    <t>Мастера 40-49 (05.02.1978)/43</t>
  </si>
  <si>
    <t>107,60</t>
  </si>
  <si>
    <t xml:space="preserve">RUS/Зеленоград </t>
  </si>
  <si>
    <t>177,5</t>
  </si>
  <si>
    <t xml:space="preserve">Седых А. </t>
  </si>
  <si>
    <t>Ремин Кирилл</t>
  </si>
  <si>
    <t>Мастера 40-49 (13.08.1975)/46</t>
  </si>
  <si>
    <t xml:space="preserve">RUS/Сергиев Посад </t>
  </si>
  <si>
    <t xml:space="preserve">Пушнин М. </t>
  </si>
  <si>
    <t>Яковенко Владимир</t>
  </si>
  <si>
    <t>Мастера 60-69 (27.03.1959)/62</t>
  </si>
  <si>
    <t>109,90</t>
  </si>
  <si>
    <t xml:space="preserve">RUS/Можайск </t>
  </si>
  <si>
    <t xml:space="preserve">Савин К. </t>
  </si>
  <si>
    <t>Усков Георгий</t>
  </si>
  <si>
    <t>Открытая (16.09.1983)/38</t>
  </si>
  <si>
    <t>119,90</t>
  </si>
  <si>
    <t>Бексултанов Мустафа</t>
  </si>
  <si>
    <t>Открытая (12.02.1991)/30</t>
  </si>
  <si>
    <t>131,90</t>
  </si>
  <si>
    <t>Чубаров Владимир</t>
  </si>
  <si>
    <t>Мастера 50-59 (03.04.1964)/57</t>
  </si>
  <si>
    <t>133,40</t>
  </si>
  <si>
    <t>190,4760</t>
  </si>
  <si>
    <t>184,2800</t>
  </si>
  <si>
    <t>165,7600</t>
  </si>
  <si>
    <t xml:space="preserve">Мастера 80+ </t>
  </si>
  <si>
    <t>288,7248</t>
  </si>
  <si>
    <t>195,1323</t>
  </si>
  <si>
    <t>183,6941</t>
  </si>
  <si>
    <t>4</t>
  </si>
  <si>
    <t>5</t>
  </si>
  <si>
    <t>6</t>
  </si>
  <si>
    <t>Кончаков Владимир</t>
  </si>
  <si>
    <t>Открытая (25.05.1973)/48</t>
  </si>
  <si>
    <t>99,40</t>
  </si>
  <si>
    <t xml:space="preserve">RUS/Люберцы </t>
  </si>
  <si>
    <t>290,0</t>
  </si>
  <si>
    <t xml:space="preserve">Белкин Ю. </t>
  </si>
  <si>
    <t>Мастера 40-49 (25.05.1973)/48</t>
  </si>
  <si>
    <t>Виноградский Денис</t>
  </si>
  <si>
    <t>Открытая (20.07.1992)/29</t>
  </si>
  <si>
    <t>87,40</t>
  </si>
  <si>
    <t>Гореликов Дмитрий</t>
  </si>
  <si>
    <t>Мастера 50-59 (23.06.1968)/53</t>
  </si>
  <si>
    <t>81,00</t>
  </si>
  <si>
    <t>216,0</t>
  </si>
  <si>
    <t>Кравченко Евгений</t>
  </si>
  <si>
    <t>Открытая (03.11.1986)/34</t>
  </si>
  <si>
    <t>330,0</t>
  </si>
  <si>
    <t>350,0</t>
  </si>
  <si>
    <t>Уганина Ольга</t>
  </si>
  <si>
    <t>Открытая (28.04.1979)/42</t>
  </si>
  <si>
    <t>55,70</t>
  </si>
  <si>
    <t xml:space="preserve">RUS/Чехов </t>
  </si>
  <si>
    <t>Харламова Елизавета</t>
  </si>
  <si>
    <t>Открытая (09.07.1990)/31</t>
  </si>
  <si>
    <t>53,70</t>
  </si>
  <si>
    <t>117,5</t>
  </si>
  <si>
    <t>Евсеева Наталья</t>
  </si>
  <si>
    <t>Открытая (30.10.1975)/45</t>
  </si>
  <si>
    <t xml:space="preserve">RUS/Канск </t>
  </si>
  <si>
    <t xml:space="preserve">Калита И. </t>
  </si>
  <si>
    <t>Гордиенко Ольга</t>
  </si>
  <si>
    <t>64,80</t>
  </si>
  <si>
    <t xml:space="preserve">Потылкин Д. </t>
  </si>
  <si>
    <t>Открытая (17.05.2005)/16</t>
  </si>
  <si>
    <t>Кунашев Аскерби</t>
  </si>
  <si>
    <t>Открытая (09.05.1986)/35</t>
  </si>
  <si>
    <t>66,40</t>
  </si>
  <si>
    <t>Ращупкин Евгений</t>
  </si>
  <si>
    <t>74,70</t>
  </si>
  <si>
    <t>Mantymaki Mikko</t>
  </si>
  <si>
    <t>Мастера 50-59 (29.09.1971)/50</t>
  </si>
  <si>
    <t>Тимошенко Дмитрий</t>
  </si>
  <si>
    <t>Открытая (20.07.1995)/26</t>
  </si>
  <si>
    <t>257,5</t>
  </si>
  <si>
    <t>Хватов Ярослав</t>
  </si>
  <si>
    <t>Открытая (09.03.1994)/27</t>
  </si>
  <si>
    <t>Яшина Яна</t>
  </si>
  <si>
    <t>Открытая (10.07.1996)/25</t>
  </si>
  <si>
    <t>51,90</t>
  </si>
  <si>
    <t>Крят Игорь</t>
  </si>
  <si>
    <t>Открытая (31.05.1988)/33</t>
  </si>
  <si>
    <t>96,50</t>
  </si>
  <si>
    <t xml:space="preserve">RUS/Варениковская </t>
  </si>
  <si>
    <t>312,5</t>
  </si>
  <si>
    <t>315,0</t>
  </si>
  <si>
    <t xml:space="preserve">Бунтов Д. </t>
  </si>
  <si>
    <t>Грудинина Дарья</t>
  </si>
  <si>
    <t>50,90</t>
  </si>
  <si>
    <t xml:space="preserve">Скаржинский И. </t>
  </si>
  <si>
    <t>Открытая (29.09.1971)/50</t>
  </si>
  <si>
    <t>137,5</t>
  </si>
  <si>
    <t>Кулебякин Руслан</t>
  </si>
  <si>
    <t>Открытая (26.02.1991)/30</t>
  </si>
  <si>
    <t>108,50</t>
  </si>
  <si>
    <t xml:space="preserve">RUS/Таганрог </t>
  </si>
  <si>
    <t>267,5</t>
  </si>
  <si>
    <t>Юниорки 20-23 (14.09.1998)/23</t>
  </si>
  <si>
    <t>Девушки 16-17 (17.05.2005)/16</t>
  </si>
  <si>
    <t>Юноши 16-17 (10.12.2003)/17</t>
  </si>
  <si>
    <t>Девушки 13-15 (31.07.2009)/12</t>
  </si>
  <si>
    <t>Юноши 13-15 (16.02.2006)/15</t>
  </si>
  <si>
    <t>Юноши 13-15 (02.10.2007)/14</t>
  </si>
  <si>
    <t>Юниоры 20-23 (18.12.2000)/20</t>
  </si>
  <si>
    <t>Юниоры 20-23 (06.02.1998)/23</t>
  </si>
  <si>
    <t>Юноши 18-19 (02.04.2002)/19</t>
  </si>
  <si>
    <t>Юниоры 20-23 (01.06.2000)/21</t>
  </si>
  <si>
    <t>Юниоры 20-23 (13.09.1998)/23</t>
  </si>
  <si>
    <t>Юниоры 20-23 (10.09.1998)/23</t>
  </si>
  <si>
    <t>Юниоры 20-23 (24.05.2001)/20</t>
  </si>
  <si>
    <t>Чемпионат Европы GPA/IPO
GPA Силовое двоеборье без экипировки ДК
Долгопрудный/Московская область, 3 октября 2021 года</t>
  </si>
  <si>
    <t>Чемпионат Европы GPA/IPO
GPA Силовое двоеборье без экипировки
Долгопрудный/Московская область, 3 октября 2021 года</t>
  </si>
  <si>
    <t>Чемпионат Европы GPA/IPO
GPA Присед без экипировки ДК
Долгопрудный/Московская область, 3 октября 2021 года</t>
  </si>
  <si>
    <t>Чемпионат Европы GPA/IPO
GPA Становая тяга без экипировки ДК
Долгопрудный/Московская область, 3 октября 2021 года</t>
  </si>
  <si>
    <t>Чемпионат Европы GPA/IPO
GPA Становая тяга без экипировки
Долгопрудный/Московская область, 3 октября 2021 года</t>
  </si>
  <si>
    <t>Чемпионат Европы GPA/IPO
IPO Жим лежа в однослойной экипировке ДК
Долгопрудный/Московская область, 3 октября 2021 года</t>
  </si>
  <si>
    <t>Чемпионат Европы GPA/IPO
IPO Жим лежа в однослойной экипировке
Долгопрудный/Московская область, 3 октября 2021 года</t>
  </si>
  <si>
    <t>Чемпионат Европы GPA/IPO
GPA Жим лежа без экипировки ДК
Долгопрудный/Московская область, 3 октября 2021 года</t>
  </si>
  <si>
    <t>Чемпионат Европы GPA/IPO
GPA Жим лежа без экипировки
Долгопрудный/Московская область, 3 октября 2021 года</t>
  </si>
  <si>
    <t>Чемпионат Европы GPA/IPO
GPA Пауэрлифтинг без экипировки
Долгопрудный/Московская область, 3 октября 2021 года</t>
  </si>
  <si>
    <t>Чемпионат Европы GPA/IPO
GPA Пауэрлифтинг в бинтах ДК
Долгопрудный/Московская область, 3 октября 2021 года</t>
  </si>
  <si>
    <t>Чемпионат Европы GPA/IPO
GPA Пауэрлифтинг в бинтах
Долгопрудный/Московская область, 3 октября 2021 года</t>
  </si>
  <si>
    <t>Чемпионат Европы GPA/IPO
GPA Пауэрлифтинг без экипировки ДК
Долгопрудный/Московская область, 3 октября 2021 года</t>
  </si>
  <si>
    <t>Весовая категория</t>
  </si>
  <si>
    <t>Григорьев Ю.</t>
  </si>
  <si>
    <t>Стародубский С.</t>
  </si>
  <si>
    <t>Самостоятельно</t>
  </si>
  <si>
    <t>Ращупкин С.</t>
  </si>
  <si>
    <t>Насонов Д.</t>
  </si>
  <si>
    <t>Беляев М.</t>
  </si>
  <si>
    <t>Голубев Е.</t>
  </si>
  <si>
    <t>Суслов Н.</t>
  </si>
  <si>
    <t>Корнилов А.</t>
  </si>
  <si>
    <t>Королев А.</t>
  </si>
  <si>
    <t>Квасков А.</t>
  </si>
  <si>
    <t>Румянцев С.</t>
  </si>
  <si>
    <t>Парфенов А.</t>
  </si>
  <si>
    <t>Gnabro Kokolou Elisee</t>
  </si>
  <si>
    <t>Хренов В.</t>
  </si>
  <si>
    <t>Сиротин Д.</t>
  </si>
  <si>
    <t>Рябиников О.</t>
  </si>
  <si>
    <t>№</t>
  </si>
  <si>
    <t xml:space="preserve">
Дата рождения/Возраст</t>
  </si>
  <si>
    <t>Возрастная группа</t>
  </si>
  <si>
    <t>M1</t>
  </si>
  <si>
    <t>O</t>
  </si>
  <si>
    <t>M2</t>
  </si>
  <si>
    <t>T2</t>
  </si>
  <si>
    <t>J</t>
  </si>
  <si>
    <t>T1</t>
  </si>
  <si>
    <t>M5</t>
  </si>
  <si>
    <t>M3</t>
  </si>
  <si>
    <t>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</si>
</sst>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Лист5">
    <pageSetUpPr fitToPage="1"/>
  </sheetPr>
  <dimension ref="A1:U56"/>
  <sheetViews>
    <sheetView tabSelected="1" topLeftCell="A14" workbookViewId="0">
      <selection activeCell="E46" sqref="E46"/>
    </sheetView>
  </sheetViews>
  <sheetFormatPr baseColWidth="10" defaultColWidth="9.1640625" defaultRowHeight="13"/>
  <cols>
    <col min="1" max="1" width="7.5" style="5" bestFit="1" customWidth="1"/>
    <col min="2" max="2" width="23.1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2" style="5" bestFit="1" customWidth="1"/>
    <col min="7" max="9" width="5.5" style="6" customWidth="1"/>
    <col min="10" max="10" width="4.83203125" style="6" customWidth="1"/>
    <col min="11" max="17" width="5.5" style="6" customWidth="1"/>
    <col min="18" max="18" width="4.83203125" style="6" customWidth="1"/>
    <col min="19" max="19" width="7.83203125" style="29" bestFit="1" customWidth="1"/>
    <col min="20" max="20" width="8.5" style="6" bestFit="1" customWidth="1"/>
    <col min="21" max="21" width="21.83203125" style="5" customWidth="1"/>
    <col min="22" max="16384" width="9.1640625" style="3"/>
  </cols>
  <sheetData>
    <row r="1" spans="1:21" s="2" customFormat="1" ht="29" customHeight="1">
      <c r="A1" s="42" t="s">
        <v>559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</row>
    <row r="2" spans="1:21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1:21" s="1" customFormat="1" ht="12.75" customHeight="1">
      <c r="A3" s="50" t="s">
        <v>578</v>
      </c>
      <c r="B3" s="34" t="s">
        <v>0</v>
      </c>
      <c r="C3" s="52" t="s">
        <v>579</v>
      </c>
      <c r="D3" s="52" t="s">
        <v>5</v>
      </c>
      <c r="E3" s="38" t="s">
        <v>580</v>
      </c>
      <c r="F3" s="38" t="s">
        <v>6</v>
      </c>
      <c r="G3" s="38" t="s">
        <v>7</v>
      </c>
      <c r="H3" s="38"/>
      <c r="I3" s="38"/>
      <c r="J3" s="38"/>
      <c r="K3" s="38" t="s">
        <v>8</v>
      </c>
      <c r="L3" s="38"/>
      <c r="M3" s="38"/>
      <c r="N3" s="38"/>
      <c r="O3" s="38" t="s">
        <v>9</v>
      </c>
      <c r="P3" s="38"/>
      <c r="Q3" s="38"/>
      <c r="R3" s="38"/>
      <c r="S3" s="40" t="s">
        <v>1</v>
      </c>
      <c r="T3" s="38" t="s">
        <v>3</v>
      </c>
      <c r="U3" s="53" t="s">
        <v>2</v>
      </c>
    </row>
    <row r="4" spans="1:21" s="1" customFormat="1" ht="21" customHeight="1" thickBot="1">
      <c r="A4" s="51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1"/>
      <c r="T4" s="39"/>
      <c r="U4" s="54"/>
    </row>
    <row r="5" spans="1:21" ht="16">
      <c r="A5" s="36" t="s">
        <v>10</v>
      </c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21">
      <c r="A6" s="8" t="s">
        <v>183</v>
      </c>
      <c r="B6" s="7" t="s">
        <v>11</v>
      </c>
      <c r="C6" s="7" t="s">
        <v>12</v>
      </c>
      <c r="D6" s="7" t="s">
        <v>13</v>
      </c>
      <c r="E6" s="7" t="s">
        <v>582</v>
      </c>
      <c r="F6" s="7" t="s">
        <v>14</v>
      </c>
      <c r="G6" s="20" t="s">
        <v>15</v>
      </c>
      <c r="H6" s="20" t="s">
        <v>16</v>
      </c>
      <c r="I6" s="20" t="s">
        <v>17</v>
      </c>
      <c r="J6" s="8"/>
      <c r="K6" s="20" t="s">
        <v>18</v>
      </c>
      <c r="L6" s="20" t="s">
        <v>19</v>
      </c>
      <c r="M6" s="20" t="s">
        <v>20</v>
      </c>
      <c r="N6" s="8"/>
      <c r="O6" s="20" t="s">
        <v>21</v>
      </c>
      <c r="P6" s="20" t="s">
        <v>22</v>
      </c>
      <c r="Q6" s="20" t="s">
        <v>23</v>
      </c>
      <c r="R6" s="8"/>
      <c r="S6" s="30" t="str">
        <f>"332,5"</f>
        <v>332,5</v>
      </c>
      <c r="T6" s="8" t="str">
        <f>"773,9935"</f>
        <v>773,9935</v>
      </c>
      <c r="U6" s="7" t="s">
        <v>24</v>
      </c>
    </row>
    <row r="7" spans="1:21">
      <c r="A7" s="10" t="s">
        <v>184</v>
      </c>
      <c r="B7" s="9" t="s">
        <v>25</v>
      </c>
      <c r="C7" s="9" t="s">
        <v>26</v>
      </c>
      <c r="D7" s="9" t="s">
        <v>27</v>
      </c>
      <c r="E7" s="9" t="s">
        <v>582</v>
      </c>
      <c r="F7" s="9" t="s">
        <v>28</v>
      </c>
      <c r="G7" s="21" t="s">
        <v>29</v>
      </c>
      <c r="H7" s="22" t="s">
        <v>29</v>
      </c>
      <c r="I7" s="22" t="s">
        <v>30</v>
      </c>
      <c r="J7" s="10"/>
      <c r="K7" s="22" t="s">
        <v>31</v>
      </c>
      <c r="L7" s="22" t="s">
        <v>32</v>
      </c>
      <c r="M7" s="21" t="s">
        <v>33</v>
      </c>
      <c r="N7" s="10"/>
      <c r="O7" s="22" t="s">
        <v>16</v>
      </c>
      <c r="P7" s="22" t="s">
        <v>17</v>
      </c>
      <c r="Q7" s="22" t="s">
        <v>34</v>
      </c>
      <c r="R7" s="10"/>
      <c r="S7" s="32" t="str">
        <f>"270,0"</f>
        <v>270,0</v>
      </c>
      <c r="T7" s="10" t="str">
        <f>"638,0100"</f>
        <v>638,0100</v>
      </c>
      <c r="U7" s="9"/>
    </row>
    <row r="8" spans="1:21">
      <c r="B8" s="5" t="s">
        <v>185</v>
      </c>
    </row>
    <row r="9" spans="1:21" ht="16">
      <c r="A9" s="33" t="s">
        <v>35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spans="1:21">
      <c r="A10" s="12" t="s">
        <v>186</v>
      </c>
      <c r="B10" s="11" t="s">
        <v>36</v>
      </c>
      <c r="C10" s="11" t="s">
        <v>37</v>
      </c>
      <c r="D10" s="11" t="s">
        <v>38</v>
      </c>
      <c r="E10" s="11" t="s">
        <v>582</v>
      </c>
      <c r="F10" s="11" t="s">
        <v>39</v>
      </c>
      <c r="G10" s="23" t="s">
        <v>40</v>
      </c>
      <c r="H10" s="23" t="s">
        <v>29</v>
      </c>
      <c r="I10" s="23" t="s">
        <v>41</v>
      </c>
      <c r="J10" s="12"/>
      <c r="K10" s="23"/>
      <c r="L10" s="12"/>
      <c r="M10" s="12"/>
      <c r="N10" s="12"/>
      <c r="O10" s="23"/>
      <c r="P10" s="12"/>
      <c r="Q10" s="12"/>
      <c r="R10" s="12"/>
      <c r="S10" s="28">
        <v>0</v>
      </c>
      <c r="T10" s="12" t="str">
        <f>"0,0000"</f>
        <v>0,0000</v>
      </c>
      <c r="U10" s="11" t="s">
        <v>43</v>
      </c>
    </row>
    <row r="11" spans="1:21">
      <c r="B11" s="5" t="s">
        <v>185</v>
      </c>
    </row>
    <row r="12" spans="1:21" ht="16">
      <c r="A12" s="33" t="s">
        <v>44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</row>
    <row r="13" spans="1:21">
      <c r="A13" s="8" t="s">
        <v>183</v>
      </c>
      <c r="B13" s="7" t="s">
        <v>45</v>
      </c>
      <c r="C13" s="7" t="s">
        <v>46</v>
      </c>
      <c r="D13" s="7" t="s">
        <v>47</v>
      </c>
      <c r="E13" s="7" t="s">
        <v>582</v>
      </c>
      <c r="F13" s="7" t="s">
        <v>48</v>
      </c>
      <c r="G13" s="20" t="s">
        <v>29</v>
      </c>
      <c r="H13" s="20" t="s">
        <v>41</v>
      </c>
      <c r="I13" s="24" t="s">
        <v>49</v>
      </c>
      <c r="J13" s="8"/>
      <c r="K13" s="20" t="s">
        <v>50</v>
      </c>
      <c r="L13" s="24" t="s">
        <v>51</v>
      </c>
      <c r="M13" s="24" t="s">
        <v>51</v>
      </c>
      <c r="N13" s="8"/>
      <c r="O13" s="20" t="s">
        <v>52</v>
      </c>
      <c r="P13" s="20" t="s">
        <v>53</v>
      </c>
      <c r="Q13" s="20" t="s">
        <v>15</v>
      </c>
      <c r="R13" s="8"/>
      <c r="S13" s="30" t="str">
        <f>"237,5"</f>
        <v>237,5</v>
      </c>
      <c r="T13" s="8" t="str">
        <f>"460,2750"</f>
        <v>460,2750</v>
      </c>
      <c r="U13" s="7" t="s">
        <v>54</v>
      </c>
    </row>
    <row r="14" spans="1:21">
      <c r="A14" s="10" t="s">
        <v>186</v>
      </c>
      <c r="B14" s="9" t="s">
        <v>55</v>
      </c>
      <c r="C14" s="9" t="s">
        <v>56</v>
      </c>
      <c r="D14" s="9" t="s">
        <v>57</v>
      </c>
      <c r="E14" s="9" t="s">
        <v>582</v>
      </c>
      <c r="F14" s="9" t="s">
        <v>39</v>
      </c>
      <c r="G14" s="21" t="s">
        <v>58</v>
      </c>
      <c r="H14" s="21" t="s">
        <v>58</v>
      </c>
      <c r="I14" s="21" t="s">
        <v>58</v>
      </c>
      <c r="J14" s="10"/>
      <c r="K14" s="21"/>
      <c r="L14" s="10"/>
      <c r="M14" s="10"/>
      <c r="N14" s="10"/>
      <c r="O14" s="21"/>
      <c r="P14" s="10"/>
      <c r="Q14" s="10"/>
      <c r="R14" s="10"/>
      <c r="S14" s="32">
        <v>0</v>
      </c>
      <c r="T14" s="10" t="str">
        <f>"0,0000"</f>
        <v>0,0000</v>
      </c>
      <c r="U14" s="9" t="s">
        <v>573</v>
      </c>
    </row>
    <row r="15" spans="1:21">
      <c r="B15" s="5" t="s">
        <v>185</v>
      </c>
    </row>
    <row r="16" spans="1:21" ht="16">
      <c r="A16" s="33" t="s">
        <v>60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</row>
    <row r="17" spans="1:21">
      <c r="A17" s="12" t="s">
        <v>183</v>
      </c>
      <c r="B17" s="11" t="s">
        <v>61</v>
      </c>
      <c r="C17" s="11" t="s">
        <v>62</v>
      </c>
      <c r="D17" s="11" t="s">
        <v>63</v>
      </c>
      <c r="E17" s="11" t="s">
        <v>582</v>
      </c>
      <c r="F17" s="11" t="s">
        <v>39</v>
      </c>
      <c r="G17" s="23" t="s">
        <v>64</v>
      </c>
      <c r="H17" s="25" t="s">
        <v>64</v>
      </c>
      <c r="I17" s="23" t="s">
        <v>65</v>
      </c>
      <c r="J17" s="12"/>
      <c r="K17" s="25" t="s">
        <v>51</v>
      </c>
      <c r="L17" s="23" t="s">
        <v>42</v>
      </c>
      <c r="M17" s="23" t="s">
        <v>42</v>
      </c>
      <c r="N17" s="12"/>
      <c r="O17" s="25" t="s">
        <v>30</v>
      </c>
      <c r="P17" s="25" t="s">
        <v>53</v>
      </c>
      <c r="Q17" s="25" t="s">
        <v>16</v>
      </c>
      <c r="R17" s="12"/>
      <c r="S17" s="28" t="str">
        <f>"235,0"</f>
        <v>235,0</v>
      </c>
      <c r="T17" s="12" t="str">
        <f>"426,1960"</f>
        <v>426,1960</v>
      </c>
      <c r="U17" s="11" t="s">
        <v>66</v>
      </c>
    </row>
    <row r="18" spans="1:21">
      <c r="B18" s="5" t="s">
        <v>185</v>
      </c>
    </row>
    <row r="19" spans="1:21" ht="16">
      <c r="A19" s="33" t="s">
        <v>67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</row>
    <row r="20" spans="1:21">
      <c r="A20" s="12" t="s">
        <v>183</v>
      </c>
      <c r="B20" s="11" t="s">
        <v>68</v>
      </c>
      <c r="C20" s="11" t="s">
        <v>69</v>
      </c>
      <c r="D20" s="11" t="s">
        <v>70</v>
      </c>
      <c r="E20" s="11" t="s">
        <v>582</v>
      </c>
      <c r="F20" s="11" t="s">
        <v>71</v>
      </c>
      <c r="G20" s="25" t="s">
        <v>64</v>
      </c>
      <c r="H20" s="25" t="s">
        <v>65</v>
      </c>
      <c r="I20" s="25" t="s">
        <v>29</v>
      </c>
      <c r="J20" s="12"/>
      <c r="K20" s="25" t="s">
        <v>72</v>
      </c>
      <c r="L20" s="25" t="s">
        <v>42</v>
      </c>
      <c r="M20" s="25" t="s">
        <v>31</v>
      </c>
      <c r="N20" s="12"/>
      <c r="O20" s="25" t="s">
        <v>30</v>
      </c>
      <c r="P20" s="25" t="s">
        <v>53</v>
      </c>
      <c r="Q20" s="25" t="s">
        <v>16</v>
      </c>
      <c r="R20" s="12"/>
      <c r="S20" s="28" t="str">
        <f>"250,0"</f>
        <v>250,0</v>
      </c>
      <c r="T20" s="12" t="str">
        <f>"430,2500"</f>
        <v>430,2500</v>
      </c>
      <c r="U20" s="11" t="s">
        <v>66</v>
      </c>
    </row>
    <row r="21" spans="1:21">
      <c r="B21" s="5" t="s">
        <v>185</v>
      </c>
    </row>
    <row r="22" spans="1:21" ht="16">
      <c r="A22" s="33" t="s">
        <v>76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</row>
    <row r="23" spans="1:21">
      <c r="A23" s="8" t="s">
        <v>183</v>
      </c>
      <c r="B23" s="7" t="s">
        <v>77</v>
      </c>
      <c r="C23" s="7" t="s">
        <v>78</v>
      </c>
      <c r="D23" s="7" t="s">
        <v>79</v>
      </c>
      <c r="E23" s="7" t="s">
        <v>582</v>
      </c>
      <c r="F23" s="7" t="s">
        <v>80</v>
      </c>
      <c r="G23" s="20" t="s">
        <v>81</v>
      </c>
      <c r="H23" s="20" t="s">
        <v>75</v>
      </c>
      <c r="I23" s="24" t="s">
        <v>82</v>
      </c>
      <c r="J23" s="8"/>
      <c r="K23" s="20" t="s">
        <v>15</v>
      </c>
      <c r="L23" s="20" t="s">
        <v>16</v>
      </c>
      <c r="M23" s="8"/>
      <c r="N23" s="8"/>
      <c r="O23" s="20" t="s">
        <v>83</v>
      </c>
      <c r="P23" s="20" t="s">
        <v>84</v>
      </c>
      <c r="Q23" s="20" t="s">
        <v>85</v>
      </c>
      <c r="R23" s="8"/>
      <c r="S23" s="30" t="str">
        <f>"475,0"</f>
        <v>475,0</v>
      </c>
      <c r="T23" s="8" t="str">
        <f>"533,1400"</f>
        <v>533,1400</v>
      </c>
      <c r="U23" s="7"/>
    </row>
    <row r="24" spans="1:21">
      <c r="A24" s="14" t="s">
        <v>184</v>
      </c>
      <c r="B24" s="13" t="s">
        <v>86</v>
      </c>
      <c r="C24" s="13" t="s">
        <v>87</v>
      </c>
      <c r="D24" s="13" t="s">
        <v>88</v>
      </c>
      <c r="E24" s="13" t="s">
        <v>582</v>
      </c>
      <c r="F24" s="13" t="s">
        <v>39</v>
      </c>
      <c r="G24" s="26" t="s">
        <v>75</v>
      </c>
      <c r="H24" s="27" t="s">
        <v>89</v>
      </c>
      <c r="I24" s="27" t="s">
        <v>89</v>
      </c>
      <c r="J24" s="14"/>
      <c r="K24" s="26" t="s">
        <v>90</v>
      </c>
      <c r="L24" s="26" t="s">
        <v>21</v>
      </c>
      <c r="M24" s="27" t="s">
        <v>91</v>
      </c>
      <c r="N24" s="14"/>
      <c r="O24" s="26" t="s">
        <v>82</v>
      </c>
      <c r="P24" s="27" t="s">
        <v>92</v>
      </c>
      <c r="Q24" s="27" t="s">
        <v>83</v>
      </c>
      <c r="R24" s="14"/>
      <c r="S24" s="31" t="str">
        <f>"460,0"</f>
        <v>460,0</v>
      </c>
      <c r="T24" s="14" t="str">
        <f>"517,7760"</f>
        <v>517,7760</v>
      </c>
      <c r="U24" s="13" t="s">
        <v>66</v>
      </c>
    </row>
    <row r="25" spans="1:21">
      <c r="A25" s="10" t="s">
        <v>183</v>
      </c>
      <c r="B25" s="9" t="s">
        <v>93</v>
      </c>
      <c r="C25" s="9" t="s">
        <v>94</v>
      </c>
      <c r="D25" s="9" t="s">
        <v>95</v>
      </c>
      <c r="E25" s="9" t="s">
        <v>588</v>
      </c>
      <c r="F25" s="9" t="s">
        <v>39</v>
      </c>
      <c r="G25" s="22" t="s">
        <v>17</v>
      </c>
      <c r="H25" s="21" t="s">
        <v>96</v>
      </c>
      <c r="I25" s="22" t="s">
        <v>96</v>
      </c>
      <c r="J25" s="10"/>
      <c r="K25" s="22" t="s">
        <v>29</v>
      </c>
      <c r="L25" s="21" t="s">
        <v>30</v>
      </c>
      <c r="M25" s="22" t="s">
        <v>30</v>
      </c>
      <c r="N25" s="10"/>
      <c r="O25" s="22" t="s">
        <v>23</v>
      </c>
      <c r="P25" s="22" t="s">
        <v>97</v>
      </c>
      <c r="Q25" s="22" t="s">
        <v>98</v>
      </c>
      <c r="R25" s="10"/>
      <c r="S25" s="32" t="str">
        <f>"370,0"</f>
        <v>370,0</v>
      </c>
      <c r="T25" s="10" t="str">
        <f>"713,4500"</f>
        <v>713,4500</v>
      </c>
      <c r="U25" s="9"/>
    </row>
    <row r="26" spans="1:21">
      <c r="B26" s="5" t="s">
        <v>185</v>
      </c>
    </row>
    <row r="27" spans="1:21" ht="16">
      <c r="A27" s="33" t="s">
        <v>99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</row>
    <row r="28" spans="1:21">
      <c r="A28" s="8" t="s">
        <v>183</v>
      </c>
      <c r="B28" s="7" t="s">
        <v>100</v>
      </c>
      <c r="C28" s="7" t="s">
        <v>544</v>
      </c>
      <c r="D28" s="7" t="s">
        <v>101</v>
      </c>
      <c r="E28" s="7" t="s">
        <v>585</v>
      </c>
      <c r="F28" s="7" t="s">
        <v>102</v>
      </c>
      <c r="G28" s="24" t="s">
        <v>34</v>
      </c>
      <c r="H28" s="20" t="s">
        <v>34</v>
      </c>
      <c r="I28" s="20" t="s">
        <v>90</v>
      </c>
      <c r="J28" s="8"/>
      <c r="K28" s="20" t="s">
        <v>65</v>
      </c>
      <c r="L28" s="20" t="s">
        <v>29</v>
      </c>
      <c r="M28" s="24" t="s">
        <v>30</v>
      </c>
      <c r="N28" s="8"/>
      <c r="O28" s="20" t="s">
        <v>23</v>
      </c>
      <c r="P28" s="20" t="s">
        <v>74</v>
      </c>
      <c r="Q28" s="20" t="s">
        <v>75</v>
      </c>
      <c r="R28" s="8"/>
      <c r="S28" s="30" t="str">
        <f>"370,0"</f>
        <v>370,0</v>
      </c>
      <c r="T28" s="8" t="str">
        <f>"386,5760"</f>
        <v>386,5760</v>
      </c>
      <c r="U28" s="7" t="s">
        <v>103</v>
      </c>
    </row>
    <row r="29" spans="1:21">
      <c r="A29" s="14" t="s">
        <v>183</v>
      </c>
      <c r="B29" s="13" t="s">
        <v>104</v>
      </c>
      <c r="C29" s="13" t="s">
        <v>105</v>
      </c>
      <c r="D29" s="13" t="s">
        <v>106</v>
      </c>
      <c r="E29" s="13" t="s">
        <v>582</v>
      </c>
      <c r="F29" s="13" t="s">
        <v>28</v>
      </c>
      <c r="G29" s="26" t="s">
        <v>107</v>
      </c>
      <c r="H29" s="26" t="s">
        <v>108</v>
      </c>
      <c r="I29" s="26" t="s">
        <v>83</v>
      </c>
      <c r="J29" s="14"/>
      <c r="K29" s="26" t="s">
        <v>97</v>
      </c>
      <c r="L29" s="26" t="s">
        <v>98</v>
      </c>
      <c r="M29" s="26" t="s">
        <v>75</v>
      </c>
      <c r="N29" s="14"/>
      <c r="O29" s="26" t="s">
        <v>109</v>
      </c>
      <c r="P29" s="26" t="s">
        <v>110</v>
      </c>
      <c r="Q29" s="26" t="s">
        <v>111</v>
      </c>
      <c r="R29" s="14"/>
      <c r="S29" s="31" t="str">
        <f>"615,0"</f>
        <v>615,0</v>
      </c>
      <c r="T29" s="14" t="str">
        <f>"641,3220"</f>
        <v>641,3220</v>
      </c>
      <c r="U29" s="13"/>
    </row>
    <row r="30" spans="1:21">
      <c r="A30" s="14" t="s">
        <v>184</v>
      </c>
      <c r="B30" s="13" t="s">
        <v>112</v>
      </c>
      <c r="C30" s="13" t="s">
        <v>113</v>
      </c>
      <c r="D30" s="13" t="s">
        <v>114</v>
      </c>
      <c r="E30" s="13" t="s">
        <v>582</v>
      </c>
      <c r="F30" s="13" t="s">
        <v>39</v>
      </c>
      <c r="G30" s="26" t="s">
        <v>92</v>
      </c>
      <c r="H30" s="26" t="s">
        <v>84</v>
      </c>
      <c r="I30" s="27" t="s">
        <v>115</v>
      </c>
      <c r="J30" s="14"/>
      <c r="K30" s="26" t="s">
        <v>16</v>
      </c>
      <c r="L30" s="26" t="s">
        <v>34</v>
      </c>
      <c r="M30" s="26" t="s">
        <v>21</v>
      </c>
      <c r="N30" s="14"/>
      <c r="O30" s="26" t="s">
        <v>109</v>
      </c>
      <c r="P30" s="26" t="s">
        <v>116</v>
      </c>
      <c r="Q30" s="27" t="s">
        <v>117</v>
      </c>
      <c r="R30" s="14"/>
      <c r="S30" s="31" t="str">
        <f>"600,0"</f>
        <v>600,0</v>
      </c>
      <c r="T30" s="14" t="str">
        <f>"623,8800"</f>
        <v>623,8800</v>
      </c>
      <c r="U30" s="13" t="s">
        <v>576</v>
      </c>
    </row>
    <row r="31" spans="1:21">
      <c r="A31" s="10" t="s">
        <v>187</v>
      </c>
      <c r="B31" s="9" t="s">
        <v>118</v>
      </c>
      <c r="C31" s="9" t="s">
        <v>119</v>
      </c>
      <c r="D31" s="9" t="s">
        <v>120</v>
      </c>
      <c r="E31" s="9" t="s">
        <v>582</v>
      </c>
      <c r="F31" s="9" t="s">
        <v>121</v>
      </c>
      <c r="G31" s="22" t="s">
        <v>122</v>
      </c>
      <c r="H31" s="21" t="s">
        <v>115</v>
      </c>
      <c r="I31" s="21" t="s">
        <v>115</v>
      </c>
      <c r="J31" s="10"/>
      <c r="K31" s="22" t="s">
        <v>123</v>
      </c>
      <c r="L31" s="22" t="s">
        <v>124</v>
      </c>
      <c r="M31" s="21" t="s">
        <v>97</v>
      </c>
      <c r="N31" s="10"/>
      <c r="O31" s="22" t="s">
        <v>125</v>
      </c>
      <c r="P31" s="10"/>
      <c r="Q31" s="10"/>
      <c r="R31" s="10"/>
      <c r="S31" s="32" t="str">
        <f>"597,5"</f>
        <v>597,5</v>
      </c>
      <c r="T31" s="10" t="str">
        <f>"615,3055"</f>
        <v>615,3055</v>
      </c>
      <c r="U31" s="9"/>
    </row>
    <row r="32" spans="1:21">
      <c r="B32" s="5" t="s">
        <v>185</v>
      </c>
    </row>
    <row r="33" spans="1:21" ht="16">
      <c r="A33" s="33" t="s">
        <v>73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</row>
    <row r="34" spans="1:21">
      <c r="A34" s="8" t="s">
        <v>183</v>
      </c>
      <c r="B34" s="7" t="s">
        <v>126</v>
      </c>
      <c r="C34" s="7" t="s">
        <v>127</v>
      </c>
      <c r="D34" s="7" t="s">
        <v>128</v>
      </c>
      <c r="E34" s="7" t="s">
        <v>582</v>
      </c>
      <c r="F34" s="7" t="s">
        <v>129</v>
      </c>
      <c r="G34" s="20" t="s">
        <v>81</v>
      </c>
      <c r="H34" s="20" t="s">
        <v>75</v>
      </c>
      <c r="I34" s="20" t="s">
        <v>82</v>
      </c>
      <c r="J34" s="8"/>
      <c r="K34" s="20" t="s">
        <v>90</v>
      </c>
      <c r="L34" s="20" t="s">
        <v>130</v>
      </c>
      <c r="M34" s="20" t="s">
        <v>23</v>
      </c>
      <c r="N34" s="8"/>
      <c r="O34" s="24" t="s">
        <v>83</v>
      </c>
      <c r="P34" s="20" t="s">
        <v>83</v>
      </c>
      <c r="Q34" s="20" t="s">
        <v>115</v>
      </c>
      <c r="R34" s="8"/>
      <c r="S34" s="30" t="str">
        <f>"535,0"</f>
        <v>535,0</v>
      </c>
      <c r="T34" s="8" t="str">
        <f>"518,4150"</f>
        <v>518,4150</v>
      </c>
      <c r="U34" s="7"/>
    </row>
    <row r="35" spans="1:21">
      <c r="A35" s="10" t="s">
        <v>186</v>
      </c>
      <c r="B35" s="9" t="s">
        <v>131</v>
      </c>
      <c r="C35" s="9" t="s">
        <v>132</v>
      </c>
      <c r="D35" s="9" t="s">
        <v>133</v>
      </c>
      <c r="E35" s="9" t="s">
        <v>581</v>
      </c>
      <c r="F35" s="9" t="s">
        <v>134</v>
      </c>
      <c r="G35" s="21" t="s">
        <v>21</v>
      </c>
      <c r="H35" s="21" t="s">
        <v>21</v>
      </c>
      <c r="I35" s="10"/>
      <c r="J35" s="10"/>
      <c r="K35" s="21"/>
      <c r="L35" s="10"/>
      <c r="M35" s="10"/>
      <c r="N35" s="10"/>
      <c r="O35" s="21"/>
      <c r="P35" s="10"/>
      <c r="Q35" s="10"/>
      <c r="R35" s="10"/>
      <c r="S35" s="32">
        <v>0</v>
      </c>
      <c r="T35" s="10" t="str">
        <f>"0,0000"</f>
        <v>0,0000</v>
      </c>
      <c r="U35" s="9"/>
    </row>
    <row r="36" spans="1:21">
      <c r="B36" s="5" t="s">
        <v>185</v>
      </c>
    </row>
    <row r="37" spans="1:21" ht="16">
      <c r="A37" s="33" t="s">
        <v>135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</row>
    <row r="38" spans="1:21">
      <c r="A38" s="8" t="s">
        <v>183</v>
      </c>
      <c r="B38" s="7" t="s">
        <v>136</v>
      </c>
      <c r="C38" s="7" t="s">
        <v>545</v>
      </c>
      <c r="D38" s="7" t="s">
        <v>137</v>
      </c>
      <c r="E38" s="7" t="s">
        <v>585</v>
      </c>
      <c r="F38" s="7" t="s">
        <v>39</v>
      </c>
      <c r="G38" s="20" t="s">
        <v>89</v>
      </c>
      <c r="H38" s="24" t="s">
        <v>107</v>
      </c>
      <c r="I38" s="20" t="s">
        <v>107</v>
      </c>
      <c r="J38" s="8"/>
      <c r="K38" s="24" t="s">
        <v>34</v>
      </c>
      <c r="L38" s="20" t="s">
        <v>138</v>
      </c>
      <c r="M38" s="24" t="s">
        <v>91</v>
      </c>
      <c r="N38" s="8"/>
      <c r="O38" s="20" t="s">
        <v>139</v>
      </c>
      <c r="P38" s="20" t="s">
        <v>122</v>
      </c>
      <c r="Q38" s="20" t="s">
        <v>140</v>
      </c>
      <c r="R38" s="8"/>
      <c r="S38" s="30" t="str">
        <f>"520,0"</f>
        <v>520,0</v>
      </c>
      <c r="T38" s="8" t="str">
        <f>"479,5440"</f>
        <v>479,5440</v>
      </c>
      <c r="U38" s="7"/>
    </row>
    <row r="39" spans="1:21">
      <c r="A39" s="14" t="s">
        <v>184</v>
      </c>
      <c r="B39" s="13" t="s">
        <v>141</v>
      </c>
      <c r="C39" s="13" t="s">
        <v>546</v>
      </c>
      <c r="D39" s="13" t="s">
        <v>142</v>
      </c>
      <c r="E39" s="13" t="s">
        <v>585</v>
      </c>
      <c r="F39" s="13" t="s">
        <v>80</v>
      </c>
      <c r="G39" s="27" t="s">
        <v>74</v>
      </c>
      <c r="H39" s="26" t="s">
        <v>75</v>
      </c>
      <c r="I39" s="26" t="s">
        <v>82</v>
      </c>
      <c r="J39" s="14"/>
      <c r="K39" s="26" t="s">
        <v>41</v>
      </c>
      <c r="L39" s="26" t="s">
        <v>52</v>
      </c>
      <c r="M39" s="26" t="s">
        <v>53</v>
      </c>
      <c r="N39" s="14"/>
      <c r="O39" s="27" t="s">
        <v>82</v>
      </c>
      <c r="P39" s="27" t="s">
        <v>82</v>
      </c>
      <c r="Q39" s="26" t="s">
        <v>82</v>
      </c>
      <c r="R39" s="14"/>
      <c r="S39" s="31" t="str">
        <f>"440,0"</f>
        <v>440,0</v>
      </c>
      <c r="T39" s="14" t="str">
        <f>"412,4560"</f>
        <v>412,4560</v>
      </c>
      <c r="U39" s="13"/>
    </row>
    <row r="40" spans="1:21">
      <c r="A40" s="10" t="s">
        <v>183</v>
      </c>
      <c r="B40" s="9" t="s">
        <v>143</v>
      </c>
      <c r="C40" s="9" t="s">
        <v>144</v>
      </c>
      <c r="D40" s="9" t="s">
        <v>142</v>
      </c>
      <c r="E40" s="9" t="s">
        <v>582</v>
      </c>
      <c r="F40" s="9" t="s">
        <v>145</v>
      </c>
      <c r="G40" s="21" t="s">
        <v>84</v>
      </c>
      <c r="H40" s="22" t="s">
        <v>122</v>
      </c>
      <c r="I40" s="21" t="s">
        <v>140</v>
      </c>
      <c r="J40" s="10"/>
      <c r="K40" s="22" t="s">
        <v>74</v>
      </c>
      <c r="L40" s="21" t="s">
        <v>146</v>
      </c>
      <c r="M40" s="22" t="s">
        <v>146</v>
      </c>
      <c r="N40" s="10"/>
      <c r="O40" s="22" t="s">
        <v>147</v>
      </c>
      <c r="P40" s="22" t="s">
        <v>148</v>
      </c>
      <c r="Q40" s="21" t="s">
        <v>109</v>
      </c>
      <c r="R40" s="10"/>
      <c r="S40" s="32" t="str">
        <f>"607,5"</f>
        <v>607,5</v>
      </c>
      <c r="T40" s="10" t="str">
        <f>"569,4705"</f>
        <v>569,4705</v>
      </c>
      <c r="U40" s="9" t="s">
        <v>577</v>
      </c>
    </row>
    <row r="41" spans="1:21">
      <c r="B41" s="5" t="s">
        <v>185</v>
      </c>
    </row>
    <row r="42" spans="1:21" ht="16">
      <c r="A42" s="33" t="s">
        <v>149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</row>
    <row r="43" spans="1:21">
      <c r="A43" s="12" t="s">
        <v>183</v>
      </c>
      <c r="B43" s="11" t="s">
        <v>150</v>
      </c>
      <c r="C43" s="11" t="s">
        <v>151</v>
      </c>
      <c r="D43" s="11" t="s">
        <v>152</v>
      </c>
      <c r="E43" s="11" t="s">
        <v>582</v>
      </c>
      <c r="F43" s="11" t="s">
        <v>39</v>
      </c>
      <c r="G43" s="25" t="s">
        <v>22</v>
      </c>
      <c r="H43" s="25" t="s">
        <v>124</v>
      </c>
      <c r="I43" s="23" t="s">
        <v>81</v>
      </c>
      <c r="J43" s="12"/>
      <c r="K43" s="25" t="s">
        <v>90</v>
      </c>
      <c r="L43" s="25" t="s">
        <v>21</v>
      </c>
      <c r="M43" s="23" t="s">
        <v>130</v>
      </c>
      <c r="N43" s="12"/>
      <c r="O43" s="25" t="s">
        <v>75</v>
      </c>
      <c r="P43" s="23" t="s">
        <v>153</v>
      </c>
      <c r="Q43" s="25" t="s">
        <v>153</v>
      </c>
      <c r="R43" s="12"/>
      <c r="S43" s="28" t="str">
        <f>"445,0"</f>
        <v>445,0</v>
      </c>
      <c r="T43" s="12" t="str">
        <f>"398,6310"</f>
        <v>398,6310</v>
      </c>
      <c r="U43" s="11" t="s">
        <v>154</v>
      </c>
    </row>
    <row r="44" spans="1:21">
      <c r="B44" s="5" t="s">
        <v>185</v>
      </c>
    </row>
    <row r="45" spans="1:21" ht="16">
      <c r="A45" s="33" t="s">
        <v>155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</row>
    <row r="46" spans="1:21">
      <c r="A46" s="12" t="s">
        <v>183</v>
      </c>
      <c r="B46" s="11" t="s">
        <v>156</v>
      </c>
      <c r="C46" s="11" t="s">
        <v>157</v>
      </c>
      <c r="D46" s="11" t="s">
        <v>158</v>
      </c>
      <c r="E46" s="11" t="s">
        <v>582</v>
      </c>
      <c r="F46" s="11" t="s">
        <v>129</v>
      </c>
      <c r="G46" s="25" t="s">
        <v>159</v>
      </c>
      <c r="H46" s="25" t="s">
        <v>160</v>
      </c>
      <c r="I46" s="25" t="s">
        <v>161</v>
      </c>
      <c r="J46" s="12"/>
      <c r="K46" s="25" t="s">
        <v>83</v>
      </c>
      <c r="L46" s="25" t="s">
        <v>162</v>
      </c>
      <c r="M46" s="25" t="s">
        <v>163</v>
      </c>
      <c r="N46" s="25" t="s">
        <v>140</v>
      </c>
      <c r="O46" s="25" t="s">
        <v>159</v>
      </c>
      <c r="P46" s="25" t="s">
        <v>164</v>
      </c>
      <c r="Q46" s="23" t="s">
        <v>161</v>
      </c>
      <c r="R46" s="12"/>
      <c r="S46" s="28" t="str">
        <f>"815,0"</f>
        <v>815,0</v>
      </c>
      <c r="T46" s="12" t="str">
        <f>"700,0850"</f>
        <v>700,0850</v>
      </c>
      <c r="U46" s="11"/>
    </row>
    <row r="47" spans="1:21">
      <c r="B47" s="5" t="s">
        <v>185</v>
      </c>
    </row>
    <row r="48" spans="1:21">
      <c r="B48" s="5" t="s">
        <v>185</v>
      </c>
    </row>
    <row r="49" spans="2:6">
      <c r="B49" s="5" t="s">
        <v>185</v>
      </c>
    </row>
    <row r="50" spans="2:6" ht="18">
      <c r="B50" s="15" t="s">
        <v>165</v>
      </c>
      <c r="C50" s="15"/>
      <c r="F50" s="3"/>
    </row>
    <row r="51" spans="2:6" ht="16">
      <c r="B51" s="16" t="s">
        <v>171</v>
      </c>
      <c r="C51" s="16"/>
      <c r="F51" s="3"/>
    </row>
    <row r="52" spans="2:6" ht="14">
      <c r="B52" s="17"/>
      <c r="C52" s="18" t="s">
        <v>166</v>
      </c>
      <c r="F52" s="3"/>
    </row>
    <row r="53" spans="2:6" ht="14">
      <c r="B53" s="19" t="s">
        <v>167</v>
      </c>
      <c r="C53" s="19" t="s">
        <v>168</v>
      </c>
      <c r="D53" s="19" t="s">
        <v>560</v>
      </c>
      <c r="E53" s="19" t="s">
        <v>169</v>
      </c>
      <c r="F53" s="19" t="s">
        <v>170</v>
      </c>
    </row>
    <row r="54" spans="2:6">
      <c r="B54" s="5" t="s">
        <v>156</v>
      </c>
      <c r="C54" s="5" t="s">
        <v>166</v>
      </c>
      <c r="D54" s="6" t="s">
        <v>175</v>
      </c>
      <c r="E54" s="6" t="s">
        <v>176</v>
      </c>
      <c r="F54" s="6" t="s">
        <v>177</v>
      </c>
    </row>
    <row r="55" spans="2:6">
      <c r="B55" s="5" t="s">
        <v>104</v>
      </c>
      <c r="C55" s="5" t="s">
        <v>166</v>
      </c>
      <c r="D55" s="6" t="s">
        <v>173</v>
      </c>
      <c r="E55" s="6" t="s">
        <v>178</v>
      </c>
      <c r="F55" s="6" t="s">
        <v>179</v>
      </c>
    </row>
    <row r="56" spans="2:6">
      <c r="B56" s="5" t="s">
        <v>112</v>
      </c>
      <c r="C56" s="5" t="s">
        <v>166</v>
      </c>
      <c r="D56" s="6" t="s">
        <v>173</v>
      </c>
      <c r="E56" s="6" t="s">
        <v>180</v>
      </c>
      <c r="F56" s="6" t="s">
        <v>181</v>
      </c>
    </row>
  </sheetData>
  <mergeCells count="24"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A42:R42"/>
    <mergeCell ref="A45:R45"/>
    <mergeCell ref="B3:B4"/>
    <mergeCell ref="A22:R22"/>
    <mergeCell ref="A27:R27"/>
    <mergeCell ref="A33:R33"/>
    <mergeCell ref="A37:R37"/>
    <mergeCell ref="A5:R5"/>
    <mergeCell ref="A9:R9"/>
    <mergeCell ref="A12:R12"/>
    <mergeCell ref="A16:R16"/>
    <mergeCell ref="A19:R19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M7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9.1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1.332031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" style="5" customWidth="1"/>
    <col min="14" max="16384" width="9.1640625" style="3"/>
  </cols>
  <sheetData>
    <row r="1" spans="1:13" s="2" customFormat="1" ht="29" customHeight="1">
      <c r="A1" s="42" t="s">
        <v>552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578</v>
      </c>
      <c r="B3" s="34" t="s">
        <v>0</v>
      </c>
      <c r="C3" s="52" t="s">
        <v>579</v>
      </c>
      <c r="D3" s="52" t="s">
        <v>5</v>
      </c>
      <c r="E3" s="38" t="s">
        <v>580</v>
      </c>
      <c r="F3" s="38" t="s">
        <v>6</v>
      </c>
      <c r="G3" s="38" t="s">
        <v>8</v>
      </c>
      <c r="H3" s="38"/>
      <c r="I3" s="38"/>
      <c r="J3" s="38"/>
      <c r="K3" s="38" t="s">
        <v>334</v>
      </c>
      <c r="L3" s="38" t="s">
        <v>3</v>
      </c>
      <c r="M3" s="53" t="s">
        <v>2</v>
      </c>
    </row>
    <row r="4" spans="1:13" s="1" customFormat="1" ht="21" customHeight="1" thickBot="1">
      <c r="A4" s="51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54"/>
    </row>
    <row r="5" spans="1:13" ht="16">
      <c r="A5" s="36" t="s">
        <v>73</v>
      </c>
      <c r="B5" s="36"/>
      <c r="C5" s="37"/>
      <c r="D5" s="37"/>
      <c r="E5" s="37"/>
      <c r="F5" s="37"/>
      <c r="G5" s="37"/>
      <c r="H5" s="37"/>
      <c r="I5" s="37"/>
      <c r="J5" s="37"/>
    </row>
    <row r="6" spans="1:13">
      <c r="A6" s="12" t="s">
        <v>183</v>
      </c>
      <c r="B6" s="11" t="s">
        <v>475</v>
      </c>
      <c r="C6" s="11" t="s">
        <v>476</v>
      </c>
      <c r="D6" s="11" t="s">
        <v>477</v>
      </c>
      <c r="E6" s="11" t="s">
        <v>582</v>
      </c>
      <c r="F6" s="11" t="s">
        <v>39</v>
      </c>
      <c r="G6" s="23" t="s">
        <v>81</v>
      </c>
      <c r="H6" s="25" t="s">
        <v>81</v>
      </c>
      <c r="I6" s="23" t="s">
        <v>75</v>
      </c>
      <c r="J6" s="12"/>
      <c r="K6" s="12" t="str">
        <f>"150,0"</f>
        <v>150,0</v>
      </c>
      <c r="L6" s="12" t="str">
        <f>"148,1100"</f>
        <v>148,1100</v>
      </c>
      <c r="M6" s="11"/>
    </row>
    <row r="7" spans="1:13">
      <c r="B7" s="5" t="s">
        <v>185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M8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.33203125" style="5" customWidth="1"/>
    <col min="14" max="16384" width="9.1640625" style="3"/>
  </cols>
  <sheetData>
    <row r="1" spans="1:13" s="2" customFormat="1" ht="29" customHeight="1">
      <c r="A1" s="42" t="s">
        <v>553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578</v>
      </c>
      <c r="B3" s="34" t="s">
        <v>0</v>
      </c>
      <c r="C3" s="52" t="s">
        <v>579</v>
      </c>
      <c r="D3" s="52" t="s">
        <v>5</v>
      </c>
      <c r="E3" s="38" t="s">
        <v>580</v>
      </c>
      <c r="F3" s="38" t="s">
        <v>6</v>
      </c>
      <c r="G3" s="38" t="s">
        <v>8</v>
      </c>
      <c r="H3" s="38"/>
      <c r="I3" s="38"/>
      <c r="J3" s="38"/>
      <c r="K3" s="38" t="s">
        <v>334</v>
      </c>
      <c r="L3" s="38" t="s">
        <v>3</v>
      </c>
      <c r="M3" s="53" t="s">
        <v>2</v>
      </c>
    </row>
    <row r="4" spans="1:13" s="1" customFormat="1" ht="21" customHeight="1" thickBot="1">
      <c r="A4" s="51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54"/>
    </row>
    <row r="5" spans="1:13" ht="16">
      <c r="A5" s="36" t="s">
        <v>135</v>
      </c>
      <c r="B5" s="36"/>
      <c r="C5" s="37"/>
      <c r="D5" s="37"/>
      <c r="E5" s="37"/>
      <c r="F5" s="37"/>
      <c r="G5" s="37"/>
      <c r="H5" s="37"/>
      <c r="I5" s="37"/>
      <c r="J5" s="37"/>
    </row>
    <row r="6" spans="1:13">
      <c r="A6" s="8" t="s">
        <v>183</v>
      </c>
      <c r="B6" s="7" t="s">
        <v>468</v>
      </c>
      <c r="C6" s="7" t="s">
        <v>469</v>
      </c>
      <c r="D6" s="7" t="s">
        <v>470</v>
      </c>
      <c r="E6" s="7" t="s">
        <v>582</v>
      </c>
      <c r="F6" s="7" t="s">
        <v>471</v>
      </c>
      <c r="G6" s="20" t="s">
        <v>110</v>
      </c>
      <c r="H6" s="20" t="s">
        <v>256</v>
      </c>
      <c r="I6" s="20" t="s">
        <v>472</v>
      </c>
      <c r="J6" s="8"/>
      <c r="K6" s="8" t="str">
        <f>"290,0"</f>
        <v>290,0</v>
      </c>
      <c r="L6" s="8" t="str">
        <f>"266,0460"</f>
        <v>266,0460</v>
      </c>
      <c r="M6" s="7" t="s">
        <v>473</v>
      </c>
    </row>
    <row r="7" spans="1:13">
      <c r="A7" s="10" t="s">
        <v>183</v>
      </c>
      <c r="B7" s="9" t="s">
        <v>468</v>
      </c>
      <c r="C7" s="9" t="s">
        <v>474</v>
      </c>
      <c r="D7" s="9" t="s">
        <v>470</v>
      </c>
      <c r="E7" s="9" t="s">
        <v>581</v>
      </c>
      <c r="F7" s="9" t="s">
        <v>471</v>
      </c>
      <c r="G7" s="22" t="s">
        <v>110</v>
      </c>
      <c r="H7" s="22" t="s">
        <v>256</v>
      </c>
      <c r="I7" s="22" t="s">
        <v>472</v>
      </c>
      <c r="J7" s="10"/>
      <c r="K7" s="10" t="str">
        <f>"290,0"</f>
        <v>290,0</v>
      </c>
      <c r="L7" s="10" t="str">
        <f>"296,3752"</f>
        <v>296,3752</v>
      </c>
      <c r="M7" s="9" t="s">
        <v>473</v>
      </c>
    </row>
    <row r="8" spans="1:13">
      <c r="B8" s="5" t="s">
        <v>185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M29"/>
  <sheetViews>
    <sheetView workbookViewId="0">
      <selection activeCell="E29" sqref="E29"/>
    </sheetView>
  </sheetViews>
  <sheetFormatPr baseColWidth="10" defaultColWidth="9.1640625" defaultRowHeight="13"/>
  <cols>
    <col min="1" max="1" width="7.5" style="5" bestFit="1" customWidth="1"/>
    <col min="2" max="2" width="20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19.33203125" style="5" bestFit="1" customWidth="1"/>
    <col min="7" max="10" width="5.5" style="6" customWidth="1"/>
    <col min="11" max="11" width="10.5" style="6" bestFit="1" customWidth="1"/>
    <col min="12" max="12" width="8.5" style="6" bestFit="1" customWidth="1"/>
    <col min="13" max="13" width="28" style="5" bestFit="1" customWidth="1"/>
    <col min="14" max="16384" width="9.1640625" style="3"/>
  </cols>
  <sheetData>
    <row r="1" spans="1:13" s="2" customFormat="1" ht="29" customHeight="1">
      <c r="A1" s="42" t="s">
        <v>550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578</v>
      </c>
      <c r="B3" s="34" t="s">
        <v>0</v>
      </c>
      <c r="C3" s="52" t="s">
        <v>579</v>
      </c>
      <c r="D3" s="52" t="s">
        <v>5</v>
      </c>
      <c r="E3" s="38" t="s">
        <v>580</v>
      </c>
      <c r="F3" s="38" t="s">
        <v>6</v>
      </c>
      <c r="G3" s="38" t="s">
        <v>9</v>
      </c>
      <c r="H3" s="38"/>
      <c r="I3" s="38"/>
      <c r="J3" s="38"/>
      <c r="K3" s="38" t="s">
        <v>334</v>
      </c>
      <c r="L3" s="38" t="s">
        <v>3</v>
      </c>
      <c r="M3" s="53" t="s">
        <v>2</v>
      </c>
    </row>
    <row r="4" spans="1:13" s="1" customFormat="1" ht="21" customHeight="1" thickBot="1">
      <c r="A4" s="51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54"/>
    </row>
    <row r="5" spans="1:13" ht="16">
      <c r="A5" s="36" t="s">
        <v>44</v>
      </c>
      <c r="B5" s="36"/>
      <c r="C5" s="37"/>
      <c r="D5" s="37"/>
      <c r="E5" s="37"/>
      <c r="F5" s="37"/>
      <c r="G5" s="37"/>
      <c r="H5" s="37"/>
      <c r="I5" s="37"/>
      <c r="J5" s="37"/>
    </row>
    <row r="6" spans="1:13">
      <c r="A6" s="8" t="s">
        <v>183</v>
      </c>
      <c r="B6" s="7" t="s">
        <v>486</v>
      </c>
      <c r="C6" s="7" t="s">
        <v>487</v>
      </c>
      <c r="D6" s="7" t="s">
        <v>488</v>
      </c>
      <c r="E6" s="7" t="s">
        <v>582</v>
      </c>
      <c r="F6" s="7" t="s">
        <v>489</v>
      </c>
      <c r="G6" s="20" t="s">
        <v>22</v>
      </c>
      <c r="H6" s="20" t="s">
        <v>23</v>
      </c>
      <c r="I6" s="24" t="s">
        <v>81</v>
      </c>
      <c r="J6" s="8"/>
      <c r="K6" s="8" t="str">
        <f>"145,0"</f>
        <v>145,0</v>
      </c>
      <c r="L6" s="8" t="str">
        <f>"277,7910"</f>
        <v>277,7910</v>
      </c>
      <c r="M6" s="7"/>
    </row>
    <row r="7" spans="1:13">
      <c r="A7" s="14" t="s">
        <v>184</v>
      </c>
      <c r="B7" s="13" t="s">
        <v>490</v>
      </c>
      <c r="C7" s="13" t="s">
        <v>491</v>
      </c>
      <c r="D7" s="13" t="s">
        <v>492</v>
      </c>
      <c r="E7" s="13" t="s">
        <v>582</v>
      </c>
      <c r="F7" s="13" t="s">
        <v>39</v>
      </c>
      <c r="G7" s="26" t="s">
        <v>493</v>
      </c>
      <c r="H7" s="26" t="s">
        <v>90</v>
      </c>
      <c r="I7" s="27" t="s">
        <v>21</v>
      </c>
      <c r="J7" s="14"/>
      <c r="K7" s="14" t="str">
        <f>"125,0"</f>
        <v>125,0</v>
      </c>
      <c r="L7" s="14" t="str">
        <f>"249,3000"</f>
        <v>249,3000</v>
      </c>
      <c r="M7" s="13" t="s">
        <v>365</v>
      </c>
    </row>
    <row r="8" spans="1:13">
      <c r="A8" s="10" t="s">
        <v>187</v>
      </c>
      <c r="B8" s="9" t="s">
        <v>494</v>
      </c>
      <c r="C8" s="9" t="s">
        <v>495</v>
      </c>
      <c r="D8" s="9" t="s">
        <v>190</v>
      </c>
      <c r="E8" s="9" t="s">
        <v>582</v>
      </c>
      <c r="F8" s="9" t="s">
        <v>496</v>
      </c>
      <c r="G8" s="22" t="s">
        <v>17</v>
      </c>
      <c r="H8" s="22" t="s">
        <v>34</v>
      </c>
      <c r="I8" s="22" t="s">
        <v>90</v>
      </c>
      <c r="J8" s="10"/>
      <c r="K8" s="10" t="str">
        <f>"125,0"</f>
        <v>125,0</v>
      </c>
      <c r="L8" s="10" t="str">
        <f>"244,3750"</f>
        <v>244,3750</v>
      </c>
      <c r="M8" s="9" t="s">
        <v>497</v>
      </c>
    </row>
    <row r="9" spans="1:13">
      <c r="B9" s="5" t="s">
        <v>185</v>
      </c>
    </row>
    <row r="10" spans="1:13" ht="16">
      <c r="A10" s="33" t="s">
        <v>67</v>
      </c>
      <c r="B10" s="33"/>
      <c r="C10" s="33"/>
      <c r="D10" s="33"/>
      <c r="E10" s="33"/>
      <c r="F10" s="33"/>
      <c r="G10" s="33"/>
      <c r="H10" s="33"/>
      <c r="I10" s="33"/>
      <c r="J10" s="33"/>
    </row>
    <row r="11" spans="1:13">
      <c r="A11" s="8" t="s">
        <v>183</v>
      </c>
      <c r="B11" s="7" t="s">
        <v>498</v>
      </c>
      <c r="C11" s="7" t="s">
        <v>535</v>
      </c>
      <c r="D11" s="7" t="s">
        <v>499</v>
      </c>
      <c r="E11" s="7" t="s">
        <v>584</v>
      </c>
      <c r="F11" s="7" t="s">
        <v>39</v>
      </c>
      <c r="G11" s="20" t="s">
        <v>15</v>
      </c>
      <c r="H11" s="24" t="s">
        <v>264</v>
      </c>
      <c r="I11" s="24" t="s">
        <v>264</v>
      </c>
      <c r="J11" s="8"/>
      <c r="K11" s="8" t="str">
        <f>"105,0"</f>
        <v>105,0</v>
      </c>
      <c r="L11" s="8" t="str">
        <f>"176,9250"</f>
        <v>176,9250</v>
      </c>
      <c r="M11" s="7" t="s">
        <v>500</v>
      </c>
    </row>
    <row r="12" spans="1:13">
      <c r="A12" s="10" t="s">
        <v>183</v>
      </c>
      <c r="B12" s="9" t="s">
        <v>498</v>
      </c>
      <c r="C12" s="9" t="s">
        <v>501</v>
      </c>
      <c r="D12" s="9" t="s">
        <v>499</v>
      </c>
      <c r="E12" s="9" t="s">
        <v>582</v>
      </c>
      <c r="F12" s="9" t="s">
        <v>39</v>
      </c>
      <c r="G12" s="22" t="s">
        <v>15</v>
      </c>
      <c r="H12" s="21" t="s">
        <v>264</v>
      </c>
      <c r="I12" s="21" t="s">
        <v>264</v>
      </c>
      <c r="J12" s="10"/>
      <c r="K12" s="10" t="str">
        <f>"105,0"</f>
        <v>105,0</v>
      </c>
      <c r="L12" s="10" t="str">
        <f>"176,9250"</f>
        <v>176,9250</v>
      </c>
      <c r="M12" s="9" t="s">
        <v>500</v>
      </c>
    </row>
    <row r="13" spans="1:13">
      <c r="B13" s="5" t="s">
        <v>185</v>
      </c>
    </row>
    <row r="14" spans="1:13" ht="16">
      <c r="A14" s="33" t="s">
        <v>67</v>
      </c>
      <c r="B14" s="33"/>
      <c r="C14" s="33"/>
      <c r="D14" s="33"/>
      <c r="E14" s="33"/>
      <c r="F14" s="33"/>
      <c r="G14" s="33"/>
      <c r="H14" s="33"/>
      <c r="I14" s="33"/>
      <c r="J14" s="33"/>
    </row>
    <row r="15" spans="1:13">
      <c r="A15" s="12" t="s">
        <v>183</v>
      </c>
      <c r="B15" s="11" t="s">
        <v>502</v>
      </c>
      <c r="C15" s="11" t="s">
        <v>503</v>
      </c>
      <c r="D15" s="11" t="s">
        <v>504</v>
      </c>
      <c r="E15" s="11" t="s">
        <v>582</v>
      </c>
      <c r="F15" s="11" t="s">
        <v>376</v>
      </c>
      <c r="G15" s="25" t="s">
        <v>84</v>
      </c>
      <c r="H15" s="23" t="s">
        <v>122</v>
      </c>
      <c r="I15" s="23" t="s">
        <v>122</v>
      </c>
      <c r="J15" s="12"/>
      <c r="K15" s="12" t="str">
        <f>"200,0"</f>
        <v>200,0</v>
      </c>
      <c r="L15" s="12" t="str">
        <f>"251,8800"</f>
        <v>251,8800</v>
      </c>
      <c r="M15" s="11"/>
    </row>
    <row r="16" spans="1:13">
      <c r="B16" s="5" t="s">
        <v>185</v>
      </c>
    </row>
    <row r="17" spans="1:13" ht="16">
      <c r="A17" s="33" t="s">
        <v>76</v>
      </c>
      <c r="B17" s="33"/>
      <c r="C17" s="33"/>
      <c r="D17" s="33"/>
      <c r="E17" s="33"/>
      <c r="F17" s="33"/>
      <c r="G17" s="33"/>
      <c r="H17" s="33"/>
      <c r="I17" s="33"/>
      <c r="J17" s="33"/>
    </row>
    <row r="18" spans="1:13">
      <c r="A18" s="12" t="s">
        <v>183</v>
      </c>
      <c r="B18" s="11" t="s">
        <v>505</v>
      </c>
      <c r="C18" s="11" t="s">
        <v>536</v>
      </c>
      <c r="D18" s="11" t="s">
        <v>506</v>
      </c>
      <c r="E18" s="11" t="s">
        <v>584</v>
      </c>
      <c r="F18" s="11" t="s">
        <v>380</v>
      </c>
      <c r="G18" s="23" t="s">
        <v>83</v>
      </c>
      <c r="H18" s="25" t="s">
        <v>83</v>
      </c>
      <c r="I18" s="25" t="s">
        <v>162</v>
      </c>
      <c r="J18" s="12"/>
      <c r="K18" s="12" t="str">
        <f>"207,5"</f>
        <v>207,5</v>
      </c>
      <c r="L18" s="12" t="str">
        <f>"232,5660"</f>
        <v>232,5660</v>
      </c>
      <c r="M18" s="11" t="s">
        <v>564</v>
      </c>
    </row>
    <row r="19" spans="1:13">
      <c r="B19" s="5" t="s">
        <v>185</v>
      </c>
    </row>
    <row r="20" spans="1:13" ht="16">
      <c r="A20" s="33" t="s">
        <v>99</v>
      </c>
      <c r="B20" s="33"/>
      <c r="C20" s="33"/>
      <c r="D20" s="33"/>
      <c r="E20" s="33"/>
      <c r="F20" s="33"/>
      <c r="G20" s="33"/>
      <c r="H20" s="33"/>
      <c r="I20" s="33"/>
      <c r="J20" s="33"/>
    </row>
    <row r="21" spans="1:13">
      <c r="A21" s="8" t="s">
        <v>183</v>
      </c>
      <c r="B21" s="7" t="s">
        <v>104</v>
      </c>
      <c r="C21" s="7" t="s">
        <v>105</v>
      </c>
      <c r="D21" s="7" t="s">
        <v>106</v>
      </c>
      <c r="E21" s="7" t="s">
        <v>582</v>
      </c>
      <c r="F21" s="7" t="s">
        <v>28</v>
      </c>
      <c r="G21" s="20" t="s">
        <v>109</v>
      </c>
      <c r="H21" s="20" t="s">
        <v>110</v>
      </c>
      <c r="I21" s="20" t="s">
        <v>111</v>
      </c>
      <c r="J21" s="8"/>
      <c r="K21" s="8" t="str">
        <f>"265,0"</f>
        <v>265,0</v>
      </c>
      <c r="L21" s="8" t="str">
        <f>"276,3420"</f>
        <v>276,3420</v>
      </c>
      <c r="M21" s="7"/>
    </row>
    <row r="22" spans="1:13">
      <c r="A22" s="10" t="s">
        <v>183</v>
      </c>
      <c r="B22" s="9" t="s">
        <v>507</v>
      </c>
      <c r="C22" s="9" t="s">
        <v>508</v>
      </c>
      <c r="D22" s="9" t="s">
        <v>114</v>
      </c>
      <c r="E22" s="9" t="s">
        <v>583</v>
      </c>
      <c r="F22" s="9" t="s">
        <v>385</v>
      </c>
      <c r="G22" s="21" t="s">
        <v>115</v>
      </c>
      <c r="H22" s="22" t="s">
        <v>115</v>
      </c>
      <c r="I22" s="22" t="s">
        <v>230</v>
      </c>
      <c r="J22" s="21" t="s">
        <v>148</v>
      </c>
      <c r="K22" s="10" t="str">
        <f>"230,0"</f>
        <v>230,0</v>
      </c>
      <c r="L22" s="10" t="str">
        <f>"275,0271"</f>
        <v>275,0271</v>
      </c>
      <c r="M22" s="9"/>
    </row>
    <row r="23" spans="1:13">
      <c r="B23" s="5" t="s">
        <v>185</v>
      </c>
    </row>
    <row r="24" spans="1:13" ht="16">
      <c r="A24" s="33" t="s">
        <v>73</v>
      </c>
      <c r="B24" s="33"/>
      <c r="C24" s="33"/>
      <c r="D24" s="33"/>
      <c r="E24" s="33"/>
      <c r="F24" s="33"/>
      <c r="G24" s="33"/>
      <c r="H24" s="33"/>
      <c r="I24" s="33"/>
      <c r="J24" s="33"/>
    </row>
    <row r="25" spans="1:13">
      <c r="A25" s="12" t="s">
        <v>183</v>
      </c>
      <c r="B25" s="11" t="s">
        <v>509</v>
      </c>
      <c r="C25" s="11" t="s">
        <v>510</v>
      </c>
      <c r="D25" s="11" t="s">
        <v>408</v>
      </c>
      <c r="E25" s="11" t="s">
        <v>582</v>
      </c>
      <c r="F25" s="11" t="s">
        <v>442</v>
      </c>
      <c r="G25" s="25" t="s">
        <v>109</v>
      </c>
      <c r="H25" s="25" t="s">
        <v>511</v>
      </c>
      <c r="I25" s="23" t="s">
        <v>271</v>
      </c>
      <c r="J25" s="12"/>
      <c r="K25" s="12" t="str">
        <f>"257,5"</f>
        <v>257,5</v>
      </c>
      <c r="L25" s="12" t="str">
        <f>"251,3200"</f>
        <v>251,3200</v>
      </c>
      <c r="M25" s="11" t="s">
        <v>565</v>
      </c>
    </row>
    <row r="26" spans="1:13">
      <c r="B26" s="5" t="s">
        <v>185</v>
      </c>
    </row>
    <row r="27" spans="1:13" ht="16">
      <c r="A27" s="33" t="s">
        <v>135</v>
      </c>
      <c r="B27" s="33"/>
      <c r="C27" s="33"/>
      <c r="D27" s="33"/>
      <c r="E27" s="33"/>
      <c r="F27" s="33"/>
      <c r="G27" s="33"/>
      <c r="H27" s="33"/>
      <c r="I27" s="33"/>
      <c r="J27" s="33"/>
    </row>
    <row r="28" spans="1:13">
      <c r="A28" s="12" t="s">
        <v>183</v>
      </c>
      <c r="B28" s="11" t="s">
        <v>512</v>
      </c>
      <c r="C28" s="11" t="s">
        <v>513</v>
      </c>
      <c r="D28" s="11" t="s">
        <v>314</v>
      </c>
      <c r="E28" s="11" t="s">
        <v>582</v>
      </c>
      <c r="F28" s="11" t="s">
        <v>39</v>
      </c>
      <c r="G28" s="25" t="s">
        <v>125</v>
      </c>
      <c r="H28" s="25" t="s">
        <v>109</v>
      </c>
      <c r="I28" s="23" t="s">
        <v>110</v>
      </c>
      <c r="J28" s="12"/>
      <c r="K28" s="12" t="str">
        <f>"250,0"</f>
        <v>250,0</v>
      </c>
      <c r="L28" s="12" t="str">
        <f>"230,3500"</f>
        <v>230,3500</v>
      </c>
      <c r="M28" s="11"/>
    </row>
    <row r="29" spans="1:13">
      <c r="B29" s="5" t="s">
        <v>185</v>
      </c>
    </row>
  </sheetData>
  <mergeCells count="18">
    <mergeCell ref="A1:M2"/>
    <mergeCell ref="A3:A4"/>
    <mergeCell ref="C3:C4"/>
    <mergeCell ref="D3:D4"/>
    <mergeCell ref="E3:E4"/>
    <mergeCell ref="F3:F4"/>
    <mergeCell ref="G3:J3"/>
    <mergeCell ref="A27:J27"/>
    <mergeCell ref="K3:K4"/>
    <mergeCell ref="L3:L4"/>
    <mergeCell ref="M3:M4"/>
    <mergeCell ref="A5:J5"/>
    <mergeCell ref="B3:B4"/>
    <mergeCell ref="A10:J10"/>
    <mergeCell ref="A14:J14"/>
    <mergeCell ref="A17:J17"/>
    <mergeCell ref="A20:J20"/>
    <mergeCell ref="A24:J2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M14"/>
  <sheetViews>
    <sheetView workbookViewId="0">
      <selection activeCell="E14" sqref="E14"/>
    </sheetView>
  </sheetViews>
  <sheetFormatPr baseColWidth="10" defaultColWidth="9.1640625" defaultRowHeight="13"/>
  <cols>
    <col min="1" max="1" width="7.5" style="5" bestFit="1" customWidth="1"/>
    <col min="2" max="2" width="18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19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.5" style="5" customWidth="1"/>
    <col min="14" max="16384" width="9.1640625" style="3"/>
  </cols>
  <sheetData>
    <row r="1" spans="1:13" s="2" customFormat="1" ht="29" customHeight="1">
      <c r="A1" s="42" t="s">
        <v>551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578</v>
      </c>
      <c r="B3" s="34" t="s">
        <v>0</v>
      </c>
      <c r="C3" s="52" t="s">
        <v>579</v>
      </c>
      <c r="D3" s="52" t="s">
        <v>5</v>
      </c>
      <c r="E3" s="38" t="s">
        <v>580</v>
      </c>
      <c r="F3" s="38" t="s">
        <v>6</v>
      </c>
      <c r="G3" s="38" t="s">
        <v>9</v>
      </c>
      <c r="H3" s="38"/>
      <c r="I3" s="38"/>
      <c r="J3" s="38"/>
      <c r="K3" s="38" t="s">
        <v>334</v>
      </c>
      <c r="L3" s="38" t="s">
        <v>3</v>
      </c>
      <c r="M3" s="53" t="s">
        <v>2</v>
      </c>
    </row>
    <row r="4" spans="1:13" s="1" customFormat="1" ht="21" customHeight="1" thickBot="1">
      <c r="A4" s="51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54"/>
    </row>
    <row r="5" spans="1:13" ht="16">
      <c r="A5" s="36" t="s">
        <v>44</v>
      </c>
      <c r="B5" s="36"/>
      <c r="C5" s="37"/>
      <c r="D5" s="37"/>
      <c r="E5" s="37"/>
      <c r="F5" s="37"/>
      <c r="G5" s="37"/>
      <c r="H5" s="37"/>
      <c r="I5" s="37"/>
      <c r="J5" s="37"/>
    </row>
    <row r="6" spans="1:13">
      <c r="A6" s="12" t="s">
        <v>183</v>
      </c>
      <c r="B6" s="11" t="s">
        <v>188</v>
      </c>
      <c r="C6" s="11" t="s">
        <v>189</v>
      </c>
      <c r="D6" s="11" t="s">
        <v>190</v>
      </c>
      <c r="E6" s="11" t="s">
        <v>581</v>
      </c>
      <c r="F6" s="11" t="s">
        <v>39</v>
      </c>
      <c r="G6" s="25" t="s">
        <v>92</v>
      </c>
      <c r="H6" s="25" t="s">
        <v>83</v>
      </c>
      <c r="I6" s="23" t="s">
        <v>84</v>
      </c>
      <c r="J6" s="12"/>
      <c r="K6" s="12" t="str">
        <f>"190,0"</f>
        <v>190,0</v>
      </c>
      <c r="L6" s="12" t="str">
        <f>"387,7938"</f>
        <v>387,7938</v>
      </c>
      <c r="M6" s="11" t="s">
        <v>191</v>
      </c>
    </row>
    <row r="7" spans="1:13">
      <c r="B7" s="5" t="s">
        <v>185</v>
      </c>
    </row>
    <row r="8" spans="1:13" ht="16">
      <c r="A8" s="33" t="s">
        <v>99</v>
      </c>
      <c r="B8" s="33"/>
      <c r="C8" s="33"/>
      <c r="D8" s="33"/>
      <c r="E8" s="33"/>
      <c r="F8" s="33"/>
      <c r="G8" s="33"/>
      <c r="H8" s="33"/>
      <c r="I8" s="33"/>
      <c r="J8" s="33"/>
    </row>
    <row r="9" spans="1:13">
      <c r="A9" s="8" t="s">
        <v>183</v>
      </c>
      <c r="B9" s="7" t="s">
        <v>192</v>
      </c>
      <c r="C9" s="7" t="s">
        <v>193</v>
      </c>
      <c r="D9" s="7" t="s">
        <v>194</v>
      </c>
      <c r="E9" s="7" t="s">
        <v>582</v>
      </c>
      <c r="F9" s="7" t="s">
        <v>195</v>
      </c>
      <c r="G9" s="20" t="s">
        <v>148</v>
      </c>
      <c r="H9" s="20" t="s">
        <v>109</v>
      </c>
      <c r="I9" s="24" t="s">
        <v>110</v>
      </c>
      <c r="J9" s="8"/>
      <c r="K9" s="8" t="str">
        <f>"250,0"</f>
        <v>250,0</v>
      </c>
      <c r="L9" s="8" t="str">
        <f>"259,3000"</f>
        <v>259,3000</v>
      </c>
      <c r="M9" s="7"/>
    </row>
    <row r="10" spans="1:13">
      <c r="A10" s="10" t="s">
        <v>183</v>
      </c>
      <c r="B10" s="9" t="s">
        <v>478</v>
      </c>
      <c r="C10" s="9" t="s">
        <v>479</v>
      </c>
      <c r="D10" s="9" t="s">
        <v>480</v>
      </c>
      <c r="E10" s="9" t="s">
        <v>583</v>
      </c>
      <c r="F10" s="9" t="s">
        <v>442</v>
      </c>
      <c r="G10" s="22" t="s">
        <v>84</v>
      </c>
      <c r="H10" s="22" t="s">
        <v>481</v>
      </c>
      <c r="I10" s="10"/>
      <c r="J10" s="10"/>
      <c r="K10" s="10" t="str">
        <f>"215,0"</f>
        <v>215,0</v>
      </c>
      <c r="L10" s="10" t="str">
        <f>"270,9232"</f>
        <v>270,9232</v>
      </c>
      <c r="M10" s="9"/>
    </row>
    <row r="11" spans="1:13">
      <c r="B11" s="5" t="s">
        <v>185</v>
      </c>
    </row>
    <row r="12" spans="1:13" ht="16">
      <c r="A12" s="33" t="s">
        <v>135</v>
      </c>
      <c r="B12" s="33"/>
      <c r="C12" s="33"/>
      <c r="D12" s="33"/>
      <c r="E12" s="33"/>
      <c r="F12" s="33"/>
      <c r="G12" s="33"/>
      <c r="H12" s="33"/>
      <c r="I12" s="33"/>
      <c r="J12" s="33"/>
    </row>
    <row r="13" spans="1:13">
      <c r="A13" s="12" t="s">
        <v>183</v>
      </c>
      <c r="B13" s="11" t="s">
        <v>482</v>
      </c>
      <c r="C13" s="11" t="s">
        <v>483</v>
      </c>
      <c r="D13" s="11" t="s">
        <v>314</v>
      </c>
      <c r="E13" s="11" t="s">
        <v>582</v>
      </c>
      <c r="F13" s="11" t="s">
        <v>39</v>
      </c>
      <c r="G13" s="25" t="s">
        <v>484</v>
      </c>
      <c r="H13" s="25" t="s">
        <v>485</v>
      </c>
      <c r="I13" s="23" t="s">
        <v>174</v>
      </c>
      <c r="J13" s="12"/>
      <c r="K13" s="12" t="str">
        <f>"350,0"</f>
        <v>350,0</v>
      </c>
      <c r="L13" s="12" t="str">
        <f>"322,4900"</f>
        <v>322,4900</v>
      </c>
      <c r="M13" s="11"/>
    </row>
    <row r="14" spans="1:13">
      <c r="B14" s="5" t="s">
        <v>185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2:J12"/>
    <mergeCell ref="B3:B4"/>
    <mergeCell ref="K3:K4"/>
    <mergeCell ref="L3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U22"/>
  <sheetViews>
    <sheetView workbookViewId="0">
      <selection activeCell="E22" sqref="E22"/>
    </sheetView>
  </sheetViews>
  <sheetFormatPr baseColWidth="10" defaultColWidth="9.1640625" defaultRowHeight="13"/>
  <cols>
    <col min="1" max="1" width="7.5" style="5" bestFit="1" customWidth="1"/>
    <col min="2" max="2" width="21.83203125" style="5" customWidth="1"/>
    <col min="3" max="3" width="27.6640625" style="5" bestFit="1" customWidth="1"/>
    <col min="4" max="4" width="21.5" style="5" bestFit="1" customWidth="1"/>
    <col min="5" max="5" width="10.5" style="5" bestFit="1" customWidth="1"/>
    <col min="6" max="6" width="20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29" bestFit="1" customWidth="1"/>
    <col min="20" max="20" width="8.5" style="6" bestFit="1" customWidth="1"/>
    <col min="21" max="21" width="18.83203125" style="5" bestFit="1" customWidth="1"/>
    <col min="22" max="16384" width="9.1640625" style="3"/>
  </cols>
  <sheetData>
    <row r="1" spans="1:21" s="2" customFormat="1" ht="29" customHeight="1">
      <c r="A1" s="42" t="s">
        <v>556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</row>
    <row r="2" spans="1:21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1:21" s="1" customFormat="1" ht="12.75" customHeight="1">
      <c r="A3" s="50" t="s">
        <v>578</v>
      </c>
      <c r="B3" s="34" t="s">
        <v>0</v>
      </c>
      <c r="C3" s="52" t="s">
        <v>579</v>
      </c>
      <c r="D3" s="52" t="s">
        <v>5</v>
      </c>
      <c r="E3" s="38" t="s">
        <v>580</v>
      </c>
      <c r="F3" s="38" t="s">
        <v>6</v>
      </c>
      <c r="G3" s="38" t="s">
        <v>7</v>
      </c>
      <c r="H3" s="38"/>
      <c r="I3" s="38"/>
      <c r="J3" s="38"/>
      <c r="K3" s="38" t="s">
        <v>8</v>
      </c>
      <c r="L3" s="38"/>
      <c r="M3" s="38"/>
      <c r="N3" s="38"/>
      <c r="O3" s="38" t="s">
        <v>9</v>
      </c>
      <c r="P3" s="38"/>
      <c r="Q3" s="38"/>
      <c r="R3" s="38"/>
      <c r="S3" s="40" t="s">
        <v>1</v>
      </c>
      <c r="T3" s="38" t="s">
        <v>3</v>
      </c>
      <c r="U3" s="53" t="s">
        <v>2</v>
      </c>
    </row>
    <row r="4" spans="1:21" s="1" customFormat="1" ht="21" customHeight="1" thickBot="1">
      <c r="A4" s="51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1"/>
      <c r="T4" s="39"/>
      <c r="U4" s="54"/>
    </row>
    <row r="5" spans="1:21" ht="16">
      <c r="A5" s="36" t="s">
        <v>67</v>
      </c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21">
      <c r="A6" s="8" t="s">
        <v>183</v>
      </c>
      <c r="B6" s="7" t="s">
        <v>257</v>
      </c>
      <c r="C6" s="7" t="s">
        <v>258</v>
      </c>
      <c r="D6" s="7" t="s">
        <v>259</v>
      </c>
      <c r="E6" s="7" t="s">
        <v>582</v>
      </c>
      <c r="F6" s="7" t="s">
        <v>213</v>
      </c>
      <c r="G6" s="20" t="s">
        <v>19</v>
      </c>
      <c r="H6" s="20" t="s">
        <v>64</v>
      </c>
      <c r="I6" s="20" t="s">
        <v>30</v>
      </c>
      <c r="J6" s="8"/>
      <c r="K6" s="20" t="s">
        <v>18</v>
      </c>
      <c r="L6" s="24" t="s">
        <v>64</v>
      </c>
      <c r="M6" s="24" t="s">
        <v>64</v>
      </c>
      <c r="N6" s="8"/>
      <c r="O6" s="20" t="s">
        <v>16</v>
      </c>
      <c r="P6" s="20" t="s">
        <v>90</v>
      </c>
      <c r="Q6" s="20" t="s">
        <v>22</v>
      </c>
      <c r="R6" s="8"/>
      <c r="S6" s="30" t="str">
        <f>"295,0"</f>
        <v>295,0</v>
      </c>
      <c r="T6" s="8" t="str">
        <f>"494,1840"</f>
        <v>494,1840</v>
      </c>
      <c r="U6" s="7" t="s">
        <v>570</v>
      </c>
    </row>
    <row r="7" spans="1:21">
      <c r="A7" s="10" t="s">
        <v>183</v>
      </c>
      <c r="B7" s="9" t="s">
        <v>260</v>
      </c>
      <c r="C7" s="9" t="s">
        <v>261</v>
      </c>
      <c r="D7" s="9" t="s">
        <v>262</v>
      </c>
      <c r="E7" s="9" t="s">
        <v>581</v>
      </c>
      <c r="F7" s="9" t="s">
        <v>129</v>
      </c>
      <c r="G7" s="22" t="s">
        <v>23</v>
      </c>
      <c r="H7" s="22" t="s">
        <v>74</v>
      </c>
      <c r="I7" s="21" t="s">
        <v>75</v>
      </c>
      <c r="J7" s="10"/>
      <c r="K7" s="22" t="s">
        <v>53</v>
      </c>
      <c r="L7" s="22" t="s">
        <v>263</v>
      </c>
      <c r="M7" s="21" t="s">
        <v>264</v>
      </c>
      <c r="N7" s="10"/>
      <c r="O7" s="22" t="s">
        <v>82</v>
      </c>
      <c r="P7" s="22" t="s">
        <v>92</v>
      </c>
      <c r="Q7" s="22" t="s">
        <v>265</v>
      </c>
      <c r="R7" s="10"/>
      <c r="S7" s="32" t="str">
        <f>"450,0"</f>
        <v>450,0</v>
      </c>
      <c r="T7" s="10" t="str">
        <f>"774,8852"</f>
        <v>774,8852</v>
      </c>
      <c r="U7" s="9" t="s">
        <v>266</v>
      </c>
    </row>
    <row r="8" spans="1:21">
      <c r="B8" s="5" t="s">
        <v>185</v>
      </c>
    </row>
    <row r="9" spans="1:21" ht="16">
      <c r="A9" s="33" t="s">
        <v>99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spans="1:21">
      <c r="A10" s="12" t="s">
        <v>183</v>
      </c>
      <c r="B10" s="11" t="s">
        <v>267</v>
      </c>
      <c r="C10" s="11" t="s">
        <v>268</v>
      </c>
      <c r="D10" s="11" t="s">
        <v>269</v>
      </c>
      <c r="E10" s="11" t="s">
        <v>582</v>
      </c>
      <c r="F10" s="11" t="s">
        <v>270</v>
      </c>
      <c r="G10" s="23" t="s">
        <v>122</v>
      </c>
      <c r="H10" s="25" t="s">
        <v>122</v>
      </c>
      <c r="I10" s="25" t="s">
        <v>115</v>
      </c>
      <c r="J10" s="12"/>
      <c r="K10" s="25" t="s">
        <v>21</v>
      </c>
      <c r="L10" s="25" t="s">
        <v>22</v>
      </c>
      <c r="M10" s="23" t="s">
        <v>81</v>
      </c>
      <c r="N10" s="12"/>
      <c r="O10" s="25" t="s">
        <v>148</v>
      </c>
      <c r="P10" s="25" t="s">
        <v>109</v>
      </c>
      <c r="Q10" s="25" t="s">
        <v>271</v>
      </c>
      <c r="R10" s="12"/>
      <c r="S10" s="28" t="str">
        <f>"622,5"</f>
        <v>622,5</v>
      </c>
      <c r="T10" s="12" t="str">
        <f>"643,6650"</f>
        <v>643,6650</v>
      </c>
      <c r="U10" s="11"/>
    </row>
    <row r="11" spans="1:21">
      <c r="B11" s="5" t="s">
        <v>185</v>
      </c>
    </row>
    <row r="12" spans="1:21" ht="16">
      <c r="A12" s="33" t="s">
        <v>73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</row>
    <row r="13" spans="1:21">
      <c r="A13" s="8" t="s">
        <v>183</v>
      </c>
      <c r="B13" s="7" t="s">
        <v>272</v>
      </c>
      <c r="C13" s="7" t="s">
        <v>273</v>
      </c>
      <c r="D13" s="7" t="s">
        <v>274</v>
      </c>
      <c r="E13" s="7" t="s">
        <v>582</v>
      </c>
      <c r="F13" s="7" t="s">
        <v>275</v>
      </c>
      <c r="G13" s="20" t="s">
        <v>84</v>
      </c>
      <c r="H13" s="20" t="s">
        <v>196</v>
      </c>
      <c r="I13" s="24" t="s">
        <v>147</v>
      </c>
      <c r="J13" s="8"/>
      <c r="K13" s="24" t="s">
        <v>22</v>
      </c>
      <c r="L13" s="20" t="s">
        <v>81</v>
      </c>
      <c r="M13" s="24" t="s">
        <v>75</v>
      </c>
      <c r="N13" s="8"/>
      <c r="O13" s="20" t="s">
        <v>115</v>
      </c>
      <c r="P13" s="20" t="s">
        <v>230</v>
      </c>
      <c r="Q13" s="20" t="s">
        <v>125</v>
      </c>
      <c r="R13" s="8"/>
      <c r="S13" s="30" t="str">
        <f>"605,0"</f>
        <v>605,0</v>
      </c>
      <c r="T13" s="8" t="str">
        <f>"588,5440"</f>
        <v>588,5440</v>
      </c>
      <c r="U13" s="7"/>
    </row>
    <row r="14" spans="1:21">
      <c r="A14" s="10" t="s">
        <v>186</v>
      </c>
      <c r="B14" s="9" t="s">
        <v>276</v>
      </c>
      <c r="C14" s="9" t="s">
        <v>277</v>
      </c>
      <c r="D14" s="9" t="s">
        <v>278</v>
      </c>
      <c r="E14" s="9" t="s">
        <v>582</v>
      </c>
      <c r="F14" s="9" t="s">
        <v>39</v>
      </c>
      <c r="G14" s="21" t="s">
        <v>83</v>
      </c>
      <c r="H14" s="21" t="s">
        <v>83</v>
      </c>
      <c r="I14" s="21" t="s">
        <v>83</v>
      </c>
      <c r="J14" s="10"/>
      <c r="K14" s="21"/>
      <c r="L14" s="10"/>
      <c r="M14" s="10"/>
      <c r="N14" s="10"/>
      <c r="O14" s="21"/>
      <c r="P14" s="10"/>
      <c r="Q14" s="10"/>
      <c r="R14" s="10"/>
      <c r="S14" s="32">
        <v>0</v>
      </c>
      <c r="T14" s="10" t="str">
        <f>"0,0000"</f>
        <v>0,0000</v>
      </c>
      <c r="U14" s="9"/>
    </row>
    <row r="15" spans="1:21">
      <c r="B15" s="5" t="s">
        <v>185</v>
      </c>
    </row>
    <row r="16" spans="1:21" ht="16">
      <c r="A16" s="33" t="s">
        <v>135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</row>
    <row r="17" spans="1:21">
      <c r="A17" s="12" t="s">
        <v>183</v>
      </c>
      <c r="B17" s="11" t="s">
        <v>279</v>
      </c>
      <c r="C17" s="11" t="s">
        <v>280</v>
      </c>
      <c r="D17" s="11" t="s">
        <v>281</v>
      </c>
      <c r="E17" s="11" t="s">
        <v>582</v>
      </c>
      <c r="F17" s="11" t="s">
        <v>282</v>
      </c>
      <c r="G17" s="23" t="s">
        <v>84</v>
      </c>
      <c r="H17" s="23" t="s">
        <v>84</v>
      </c>
      <c r="I17" s="25" t="s">
        <v>84</v>
      </c>
      <c r="J17" s="12"/>
      <c r="K17" s="25" t="s">
        <v>130</v>
      </c>
      <c r="L17" s="25" t="s">
        <v>23</v>
      </c>
      <c r="M17" s="23" t="s">
        <v>81</v>
      </c>
      <c r="N17" s="12"/>
      <c r="O17" s="25" t="s">
        <v>84</v>
      </c>
      <c r="P17" s="25" t="s">
        <v>196</v>
      </c>
      <c r="Q17" s="25" t="s">
        <v>115</v>
      </c>
      <c r="R17" s="12"/>
      <c r="S17" s="28" t="str">
        <f>"565,0"</f>
        <v>565,0</v>
      </c>
      <c r="T17" s="12" t="str">
        <f>"522,1730"</f>
        <v>522,1730</v>
      </c>
      <c r="U17" s="11"/>
    </row>
    <row r="18" spans="1:21">
      <c r="B18" s="5" t="s">
        <v>185</v>
      </c>
    </row>
    <row r="19" spans="1:21" ht="16">
      <c r="A19" s="33" t="s">
        <v>149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</row>
    <row r="20" spans="1:21">
      <c r="A20" s="8" t="s">
        <v>183</v>
      </c>
      <c r="B20" s="7" t="s">
        <v>283</v>
      </c>
      <c r="C20" s="7" t="s">
        <v>542</v>
      </c>
      <c r="D20" s="7" t="s">
        <v>284</v>
      </c>
      <c r="E20" s="7" t="s">
        <v>589</v>
      </c>
      <c r="F20" s="7" t="s">
        <v>80</v>
      </c>
      <c r="G20" s="20" t="s">
        <v>15</v>
      </c>
      <c r="H20" s="20" t="s">
        <v>17</v>
      </c>
      <c r="I20" s="20" t="s">
        <v>90</v>
      </c>
      <c r="J20" s="8"/>
      <c r="K20" s="20" t="s">
        <v>19</v>
      </c>
      <c r="L20" s="20" t="s">
        <v>65</v>
      </c>
      <c r="M20" s="20" t="s">
        <v>29</v>
      </c>
      <c r="N20" s="8"/>
      <c r="O20" s="20" t="s">
        <v>75</v>
      </c>
      <c r="P20" s="20" t="s">
        <v>82</v>
      </c>
      <c r="Q20" s="20" t="s">
        <v>107</v>
      </c>
      <c r="R20" s="8"/>
      <c r="S20" s="30" t="str">
        <f>"385,0"</f>
        <v>385,0</v>
      </c>
      <c r="T20" s="8" t="str">
        <f>"341,9570"</f>
        <v>341,9570</v>
      </c>
      <c r="U20" s="7"/>
    </row>
    <row r="21" spans="1:21">
      <c r="A21" s="10" t="s">
        <v>183</v>
      </c>
      <c r="B21" s="9" t="s">
        <v>285</v>
      </c>
      <c r="C21" s="9" t="s">
        <v>286</v>
      </c>
      <c r="D21" s="9" t="s">
        <v>287</v>
      </c>
      <c r="E21" s="9" t="s">
        <v>583</v>
      </c>
      <c r="F21" s="9" t="s">
        <v>288</v>
      </c>
      <c r="G21" s="22" t="s">
        <v>75</v>
      </c>
      <c r="H21" s="22" t="s">
        <v>92</v>
      </c>
      <c r="I21" s="22" t="s">
        <v>84</v>
      </c>
      <c r="J21" s="10"/>
      <c r="K21" s="22" t="s">
        <v>34</v>
      </c>
      <c r="L21" s="22" t="s">
        <v>21</v>
      </c>
      <c r="M21" s="22" t="s">
        <v>22</v>
      </c>
      <c r="N21" s="10"/>
      <c r="O21" s="22" t="s">
        <v>115</v>
      </c>
      <c r="P21" s="22" t="s">
        <v>230</v>
      </c>
      <c r="Q21" s="21" t="s">
        <v>125</v>
      </c>
      <c r="R21" s="10"/>
      <c r="S21" s="32" t="str">
        <f>"570,0"</f>
        <v>570,0</v>
      </c>
      <c r="T21" s="10" t="str">
        <f>"686,7018"</f>
        <v>686,7018</v>
      </c>
      <c r="U21" s="9" t="s">
        <v>289</v>
      </c>
    </row>
    <row r="22" spans="1:21">
      <c r="B22" s="5" t="s">
        <v>185</v>
      </c>
    </row>
  </sheetData>
  <mergeCells count="18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9:R9"/>
    <mergeCell ref="A12:R12"/>
    <mergeCell ref="A16:R16"/>
    <mergeCell ref="A19:R19"/>
    <mergeCell ref="B3:B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U16"/>
  <sheetViews>
    <sheetView workbookViewId="0">
      <selection activeCell="E16" sqref="E16"/>
    </sheetView>
  </sheetViews>
  <sheetFormatPr baseColWidth="10" defaultColWidth="9.1640625" defaultRowHeight="13"/>
  <cols>
    <col min="1" max="1" width="7.5" style="5" bestFit="1" customWidth="1"/>
    <col min="2" max="2" width="19.1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1" style="5" customWidth="1"/>
    <col min="22" max="16384" width="9.1640625" style="3"/>
  </cols>
  <sheetData>
    <row r="1" spans="1:21" s="2" customFormat="1" ht="29" customHeight="1">
      <c r="A1" s="42" t="s">
        <v>557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</row>
    <row r="2" spans="1:21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1:21" s="1" customFormat="1" ht="12.75" customHeight="1">
      <c r="A3" s="50" t="s">
        <v>578</v>
      </c>
      <c r="B3" s="34" t="s">
        <v>0</v>
      </c>
      <c r="C3" s="52" t="s">
        <v>579</v>
      </c>
      <c r="D3" s="52" t="s">
        <v>5</v>
      </c>
      <c r="E3" s="38" t="s">
        <v>580</v>
      </c>
      <c r="F3" s="38" t="s">
        <v>6</v>
      </c>
      <c r="G3" s="38" t="s">
        <v>7</v>
      </c>
      <c r="H3" s="38"/>
      <c r="I3" s="38"/>
      <c r="J3" s="38"/>
      <c r="K3" s="38" t="s">
        <v>8</v>
      </c>
      <c r="L3" s="38"/>
      <c r="M3" s="38"/>
      <c r="N3" s="38"/>
      <c r="O3" s="38" t="s">
        <v>9</v>
      </c>
      <c r="P3" s="38"/>
      <c r="Q3" s="38"/>
      <c r="R3" s="38"/>
      <c r="S3" s="38" t="s">
        <v>1</v>
      </c>
      <c r="T3" s="38" t="s">
        <v>3</v>
      </c>
      <c r="U3" s="53" t="s">
        <v>2</v>
      </c>
    </row>
    <row r="4" spans="1:21" s="1" customFormat="1" ht="21" customHeight="1" thickBot="1">
      <c r="A4" s="51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9"/>
      <c r="T4" s="39"/>
      <c r="U4" s="54"/>
    </row>
    <row r="5" spans="1:21" ht="16">
      <c r="A5" s="36" t="s">
        <v>10</v>
      </c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21">
      <c r="A6" s="12" t="s">
        <v>183</v>
      </c>
      <c r="B6" s="11" t="s">
        <v>240</v>
      </c>
      <c r="C6" s="11" t="s">
        <v>241</v>
      </c>
      <c r="D6" s="11" t="s">
        <v>13</v>
      </c>
      <c r="E6" s="11" t="s">
        <v>582</v>
      </c>
      <c r="F6" s="11" t="s">
        <v>39</v>
      </c>
      <c r="G6" s="25" t="s">
        <v>40</v>
      </c>
      <c r="H6" s="25" t="s">
        <v>49</v>
      </c>
      <c r="I6" s="23" t="s">
        <v>53</v>
      </c>
      <c r="J6" s="12"/>
      <c r="K6" s="25" t="s">
        <v>242</v>
      </c>
      <c r="L6" s="25" t="s">
        <v>72</v>
      </c>
      <c r="M6" s="23" t="s">
        <v>51</v>
      </c>
      <c r="N6" s="12"/>
      <c r="O6" s="25" t="s">
        <v>29</v>
      </c>
      <c r="P6" s="25" t="s">
        <v>52</v>
      </c>
      <c r="Q6" s="23" t="s">
        <v>53</v>
      </c>
      <c r="R6" s="12"/>
      <c r="S6" s="12" t="str">
        <f>"235,0"</f>
        <v>235,0</v>
      </c>
      <c r="T6" s="12" t="str">
        <f>"547,0330"</f>
        <v>547,0330</v>
      </c>
      <c r="U6" s="11" t="s">
        <v>246</v>
      </c>
    </row>
    <row r="7" spans="1:21">
      <c r="B7" s="5" t="s">
        <v>185</v>
      </c>
    </row>
    <row r="8" spans="1:21" ht="16">
      <c r="A8" s="33" t="s">
        <v>76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21">
      <c r="A9" s="12" t="s">
        <v>183</v>
      </c>
      <c r="B9" s="11" t="s">
        <v>243</v>
      </c>
      <c r="C9" s="11" t="s">
        <v>244</v>
      </c>
      <c r="D9" s="11" t="s">
        <v>245</v>
      </c>
      <c r="E9" s="11" t="s">
        <v>582</v>
      </c>
      <c r="F9" s="11" t="s">
        <v>39</v>
      </c>
      <c r="G9" s="25" t="s">
        <v>90</v>
      </c>
      <c r="H9" s="25" t="s">
        <v>130</v>
      </c>
      <c r="I9" s="25" t="s">
        <v>23</v>
      </c>
      <c r="J9" s="12"/>
      <c r="K9" s="25" t="s">
        <v>19</v>
      </c>
      <c r="L9" s="25" t="s">
        <v>64</v>
      </c>
      <c r="M9" s="25" t="s">
        <v>58</v>
      </c>
      <c r="N9" s="12"/>
      <c r="O9" s="25" t="s">
        <v>34</v>
      </c>
      <c r="P9" s="25" t="s">
        <v>138</v>
      </c>
      <c r="Q9" s="25" t="s">
        <v>91</v>
      </c>
      <c r="R9" s="12"/>
      <c r="S9" s="12" t="str">
        <f>"355,0"</f>
        <v>355,0</v>
      </c>
      <c r="T9" s="12" t="str">
        <f>"567,2900"</f>
        <v>567,2900</v>
      </c>
      <c r="U9" s="11" t="s">
        <v>246</v>
      </c>
    </row>
    <row r="10" spans="1:21">
      <c r="B10" s="5" t="s">
        <v>185</v>
      </c>
    </row>
    <row r="11" spans="1:21" ht="16">
      <c r="A11" s="33" t="s">
        <v>155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1:21">
      <c r="A12" s="12" t="s">
        <v>183</v>
      </c>
      <c r="B12" s="11" t="s">
        <v>574</v>
      </c>
      <c r="C12" s="11" t="s">
        <v>247</v>
      </c>
      <c r="D12" s="11" t="s">
        <v>248</v>
      </c>
      <c r="E12" s="11" t="s">
        <v>582</v>
      </c>
      <c r="F12" s="11" t="s">
        <v>249</v>
      </c>
      <c r="G12" s="25" t="s">
        <v>109</v>
      </c>
      <c r="H12" s="23" t="s">
        <v>111</v>
      </c>
      <c r="I12" s="25" t="s">
        <v>111</v>
      </c>
      <c r="J12" s="12"/>
      <c r="K12" s="25" t="s">
        <v>75</v>
      </c>
      <c r="L12" s="25" t="s">
        <v>82</v>
      </c>
      <c r="M12" s="23" t="s">
        <v>107</v>
      </c>
      <c r="N12" s="12"/>
      <c r="O12" s="25" t="s">
        <v>110</v>
      </c>
      <c r="P12" s="25" t="s">
        <v>159</v>
      </c>
      <c r="Q12" s="12"/>
      <c r="R12" s="12"/>
      <c r="S12" s="12" t="str">
        <f>"715,0"</f>
        <v>715,0</v>
      </c>
      <c r="T12" s="12" t="str">
        <f>"614,1850"</f>
        <v>614,1850</v>
      </c>
      <c r="U12" s="11" t="s">
        <v>246</v>
      </c>
    </row>
    <row r="13" spans="1:21">
      <c r="B13" s="5" t="s">
        <v>185</v>
      </c>
    </row>
    <row r="14" spans="1:21" ht="16">
      <c r="A14" s="33" t="s">
        <v>223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</row>
    <row r="15" spans="1:21">
      <c r="A15" s="12" t="s">
        <v>183</v>
      </c>
      <c r="B15" s="11" t="s">
        <v>250</v>
      </c>
      <c r="C15" s="11" t="s">
        <v>543</v>
      </c>
      <c r="D15" s="11" t="s">
        <v>251</v>
      </c>
      <c r="E15" s="11" t="s">
        <v>585</v>
      </c>
      <c r="F15" s="11" t="s">
        <v>39</v>
      </c>
      <c r="G15" s="25" t="s">
        <v>110</v>
      </c>
      <c r="H15" s="23" t="s">
        <v>252</v>
      </c>
      <c r="I15" s="25" t="s">
        <v>253</v>
      </c>
      <c r="J15" s="12"/>
      <c r="K15" s="25" t="s">
        <v>254</v>
      </c>
      <c r="L15" s="25" t="s">
        <v>92</v>
      </c>
      <c r="M15" s="12"/>
      <c r="N15" s="12"/>
      <c r="O15" s="25" t="s">
        <v>255</v>
      </c>
      <c r="P15" s="25" t="s">
        <v>256</v>
      </c>
      <c r="Q15" s="12"/>
      <c r="R15" s="12"/>
      <c r="S15" s="12" t="str">
        <f>"737,5"</f>
        <v>737,5</v>
      </c>
      <c r="T15" s="12" t="str">
        <f>"623,9250"</f>
        <v>623,9250</v>
      </c>
      <c r="U15" s="11" t="s">
        <v>209</v>
      </c>
    </row>
    <row r="16" spans="1:21">
      <c r="B16" s="5" t="s">
        <v>185</v>
      </c>
    </row>
  </sheetData>
  <mergeCells count="17"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A11:R11"/>
    <mergeCell ref="A14:R14"/>
    <mergeCell ref="B3:B4"/>
    <mergeCell ref="S3:S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U28"/>
  <sheetViews>
    <sheetView workbookViewId="0">
      <selection activeCell="E28" sqref="E28"/>
    </sheetView>
  </sheetViews>
  <sheetFormatPr baseColWidth="10" defaultColWidth="9.1640625" defaultRowHeight="13"/>
  <cols>
    <col min="1" max="1" width="7.5" style="5" bestFit="1" customWidth="1"/>
    <col min="2" max="2" width="22.83203125" style="5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2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29" bestFit="1" customWidth="1"/>
    <col min="20" max="20" width="8.5" style="6" bestFit="1" customWidth="1"/>
    <col min="21" max="21" width="23" style="5" bestFit="1" customWidth="1"/>
    <col min="22" max="16384" width="9.1640625" style="3"/>
  </cols>
  <sheetData>
    <row r="1" spans="1:21" s="2" customFormat="1" ht="29" customHeight="1">
      <c r="A1" s="42" t="s">
        <v>558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</row>
    <row r="2" spans="1:21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1:21" s="1" customFormat="1" ht="12.75" customHeight="1">
      <c r="A3" s="50" t="s">
        <v>578</v>
      </c>
      <c r="B3" s="34" t="s">
        <v>0</v>
      </c>
      <c r="C3" s="52" t="s">
        <v>579</v>
      </c>
      <c r="D3" s="52" t="s">
        <v>5</v>
      </c>
      <c r="E3" s="38" t="s">
        <v>580</v>
      </c>
      <c r="F3" s="38" t="s">
        <v>6</v>
      </c>
      <c r="G3" s="38" t="s">
        <v>7</v>
      </c>
      <c r="H3" s="38"/>
      <c r="I3" s="38"/>
      <c r="J3" s="38"/>
      <c r="K3" s="38" t="s">
        <v>8</v>
      </c>
      <c r="L3" s="38"/>
      <c r="M3" s="38"/>
      <c r="N3" s="38"/>
      <c r="O3" s="38" t="s">
        <v>9</v>
      </c>
      <c r="P3" s="38"/>
      <c r="Q3" s="38"/>
      <c r="R3" s="38"/>
      <c r="S3" s="40" t="s">
        <v>1</v>
      </c>
      <c r="T3" s="38" t="s">
        <v>3</v>
      </c>
      <c r="U3" s="53" t="s">
        <v>2</v>
      </c>
    </row>
    <row r="4" spans="1:21" s="1" customFormat="1" ht="21" customHeight="1" thickBot="1">
      <c r="A4" s="51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1"/>
      <c r="T4" s="39"/>
      <c r="U4" s="54"/>
    </row>
    <row r="5" spans="1:21" ht="16">
      <c r="A5" s="36" t="s">
        <v>44</v>
      </c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21">
      <c r="A6" s="12" t="s">
        <v>183</v>
      </c>
      <c r="B6" s="11" t="s">
        <v>188</v>
      </c>
      <c r="C6" s="11" t="s">
        <v>189</v>
      </c>
      <c r="D6" s="11" t="s">
        <v>190</v>
      </c>
      <c r="E6" s="11" t="s">
        <v>581</v>
      </c>
      <c r="F6" s="11" t="s">
        <v>39</v>
      </c>
      <c r="G6" s="23" t="s">
        <v>74</v>
      </c>
      <c r="H6" s="23" t="s">
        <v>74</v>
      </c>
      <c r="I6" s="25" t="s">
        <v>75</v>
      </c>
      <c r="J6" s="12"/>
      <c r="K6" s="25" t="s">
        <v>64</v>
      </c>
      <c r="L6" s="25" t="s">
        <v>65</v>
      </c>
      <c r="M6" s="23" t="s">
        <v>40</v>
      </c>
      <c r="N6" s="12"/>
      <c r="O6" s="25" t="s">
        <v>92</v>
      </c>
      <c r="P6" s="25" t="s">
        <v>83</v>
      </c>
      <c r="Q6" s="23" t="s">
        <v>84</v>
      </c>
      <c r="R6" s="12"/>
      <c r="S6" s="28" t="str">
        <f>"430,0"</f>
        <v>430,0</v>
      </c>
      <c r="T6" s="12" t="str">
        <f>"877,6386"</f>
        <v>877,6386</v>
      </c>
      <c r="U6" s="11" t="s">
        <v>191</v>
      </c>
    </row>
    <row r="7" spans="1:21">
      <c r="B7" s="5" t="s">
        <v>185</v>
      </c>
    </row>
    <row r="8" spans="1:21" ht="16">
      <c r="A8" s="33" t="s">
        <v>99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21">
      <c r="A9" s="12" t="s">
        <v>183</v>
      </c>
      <c r="B9" s="11" t="s">
        <v>192</v>
      </c>
      <c r="C9" s="11" t="s">
        <v>193</v>
      </c>
      <c r="D9" s="11" t="s">
        <v>194</v>
      </c>
      <c r="E9" s="11" t="s">
        <v>582</v>
      </c>
      <c r="F9" s="11" t="s">
        <v>195</v>
      </c>
      <c r="G9" s="25" t="s">
        <v>85</v>
      </c>
      <c r="H9" s="25" t="s">
        <v>196</v>
      </c>
      <c r="I9" s="23" t="s">
        <v>147</v>
      </c>
      <c r="J9" s="12"/>
      <c r="K9" s="25" t="s">
        <v>75</v>
      </c>
      <c r="L9" s="25" t="s">
        <v>89</v>
      </c>
      <c r="M9" s="23" t="s">
        <v>82</v>
      </c>
      <c r="N9" s="12"/>
      <c r="O9" s="25" t="s">
        <v>148</v>
      </c>
      <c r="P9" s="25" t="s">
        <v>109</v>
      </c>
      <c r="Q9" s="23" t="s">
        <v>110</v>
      </c>
      <c r="R9" s="12"/>
      <c r="S9" s="28" t="str">
        <f>"630,0"</f>
        <v>630,0</v>
      </c>
      <c r="T9" s="12" t="str">
        <f>"653,4360"</f>
        <v>653,4360</v>
      </c>
      <c r="U9" s="11"/>
    </row>
    <row r="10" spans="1:21">
      <c r="B10" s="5" t="s">
        <v>185</v>
      </c>
    </row>
    <row r="11" spans="1:21" ht="16">
      <c r="A11" s="33" t="s">
        <v>73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1:21">
      <c r="A12" s="8" t="s">
        <v>183</v>
      </c>
      <c r="B12" s="7" t="s">
        <v>197</v>
      </c>
      <c r="C12" s="7" t="s">
        <v>198</v>
      </c>
      <c r="D12" s="7" t="s">
        <v>199</v>
      </c>
      <c r="E12" s="7" t="s">
        <v>582</v>
      </c>
      <c r="F12" s="7" t="s">
        <v>200</v>
      </c>
      <c r="G12" s="20" t="s">
        <v>125</v>
      </c>
      <c r="H12" s="24" t="s">
        <v>110</v>
      </c>
      <c r="I12" s="24" t="s">
        <v>110</v>
      </c>
      <c r="J12" s="8"/>
      <c r="K12" s="20" t="s">
        <v>81</v>
      </c>
      <c r="L12" s="20" t="s">
        <v>75</v>
      </c>
      <c r="M12" s="8"/>
      <c r="N12" s="8"/>
      <c r="O12" s="24" t="s">
        <v>110</v>
      </c>
      <c r="P12" s="20" t="s">
        <v>110</v>
      </c>
      <c r="Q12" s="8"/>
      <c r="R12" s="8"/>
      <c r="S12" s="30" t="str">
        <f>"660,0"</f>
        <v>660,0</v>
      </c>
      <c r="T12" s="8" t="str">
        <f>"640,9920"</f>
        <v>640,9920</v>
      </c>
      <c r="U12" s="7"/>
    </row>
    <row r="13" spans="1:21">
      <c r="A13" s="10" t="s">
        <v>183</v>
      </c>
      <c r="B13" s="9" t="s">
        <v>201</v>
      </c>
      <c r="C13" s="9" t="s">
        <v>202</v>
      </c>
      <c r="D13" s="9" t="s">
        <v>203</v>
      </c>
      <c r="E13" s="9" t="s">
        <v>581</v>
      </c>
      <c r="F13" s="9" t="s">
        <v>39</v>
      </c>
      <c r="G13" s="22" t="s">
        <v>53</v>
      </c>
      <c r="H13" s="22" t="s">
        <v>16</v>
      </c>
      <c r="I13" s="21" t="s">
        <v>34</v>
      </c>
      <c r="J13" s="10"/>
      <c r="K13" s="22" t="s">
        <v>52</v>
      </c>
      <c r="L13" s="22" t="s">
        <v>15</v>
      </c>
      <c r="M13" s="21" t="s">
        <v>16</v>
      </c>
      <c r="N13" s="10"/>
      <c r="O13" s="22" t="s">
        <v>21</v>
      </c>
      <c r="P13" s="22" t="s">
        <v>81</v>
      </c>
      <c r="Q13" s="21" t="s">
        <v>75</v>
      </c>
      <c r="R13" s="10"/>
      <c r="S13" s="32" t="str">
        <f>"365,0"</f>
        <v>365,0</v>
      </c>
      <c r="T13" s="10" t="str">
        <f>"365,5044"</f>
        <v>365,5044</v>
      </c>
      <c r="U13" s="9" t="s">
        <v>204</v>
      </c>
    </row>
    <row r="14" spans="1:21">
      <c r="B14" s="5" t="s">
        <v>185</v>
      </c>
    </row>
    <row r="15" spans="1:21" ht="16">
      <c r="A15" s="33" t="s">
        <v>135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</row>
    <row r="16" spans="1:21">
      <c r="A16" s="8" t="s">
        <v>183</v>
      </c>
      <c r="B16" s="7" t="s">
        <v>205</v>
      </c>
      <c r="C16" s="7" t="s">
        <v>206</v>
      </c>
      <c r="D16" s="7" t="s">
        <v>207</v>
      </c>
      <c r="E16" s="7" t="s">
        <v>582</v>
      </c>
      <c r="F16" s="7" t="s">
        <v>208</v>
      </c>
      <c r="G16" s="20" t="s">
        <v>196</v>
      </c>
      <c r="H16" s="20" t="s">
        <v>148</v>
      </c>
      <c r="I16" s="24" t="s">
        <v>109</v>
      </c>
      <c r="J16" s="8"/>
      <c r="K16" s="20" t="s">
        <v>21</v>
      </c>
      <c r="L16" s="20" t="s">
        <v>23</v>
      </c>
      <c r="M16" s="20" t="s">
        <v>81</v>
      </c>
      <c r="N16" s="8"/>
      <c r="O16" s="20" t="s">
        <v>85</v>
      </c>
      <c r="P16" s="20" t="s">
        <v>140</v>
      </c>
      <c r="Q16" s="20" t="s">
        <v>147</v>
      </c>
      <c r="R16" s="8"/>
      <c r="S16" s="30" t="str">
        <f>"610,0"</f>
        <v>610,0</v>
      </c>
      <c r="T16" s="8" t="str">
        <f>"558,3940"</f>
        <v>558,3940</v>
      </c>
      <c r="U16" s="7" t="s">
        <v>209</v>
      </c>
    </row>
    <row r="17" spans="1:21">
      <c r="A17" s="10" t="s">
        <v>184</v>
      </c>
      <c r="B17" s="9" t="s">
        <v>210</v>
      </c>
      <c r="C17" s="9" t="s">
        <v>211</v>
      </c>
      <c r="D17" s="9" t="s">
        <v>212</v>
      </c>
      <c r="E17" s="9" t="s">
        <v>582</v>
      </c>
      <c r="F17" s="9" t="s">
        <v>213</v>
      </c>
      <c r="G17" s="21" t="s">
        <v>75</v>
      </c>
      <c r="H17" s="21" t="s">
        <v>82</v>
      </c>
      <c r="I17" s="22" t="s">
        <v>82</v>
      </c>
      <c r="J17" s="10"/>
      <c r="K17" s="22" t="s">
        <v>34</v>
      </c>
      <c r="L17" s="21" t="s">
        <v>21</v>
      </c>
      <c r="M17" s="21" t="s">
        <v>21</v>
      </c>
      <c r="N17" s="10"/>
      <c r="O17" s="22" t="s">
        <v>75</v>
      </c>
      <c r="P17" s="22" t="s">
        <v>214</v>
      </c>
      <c r="Q17" s="21" t="s">
        <v>84</v>
      </c>
      <c r="R17" s="10"/>
      <c r="S17" s="32" t="str">
        <f>"475,0"</f>
        <v>475,0</v>
      </c>
      <c r="T17" s="10" t="str">
        <f>"459,8950"</f>
        <v>459,8950</v>
      </c>
      <c r="U17" s="9" t="s">
        <v>575</v>
      </c>
    </row>
    <row r="18" spans="1:21">
      <c r="B18" s="5" t="s">
        <v>185</v>
      </c>
    </row>
    <row r="19" spans="1:21" ht="16">
      <c r="A19" s="33" t="s">
        <v>149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</row>
    <row r="20" spans="1:21">
      <c r="A20" s="12" t="s">
        <v>186</v>
      </c>
      <c r="B20" s="11" t="s">
        <v>215</v>
      </c>
      <c r="C20" s="11" t="s">
        <v>216</v>
      </c>
      <c r="D20" s="11" t="s">
        <v>217</v>
      </c>
      <c r="E20" s="11" t="s">
        <v>582</v>
      </c>
      <c r="F20" s="11" t="s">
        <v>102</v>
      </c>
      <c r="G20" s="23" t="s">
        <v>125</v>
      </c>
      <c r="H20" s="23" t="s">
        <v>109</v>
      </c>
      <c r="I20" s="23" t="s">
        <v>109</v>
      </c>
      <c r="J20" s="12"/>
      <c r="K20" s="23"/>
      <c r="L20" s="12"/>
      <c r="M20" s="12"/>
      <c r="N20" s="12"/>
      <c r="O20" s="23"/>
      <c r="P20" s="12"/>
      <c r="Q20" s="12"/>
      <c r="R20" s="12"/>
      <c r="S20" s="28">
        <v>0</v>
      </c>
      <c r="T20" s="12" t="str">
        <f>"0,0000"</f>
        <v>0,0000</v>
      </c>
      <c r="U20" s="11"/>
    </row>
    <row r="21" spans="1:21">
      <c r="B21" s="5" t="s">
        <v>185</v>
      </c>
    </row>
    <row r="22" spans="1:21" ht="16">
      <c r="A22" s="33" t="s">
        <v>155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</row>
    <row r="23" spans="1:21">
      <c r="A23" s="12" t="s">
        <v>186</v>
      </c>
      <c r="B23" s="11" t="s">
        <v>218</v>
      </c>
      <c r="C23" s="11" t="s">
        <v>219</v>
      </c>
      <c r="D23" s="11" t="s">
        <v>220</v>
      </c>
      <c r="E23" s="11" t="s">
        <v>582</v>
      </c>
      <c r="F23" s="11" t="s">
        <v>221</v>
      </c>
      <c r="G23" s="23" t="s">
        <v>160</v>
      </c>
      <c r="H23" s="23" t="s">
        <v>160</v>
      </c>
      <c r="I23" s="23" t="s">
        <v>222</v>
      </c>
      <c r="J23" s="12"/>
      <c r="K23" s="23"/>
      <c r="L23" s="12"/>
      <c r="M23" s="12"/>
      <c r="N23" s="12"/>
      <c r="O23" s="23"/>
      <c r="P23" s="12"/>
      <c r="Q23" s="12"/>
      <c r="R23" s="12"/>
      <c r="S23" s="28">
        <v>0</v>
      </c>
      <c r="T23" s="12" t="str">
        <f>"0,0000"</f>
        <v>0,0000</v>
      </c>
      <c r="U23" s="11"/>
    </row>
    <row r="24" spans="1:21">
      <c r="B24" s="5" t="s">
        <v>185</v>
      </c>
    </row>
    <row r="25" spans="1:21" ht="16">
      <c r="A25" s="33" t="s">
        <v>223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</row>
    <row r="26" spans="1:21">
      <c r="A26" s="8" t="s">
        <v>183</v>
      </c>
      <c r="B26" s="7" t="s">
        <v>224</v>
      </c>
      <c r="C26" s="7" t="s">
        <v>225</v>
      </c>
      <c r="D26" s="7" t="s">
        <v>226</v>
      </c>
      <c r="E26" s="7" t="s">
        <v>582</v>
      </c>
      <c r="F26" s="7" t="s">
        <v>227</v>
      </c>
      <c r="G26" s="20" t="s">
        <v>228</v>
      </c>
      <c r="H26" s="24" t="s">
        <v>229</v>
      </c>
      <c r="I26" s="24" t="s">
        <v>229</v>
      </c>
      <c r="J26" s="8"/>
      <c r="K26" s="20" t="s">
        <v>115</v>
      </c>
      <c r="L26" s="20" t="s">
        <v>230</v>
      </c>
      <c r="M26" s="24" t="s">
        <v>125</v>
      </c>
      <c r="N26" s="8"/>
      <c r="O26" s="20" t="s">
        <v>231</v>
      </c>
      <c r="P26" s="20" t="s">
        <v>232</v>
      </c>
      <c r="Q26" s="24" t="s">
        <v>228</v>
      </c>
      <c r="R26" s="8"/>
      <c r="S26" s="30" t="str">
        <f>"930,0"</f>
        <v>930,0</v>
      </c>
      <c r="T26" s="8" t="str">
        <f>"790,5000"</f>
        <v>790,5000</v>
      </c>
      <c r="U26" s="7"/>
    </row>
    <row r="27" spans="1:21">
      <c r="A27" s="10" t="s">
        <v>186</v>
      </c>
      <c r="B27" s="9" t="s">
        <v>233</v>
      </c>
      <c r="C27" s="9" t="s">
        <v>234</v>
      </c>
      <c r="D27" s="9" t="s">
        <v>235</v>
      </c>
      <c r="E27" s="9" t="s">
        <v>582</v>
      </c>
      <c r="F27" s="9" t="s">
        <v>39</v>
      </c>
      <c r="G27" s="21" t="s">
        <v>109</v>
      </c>
      <c r="H27" s="10"/>
      <c r="I27" s="10"/>
      <c r="J27" s="10"/>
      <c r="K27" s="21"/>
      <c r="L27" s="10"/>
      <c r="M27" s="10"/>
      <c r="N27" s="10"/>
      <c r="O27" s="21"/>
      <c r="P27" s="10"/>
      <c r="Q27" s="10"/>
      <c r="R27" s="10"/>
      <c r="S27" s="32">
        <v>0</v>
      </c>
      <c r="T27" s="10" t="str">
        <f>"0,0000"</f>
        <v>0,0000</v>
      </c>
      <c r="U27" s="9" t="s">
        <v>236</v>
      </c>
    </row>
    <row r="28" spans="1:21">
      <c r="B28" s="5" t="s">
        <v>185</v>
      </c>
    </row>
  </sheetData>
  <mergeCells count="20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25:R25"/>
    <mergeCell ref="S3:S4"/>
    <mergeCell ref="T3:T4"/>
    <mergeCell ref="U3:U4"/>
    <mergeCell ref="A5:R5"/>
    <mergeCell ref="B3:B4"/>
    <mergeCell ref="A8:R8"/>
    <mergeCell ref="A11:R11"/>
    <mergeCell ref="A15:R15"/>
    <mergeCell ref="A19:R19"/>
    <mergeCell ref="A22:R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Q17"/>
  <sheetViews>
    <sheetView workbookViewId="0">
      <selection activeCell="E17" sqref="E17"/>
    </sheetView>
  </sheetViews>
  <sheetFormatPr baseColWidth="10" defaultColWidth="9.1640625" defaultRowHeight="13"/>
  <cols>
    <col min="1" max="1" width="7.5" style="5" bestFit="1" customWidth="1"/>
    <col min="2" max="2" width="17.5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4" width="5.5" style="6" customWidth="1"/>
    <col min="15" max="15" width="7.83203125" style="6" bestFit="1" customWidth="1"/>
    <col min="16" max="16" width="8.5" style="6" bestFit="1" customWidth="1"/>
    <col min="17" max="17" width="20.5" style="5" bestFit="1" customWidth="1"/>
    <col min="18" max="16384" width="9.1640625" style="3"/>
  </cols>
  <sheetData>
    <row r="1" spans="1:17" s="2" customFormat="1" ht="29" customHeight="1">
      <c r="A1" s="42" t="s">
        <v>547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5"/>
    </row>
    <row r="2" spans="1:17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9"/>
    </row>
    <row r="3" spans="1:17" s="1" customFormat="1" ht="12.75" customHeight="1">
      <c r="A3" s="50" t="s">
        <v>578</v>
      </c>
      <c r="B3" s="34" t="s">
        <v>0</v>
      </c>
      <c r="C3" s="52" t="s">
        <v>579</v>
      </c>
      <c r="D3" s="52" t="s">
        <v>5</v>
      </c>
      <c r="E3" s="38" t="s">
        <v>580</v>
      </c>
      <c r="F3" s="38" t="s">
        <v>6</v>
      </c>
      <c r="G3" s="38" t="s">
        <v>8</v>
      </c>
      <c r="H3" s="38"/>
      <c r="I3" s="38"/>
      <c r="J3" s="38"/>
      <c r="K3" s="38" t="s">
        <v>9</v>
      </c>
      <c r="L3" s="38"/>
      <c r="M3" s="38"/>
      <c r="N3" s="38"/>
      <c r="O3" s="38" t="s">
        <v>1</v>
      </c>
      <c r="P3" s="38" t="s">
        <v>3</v>
      </c>
      <c r="Q3" s="53" t="s">
        <v>2</v>
      </c>
    </row>
    <row r="4" spans="1:17" s="1" customFormat="1" ht="21" customHeight="1" thickBot="1">
      <c r="A4" s="51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9"/>
      <c r="P4" s="39"/>
      <c r="Q4" s="54"/>
    </row>
    <row r="5" spans="1:17" ht="16">
      <c r="A5" s="36" t="s">
        <v>35</v>
      </c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7">
      <c r="A6" s="12" t="s">
        <v>183</v>
      </c>
      <c r="B6" s="11" t="s">
        <v>524</v>
      </c>
      <c r="C6" s="11" t="s">
        <v>534</v>
      </c>
      <c r="D6" s="11" t="s">
        <v>525</v>
      </c>
      <c r="E6" s="11" t="s">
        <v>585</v>
      </c>
      <c r="F6" s="11" t="s">
        <v>39</v>
      </c>
      <c r="G6" s="23" t="s">
        <v>242</v>
      </c>
      <c r="H6" s="25" t="s">
        <v>51</v>
      </c>
      <c r="I6" s="23" t="s">
        <v>42</v>
      </c>
      <c r="J6" s="12"/>
      <c r="K6" s="25" t="s">
        <v>64</v>
      </c>
      <c r="L6" s="25" t="s">
        <v>30</v>
      </c>
      <c r="M6" s="25" t="s">
        <v>53</v>
      </c>
      <c r="N6" s="12"/>
      <c r="O6" s="12" t="str">
        <f>"150,0"</f>
        <v>150,0</v>
      </c>
      <c r="P6" s="12" t="str">
        <f>"320,6400"</f>
        <v>320,6400</v>
      </c>
      <c r="Q6" s="11" t="s">
        <v>526</v>
      </c>
    </row>
    <row r="7" spans="1:17">
      <c r="B7" s="5" t="s">
        <v>185</v>
      </c>
    </row>
    <row r="8" spans="1:17" ht="16">
      <c r="A8" s="33" t="s">
        <v>99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7">
      <c r="A9" s="8" t="s">
        <v>183</v>
      </c>
      <c r="B9" s="7" t="s">
        <v>507</v>
      </c>
      <c r="C9" s="7" t="s">
        <v>527</v>
      </c>
      <c r="D9" s="7" t="s">
        <v>114</v>
      </c>
      <c r="E9" s="7" t="s">
        <v>582</v>
      </c>
      <c r="F9" s="7" t="s">
        <v>385</v>
      </c>
      <c r="G9" s="20" t="s">
        <v>21</v>
      </c>
      <c r="H9" s="20" t="s">
        <v>130</v>
      </c>
      <c r="I9" s="24" t="s">
        <v>528</v>
      </c>
      <c r="J9" s="8"/>
      <c r="K9" s="24" t="s">
        <v>115</v>
      </c>
      <c r="L9" s="20" t="s">
        <v>115</v>
      </c>
      <c r="M9" s="20" t="s">
        <v>230</v>
      </c>
      <c r="N9" s="24" t="s">
        <v>148</v>
      </c>
      <c r="O9" s="8" t="str">
        <f>"365,0"</f>
        <v>365,0</v>
      </c>
      <c r="P9" s="8" t="str">
        <f>"379,5270"</f>
        <v>379,5270</v>
      </c>
      <c r="Q9" s="7"/>
    </row>
    <row r="10" spans="1:17">
      <c r="A10" s="10" t="s">
        <v>183</v>
      </c>
      <c r="B10" s="9" t="s">
        <v>507</v>
      </c>
      <c r="C10" s="9" t="s">
        <v>508</v>
      </c>
      <c r="D10" s="9" t="s">
        <v>114</v>
      </c>
      <c r="E10" s="9" t="s">
        <v>583</v>
      </c>
      <c r="F10" s="9" t="s">
        <v>385</v>
      </c>
      <c r="G10" s="22" t="s">
        <v>21</v>
      </c>
      <c r="H10" s="22" t="s">
        <v>130</v>
      </c>
      <c r="I10" s="21" t="s">
        <v>528</v>
      </c>
      <c r="J10" s="10"/>
      <c r="K10" s="21" t="s">
        <v>115</v>
      </c>
      <c r="L10" s="22" t="s">
        <v>115</v>
      </c>
      <c r="M10" s="22" t="s">
        <v>230</v>
      </c>
      <c r="N10" s="21" t="s">
        <v>148</v>
      </c>
      <c r="O10" s="10" t="str">
        <f>"365,0"</f>
        <v>365,0</v>
      </c>
      <c r="P10" s="10" t="str">
        <f>"436,4561"</f>
        <v>436,4561</v>
      </c>
      <c r="Q10" s="9"/>
    </row>
    <row r="11" spans="1:17">
      <c r="B11" s="5" t="s">
        <v>185</v>
      </c>
    </row>
    <row r="12" spans="1:17" ht="16">
      <c r="A12" s="33" t="s">
        <v>73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</row>
    <row r="13" spans="1:17">
      <c r="A13" s="12" t="s">
        <v>183</v>
      </c>
      <c r="B13" s="11" t="s">
        <v>131</v>
      </c>
      <c r="C13" s="11" t="s">
        <v>132</v>
      </c>
      <c r="D13" s="11" t="s">
        <v>133</v>
      </c>
      <c r="E13" s="11" t="s">
        <v>581</v>
      </c>
      <c r="F13" s="11" t="s">
        <v>134</v>
      </c>
      <c r="G13" s="25" t="s">
        <v>17</v>
      </c>
      <c r="H13" s="25" t="s">
        <v>34</v>
      </c>
      <c r="I13" s="23" t="s">
        <v>90</v>
      </c>
      <c r="J13" s="12"/>
      <c r="K13" s="25" t="s">
        <v>81</v>
      </c>
      <c r="L13" s="25" t="s">
        <v>89</v>
      </c>
      <c r="M13" s="25" t="s">
        <v>92</v>
      </c>
      <c r="N13" s="12"/>
      <c r="O13" s="12" t="str">
        <f>"300,0"</f>
        <v>300,0</v>
      </c>
      <c r="P13" s="12" t="str">
        <f>"309,6048"</f>
        <v>309,6048</v>
      </c>
      <c r="Q13" s="11"/>
    </row>
    <row r="14" spans="1:17">
      <c r="B14" s="5" t="s">
        <v>185</v>
      </c>
    </row>
    <row r="15" spans="1:17" ht="16">
      <c r="A15" s="33" t="s">
        <v>149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</row>
    <row r="16" spans="1:17">
      <c r="A16" s="12" t="s">
        <v>183</v>
      </c>
      <c r="B16" s="11" t="s">
        <v>529</v>
      </c>
      <c r="C16" s="11" t="s">
        <v>530</v>
      </c>
      <c r="D16" s="11" t="s">
        <v>531</v>
      </c>
      <c r="E16" s="11" t="s">
        <v>582</v>
      </c>
      <c r="F16" s="11" t="s">
        <v>532</v>
      </c>
      <c r="G16" s="25" t="s">
        <v>75</v>
      </c>
      <c r="H16" s="25" t="s">
        <v>89</v>
      </c>
      <c r="I16" s="25" t="s">
        <v>82</v>
      </c>
      <c r="J16" s="12"/>
      <c r="K16" s="25" t="s">
        <v>109</v>
      </c>
      <c r="L16" s="25" t="s">
        <v>110</v>
      </c>
      <c r="M16" s="25" t="s">
        <v>533</v>
      </c>
      <c r="N16" s="12"/>
      <c r="O16" s="12" t="str">
        <f>"437,5"</f>
        <v>437,5</v>
      </c>
      <c r="P16" s="12" t="str">
        <f>"388,9375"</f>
        <v>388,9375</v>
      </c>
      <c r="Q16" s="11" t="s">
        <v>562</v>
      </c>
    </row>
    <row r="17" spans="2:2">
      <c r="B17" s="5" t="s">
        <v>185</v>
      </c>
    </row>
  </sheetData>
  <mergeCells count="16"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A12:N12"/>
    <mergeCell ref="A15:N15"/>
    <mergeCell ref="B3:B4"/>
    <mergeCell ref="O3:O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Q10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9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9.332031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22" style="5" customWidth="1"/>
    <col min="18" max="16384" width="9.1640625" style="3"/>
  </cols>
  <sheetData>
    <row r="1" spans="1:17" s="2" customFormat="1" ht="29" customHeight="1">
      <c r="A1" s="42" t="s">
        <v>548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5"/>
    </row>
    <row r="2" spans="1:17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9"/>
    </row>
    <row r="3" spans="1:17" s="1" customFormat="1" ht="12.75" customHeight="1">
      <c r="A3" s="50" t="s">
        <v>578</v>
      </c>
      <c r="B3" s="34" t="s">
        <v>0</v>
      </c>
      <c r="C3" s="52" t="s">
        <v>579</v>
      </c>
      <c r="D3" s="52" t="s">
        <v>5</v>
      </c>
      <c r="E3" s="38" t="s">
        <v>580</v>
      </c>
      <c r="F3" s="38" t="s">
        <v>6</v>
      </c>
      <c r="G3" s="38" t="s">
        <v>8</v>
      </c>
      <c r="H3" s="38"/>
      <c r="I3" s="38"/>
      <c r="J3" s="38"/>
      <c r="K3" s="38" t="s">
        <v>9</v>
      </c>
      <c r="L3" s="38"/>
      <c r="M3" s="38"/>
      <c r="N3" s="38"/>
      <c r="O3" s="38" t="s">
        <v>1</v>
      </c>
      <c r="P3" s="38" t="s">
        <v>3</v>
      </c>
      <c r="Q3" s="53" t="s">
        <v>2</v>
      </c>
    </row>
    <row r="4" spans="1:17" s="1" customFormat="1" ht="21" customHeight="1" thickBot="1">
      <c r="A4" s="51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9"/>
      <c r="P4" s="39"/>
      <c r="Q4" s="54"/>
    </row>
    <row r="5" spans="1:17" ht="16">
      <c r="A5" s="36" t="s">
        <v>135</v>
      </c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7">
      <c r="A6" s="12" t="s">
        <v>183</v>
      </c>
      <c r="B6" s="11" t="s">
        <v>517</v>
      </c>
      <c r="C6" s="11" t="s">
        <v>518</v>
      </c>
      <c r="D6" s="11" t="s">
        <v>519</v>
      </c>
      <c r="E6" s="11" t="s">
        <v>582</v>
      </c>
      <c r="F6" s="11" t="s">
        <v>520</v>
      </c>
      <c r="G6" s="25" t="s">
        <v>107</v>
      </c>
      <c r="H6" s="25" t="s">
        <v>214</v>
      </c>
      <c r="I6" s="23" t="s">
        <v>83</v>
      </c>
      <c r="J6" s="12"/>
      <c r="K6" s="23" t="s">
        <v>222</v>
      </c>
      <c r="L6" s="25" t="s">
        <v>521</v>
      </c>
      <c r="M6" s="23" t="s">
        <v>522</v>
      </c>
      <c r="N6" s="12"/>
      <c r="O6" s="12" t="str">
        <f>"497,5"</f>
        <v>497,5</v>
      </c>
      <c r="P6" s="12" t="str">
        <f>"462,1775"</f>
        <v>462,1775</v>
      </c>
      <c r="Q6" s="11" t="s">
        <v>523</v>
      </c>
    </row>
    <row r="7" spans="1:17">
      <c r="B7" s="5" t="s">
        <v>185</v>
      </c>
    </row>
    <row r="8" spans="1:17" ht="16">
      <c r="A8" s="33" t="s">
        <v>155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7">
      <c r="A9" s="12" t="s">
        <v>183</v>
      </c>
      <c r="B9" s="11" t="s">
        <v>218</v>
      </c>
      <c r="C9" s="11" t="s">
        <v>219</v>
      </c>
      <c r="D9" s="11" t="s">
        <v>220</v>
      </c>
      <c r="E9" s="11" t="s">
        <v>582</v>
      </c>
      <c r="F9" s="11" t="s">
        <v>221</v>
      </c>
      <c r="G9" s="23" t="s">
        <v>84</v>
      </c>
      <c r="H9" s="25" t="s">
        <v>85</v>
      </c>
      <c r="I9" s="25" t="s">
        <v>122</v>
      </c>
      <c r="J9" s="12"/>
      <c r="K9" s="25" t="s">
        <v>160</v>
      </c>
      <c r="L9" s="25" t="s">
        <v>231</v>
      </c>
      <c r="M9" s="25" t="s">
        <v>484</v>
      </c>
      <c r="N9" s="12"/>
      <c r="O9" s="12" t="str">
        <f>"540,0"</f>
        <v>540,0</v>
      </c>
      <c r="P9" s="12" t="str">
        <f>"466,5600"</f>
        <v>466,5600</v>
      </c>
      <c r="Q9" s="11" t="s">
        <v>563</v>
      </c>
    </row>
    <row r="10" spans="1:17">
      <c r="B10" s="5" t="s">
        <v>185</v>
      </c>
    </row>
  </sheetData>
  <mergeCells count="14"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B3:B4"/>
    <mergeCell ref="O3:O4"/>
    <mergeCell ref="P3:P4"/>
    <mergeCell ref="Q3:Q4"/>
    <mergeCell ref="A5:N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M7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20.66406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10" width="5.1640625" style="6" customWidth="1"/>
    <col min="11" max="11" width="10.5" style="6" bestFit="1" customWidth="1"/>
    <col min="12" max="12" width="8.5" style="6" bestFit="1" customWidth="1"/>
    <col min="13" max="13" width="20.33203125" style="5" customWidth="1"/>
    <col min="14" max="16384" width="9.1640625" style="3"/>
  </cols>
  <sheetData>
    <row r="1" spans="1:13" s="2" customFormat="1" ht="29" customHeight="1">
      <c r="A1" s="42" t="s">
        <v>549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578</v>
      </c>
      <c r="B3" s="34" t="s">
        <v>0</v>
      </c>
      <c r="C3" s="52" t="s">
        <v>579</v>
      </c>
      <c r="D3" s="52" t="s">
        <v>5</v>
      </c>
      <c r="E3" s="38" t="s">
        <v>580</v>
      </c>
      <c r="F3" s="38" t="s">
        <v>6</v>
      </c>
      <c r="G3" s="38" t="s">
        <v>7</v>
      </c>
      <c r="H3" s="38"/>
      <c r="I3" s="38"/>
      <c r="J3" s="38"/>
      <c r="K3" s="38" t="s">
        <v>334</v>
      </c>
      <c r="L3" s="38" t="s">
        <v>3</v>
      </c>
      <c r="M3" s="53" t="s">
        <v>2</v>
      </c>
    </row>
    <row r="4" spans="1:13" s="1" customFormat="1" ht="21" customHeight="1" thickBot="1">
      <c r="A4" s="51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54"/>
    </row>
    <row r="5" spans="1:13" ht="16">
      <c r="A5" s="36" t="s">
        <v>35</v>
      </c>
      <c r="B5" s="36"/>
      <c r="C5" s="37"/>
      <c r="D5" s="37"/>
      <c r="E5" s="37"/>
      <c r="F5" s="37"/>
      <c r="G5" s="37"/>
      <c r="H5" s="37"/>
      <c r="I5" s="37"/>
      <c r="J5" s="37"/>
    </row>
    <row r="6" spans="1:13">
      <c r="A6" s="12" t="s">
        <v>183</v>
      </c>
      <c r="B6" s="11" t="s">
        <v>514</v>
      </c>
      <c r="C6" s="11" t="s">
        <v>515</v>
      </c>
      <c r="D6" s="11" t="s">
        <v>516</v>
      </c>
      <c r="E6" s="11" t="s">
        <v>582</v>
      </c>
      <c r="F6" s="11" t="s">
        <v>39</v>
      </c>
      <c r="G6" s="25" t="s">
        <v>40</v>
      </c>
      <c r="H6" s="23" t="s">
        <v>41</v>
      </c>
      <c r="I6" s="25" t="s">
        <v>41</v>
      </c>
      <c r="J6" s="12"/>
      <c r="K6" s="12" t="str">
        <f>"87,5"</f>
        <v>87,5</v>
      </c>
      <c r="L6" s="12" t="str">
        <f>"182,3675"</f>
        <v>182,3675</v>
      </c>
      <c r="M6" s="11"/>
    </row>
    <row r="7" spans="1:13">
      <c r="B7" s="5" t="s">
        <v>185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M76"/>
  <sheetViews>
    <sheetView topLeftCell="A30" workbookViewId="0">
      <selection activeCell="E60" sqref="E60"/>
    </sheetView>
  </sheetViews>
  <sheetFormatPr baseColWidth="10" defaultColWidth="9.1640625" defaultRowHeight="13"/>
  <cols>
    <col min="1" max="1" width="7.5" style="5" bestFit="1" customWidth="1"/>
    <col min="2" max="2" width="20.33203125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21.6640625" style="5" bestFit="1" customWidth="1"/>
    <col min="7" max="9" width="5.5" style="6" customWidth="1"/>
    <col min="10" max="10" width="4.83203125" style="6" customWidth="1"/>
    <col min="11" max="11" width="10.5" style="29" bestFit="1" customWidth="1"/>
    <col min="12" max="12" width="8.5" style="6" bestFit="1" customWidth="1"/>
    <col min="13" max="13" width="28.83203125" style="5" bestFit="1" customWidth="1"/>
    <col min="14" max="16384" width="9.1640625" style="3"/>
  </cols>
  <sheetData>
    <row r="1" spans="1:13" s="2" customFormat="1" ht="29" customHeight="1">
      <c r="A1" s="42" t="s">
        <v>554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578</v>
      </c>
      <c r="B3" s="34" t="s">
        <v>0</v>
      </c>
      <c r="C3" s="52" t="s">
        <v>579</v>
      </c>
      <c r="D3" s="52" t="s">
        <v>5</v>
      </c>
      <c r="E3" s="38" t="s">
        <v>580</v>
      </c>
      <c r="F3" s="38" t="s">
        <v>6</v>
      </c>
      <c r="G3" s="38" t="s">
        <v>8</v>
      </c>
      <c r="H3" s="38"/>
      <c r="I3" s="38"/>
      <c r="J3" s="38"/>
      <c r="K3" s="40" t="s">
        <v>334</v>
      </c>
      <c r="L3" s="38" t="s">
        <v>3</v>
      </c>
      <c r="M3" s="53" t="s">
        <v>2</v>
      </c>
    </row>
    <row r="4" spans="1:13" s="1" customFormat="1" ht="21" customHeight="1" thickBot="1">
      <c r="A4" s="51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1"/>
      <c r="L4" s="39"/>
      <c r="M4" s="54"/>
    </row>
    <row r="5" spans="1:13" ht="16">
      <c r="A5" s="36" t="s">
        <v>337</v>
      </c>
      <c r="B5" s="36"/>
      <c r="C5" s="37"/>
      <c r="D5" s="37"/>
      <c r="E5" s="37"/>
      <c r="F5" s="37"/>
      <c r="G5" s="37"/>
      <c r="H5" s="37"/>
      <c r="I5" s="37"/>
      <c r="J5" s="37"/>
    </row>
    <row r="6" spans="1:13">
      <c r="A6" s="12" t="s">
        <v>183</v>
      </c>
      <c r="B6" s="11" t="s">
        <v>338</v>
      </c>
      <c r="C6" s="11" t="s">
        <v>537</v>
      </c>
      <c r="D6" s="11" t="s">
        <v>339</v>
      </c>
      <c r="E6" s="11" t="s">
        <v>586</v>
      </c>
      <c r="F6" s="11" t="s">
        <v>340</v>
      </c>
      <c r="G6" s="25" t="s">
        <v>59</v>
      </c>
      <c r="H6" s="25" t="s">
        <v>341</v>
      </c>
      <c r="I6" s="25" t="s">
        <v>242</v>
      </c>
      <c r="J6" s="12"/>
      <c r="K6" s="28" t="str">
        <f>"42,5"</f>
        <v>42,5</v>
      </c>
      <c r="L6" s="12" t="str">
        <f>"113,0925"</f>
        <v>113,0925</v>
      </c>
      <c r="M6" s="11"/>
    </row>
    <row r="7" spans="1:13">
      <c r="B7" s="5" t="s">
        <v>185</v>
      </c>
    </row>
    <row r="8" spans="1:13" ht="16">
      <c r="A8" s="33" t="s">
        <v>10</v>
      </c>
      <c r="B8" s="33"/>
      <c r="C8" s="33"/>
      <c r="D8" s="33"/>
      <c r="E8" s="33"/>
      <c r="F8" s="33"/>
      <c r="G8" s="33"/>
      <c r="H8" s="33"/>
      <c r="I8" s="33"/>
      <c r="J8" s="33"/>
    </row>
    <row r="9" spans="1:13">
      <c r="A9" s="12" t="s">
        <v>183</v>
      </c>
      <c r="B9" s="11" t="s">
        <v>25</v>
      </c>
      <c r="C9" s="11" t="s">
        <v>26</v>
      </c>
      <c r="D9" s="11" t="s">
        <v>27</v>
      </c>
      <c r="E9" s="11" t="s">
        <v>582</v>
      </c>
      <c r="F9" s="11" t="s">
        <v>28</v>
      </c>
      <c r="G9" s="25" t="s">
        <v>31</v>
      </c>
      <c r="H9" s="25" t="s">
        <v>32</v>
      </c>
      <c r="I9" s="23" t="s">
        <v>33</v>
      </c>
      <c r="J9" s="12"/>
      <c r="K9" s="28" t="str">
        <f>"60,0"</f>
        <v>60,0</v>
      </c>
      <c r="L9" s="12" t="str">
        <f>"141,7800"</f>
        <v>141,7800</v>
      </c>
      <c r="M9" s="11"/>
    </row>
    <row r="10" spans="1:13">
      <c r="B10" s="5" t="s">
        <v>185</v>
      </c>
    </row>
    <row r="11" spans="1:13" ht="16">
      <c r="A11" s="33" t="s">
        <v>60</v>
      </c>
      <c r="B11" s="33"/>
      <c r="C11" s="33"/>
      <c r="D11" s="33"/>
      <c r="E11" s="33"/>
      <c r="F11" s="33"/>
      <c r="G11" s="33"/>
      <c r="H11" s="33"/>
      <c r="I11" s="33"/>
      <c r="J11" s="33"/>
    </row>
    <row r="12" spans="1:13">
      <c r="A12" s="12" t="s">
        <v>183</v>
      </c>
      <c r="B12" s="11" t="s">
        <v>342</v>
      </c>
      <c r="C12" s="11" t="s">
        <v>343</v>
      </c>
      <c r="D12" s="11" t="s">
        <v>344</v>
      </c>
      <c r="E12" s="11" t="s">
        <v>582</v>
      </c>
      <c r="F12" s="11" t="s">
        <v>39</v>
      </c>
      <c r="G12" s="25" t="s">
        <v>345</v>
      </c>
      <c r="H12" s="25" t="s">
        <v>33</v>
      </c>
      <c r="I12" s="23" t="s">
        <v>346</v>
      </c>
      <c r="J12" s="12"/>
      <c r="K12" s="28" t="str">
        <f>"62,5"</f>
        <v>62,5</v>
      </c>
      <c r="L12" s="12" t="str">
        <f>"111,8875"</f>
        <v>111,8875</v>
      </c>
      <c r="M12" s="11" t="s">
        <v>566</v>
      </c>
    </row>
    <row r="13" spans="1:13">
      <c r="B13" s="5" t="s">
        <v>185</v>
      </c>
    </row>
    <row r="14" spans="1:13" ht="16">
      <c r="A14" s="33" t="s">
        <v>67</v>
      </c>
      <c r="B14" s="33"/>
      <c r="C14" s="33"/>
      <c r="D14" s="33"/>
      <c r="E14" s="33"/>
      <c r="F14" s="33"/>
      <c r="G14" s="33"/>
      <c r="H14" s="33"/>
      <c r="I14" s="33"/>
      <c r="J14" s="33"/>
    </row>
    <row r="15" spans="1:13">
      <c r="A15" s="8" t="s">
        <v>186</v>
      </c>
      <c r="B15" s="7" t="s">
        <v>347</v>
      </c>
      <c r="C15" s="7" t="s">
        <v>538</v>
      </c>
      <c r="D15" s="7" t="s">
        <v>348</v>
      </c>
      <c r="E15" s="7" t="s">
        <v>586</v>
      </c>
      <c r="F15" s="7" t="s">
        <v>39</v>
      </c>
      <c r="G15" s="24" t="s">
        <v>65</v>
      </c>
      <c r="H15" s="24" t="s">
        <v>65</v>
      </c>
      <c r="I15" s="24" t="s">
        <v>65</v>
      </c>
      <c r="J15" s="8"/>
      <c r="K15" s="30">
        <v>0</v>
      </c>
      <c r="L15" s="8" t="str">
        <f>"0,0000"</f>
        <v>0,0000</v>
      </c>
      <c r="M15" s="7" t="s">
        <v>349</v>
      </c>
    </row>
    <row r="16" spans="1:13">
      <c r="A16" s="14" t="s">
        <v>183</v>
      </c>
      <c r="B16" s="13" t="s">
        <v>350</v>
      </c>
      <c r="C16" s="13" t="s">
        <v>351</v>
      </c>
      <c r="D16" s="13" t="s">
        <v>352</v>
      </c>
      <c r="E16" s="13" t="s">
        <v>582</v>
      </c>
      <c r="F16" s="13" t="s">
        <v>353</v>
      </c>
      <c r="G16" s="26" t="s">
        <v>90</v>
      </c>
      <c r="H16" s="27" t="s">
        <v>130</v>
      </c>
      <c r="I16" s="27" t="s">
        <v>130</v>
      </c>
      <c r="J16" s="14"/>
      <c r="K16" s="31" t="str">
        <f>"125,0"</f>
        <v>125,0</v>
      </c>
      <c r="L16" s="14" t="str">
        <f>"159,5750"</f>
        <v>159,5750</v>
      </c>
      <c r="M16" s="13"/>
    </row>
    <row r="17" spans="1:13">
      <c r="A17" s="14" t="s">
        <v>184</v>
      </c>
      <c r="B17" s="13" t="s">
        <v>354</v>
      </c>
      <c r="C17" s="13" t="s">
        <v>355</v>
      </c>
      <c r="D17" s="13" t="s">
        <v>356</v>
      </c>
      <c r="E17" s="13" t="s">
        <v>582</v>
      </c>
      <c r="F17" s="13" t="s">
        <v>357</v>
      </c>
      <c r="G17" s="26" t="s">
        <v>90</v>
      </c>
      <c r="H17" s="27" t="s">
        <v>91</v>
      </c>
      <c r="I17" s="27" t="s">
        <v>91</v>
      </c>
      <c r="J17" s="14"/>
      <c r="K17" s="31" t="str">
        <f>"125,0"</f>
        <v>125,0</v>
      </c>
      <c r="L17" s="14" t="str">
        <f>"155,7500"</f>
        <v>155,7500</v>
      </c>
      <c r="M17" s="13"/>
    </row>
    <row r="18" spans="1:13">
      <c r="A18" s="14" t="s">
        <v>187</v>
      </c>
      <c r="B18" s="13" t="s">
        <v>358</v>
      </c>
      <c r="C18" s="13" t="s">
        <v>359</v>
      </c>
      <c r="D18" s="13" t="s">
        <v>360</v>
      </c>
      <c r="E18" s="13" t="s">
        <v>582</v>
      </c>
      <c r="F18" s="13" t="s">
        <v>39</v>
      </c>
      <c r="G18" s="26" t="s">
        <v>361</v>
      </c>
      <c r="H18" s="26" t="s">
        <v>53</v>
      </c>
      <c r="I18" s="26" t="s">
        <v>362</v>
      </c>
      <c r="J18" s="14"/>
      <c r="K18" s="31" t="str">
        <f>"102,5"</f>
        <v>102,5</v>
      </c>
      <c r="L18" s="14" t="str">
        <f>"129,5600"</f>
        <v>129,5600</v>
      </c>
      <c r="M18" s="13"/>
    </row>
    <row r="19" spans="1:13">
      <c r="A19" s="14" t="s">
        <v>465</v>
      </c>
      <c r="B19" s="13" t="s">
        <v>363</v>
      </c>
      <c r="C19" s="13" t="s">
        <v>364</v>
      </c>
      <c r="D19" s="13" t="s">
        <v>348</v>
      </c>
      <c r="E19" s="13" t="s">
        <v>582</v>
      </c>
      <c r="F19" s="13" t="s">
        <v>39</v>
      </c>
      <c r="G19" s="27" t="s">
        <v>52</v>
      </c>
      <c r="H19" s="26" t="s">
        <v>362</v>
      </c>
      <c r="I19" s="27" t="s">
        <v>263</v>
      </c>
      <c r="J19" s="14"/>
      <c r="K19" s="31" t="str">
        <f>"102,5"</f>
        <v>102,5</v>
      </c>
      <c r="L19" s="14" t="str">
        <f>"126,7925"</f>
        <v>126,7925</v>
      </c>
      <c r="M19" s="13" t="s">
        <v>365</v>
      </c>
    </row>
    <row r="20" spans="1:13">
      <c r="A20" s="10" t="s">
        <v>186</v>
      </c>
      <c r="B20" s="9" t="s">
        <v>366</v>
      </c>
      <c r="C20" s="9" t="s">
        <v>367</v>
      </c>
      <c r="D20" s="9" t="s">
        <v>368</v>
      </c>
      <c r="E20" s="9" t="s">
        <v>582</v>
      </c>
      <c r="F20" s="9" t="s">
        <v>39</v>
      </c>
      <c r="G20" s="21" t="s">
        <v>264</v>
      </c>
      <c r="H20" s="21" t="s">
        <v>264</v>
      </c>
      <c r="I20" s="21" t="s">
        <v>264</v>
      </c>
      <c r="J20" s="10"/>
      <c r="K20" s="32">
        <v>0</v>
      </c>
      <c r="L20" s="10" t="str">
        <f>"0,0000"</f>
        <v>0,0000</v>
      </c>
      <c r="M20" s="9" t="s">
        <v>567</v>
      </c>
    </row>
    <row r="21" spans="1:13">
      <c r="B21" s="5" t="s">
        <v>185</v>
      </c>
    </row>
    <row r="22" spans="1:13" ht="16">
      <c r="A22" s="33" t="s">
        <v>76</v>
      </c>
      <c r="B22" s="33"/>
      <c r="C22" s="33"/>
      <c r="D22" s="33"/>
      <c r="E22" s="33"/>
      <c r="F22" s="33"/>
      <c r="G22" s="33"/>
      <c r="H22" s="33"/>
      <c r="I22" s="33"/>
      <c r="J22" s="33"/>
    </row>
    <row r="23" spans="1:13">
      <c r="A23" s="8" t="s">
        <v>183</v>
      </c>
      <c r="B23" s="7" t="s">
        <v>369</v>
      </c>
      <c r="C23" s="7" t="s">
        <v>370</v>
      </c>
      <c r="D23" s="7" t="s">
        <v>371</v>
      </c>
      <c r="E23" s="7" t="s">
        <v>582</v>
      </c>
      <c r="F23" s="7" t="s">
        <v>340</v>
      </c>
      <c r="G23" s="24" t="s">
        <v>34</v>
      </c>
      <c r="H23" s="20" t="s">
        <v>34</v>
      </c>
      <c r="I23" s="24" t="s">
        <v>130</v>
      </c>
      <c r="J23" s="8"/>
      <c r="K23" s="30" t="str">
        <f>"120,0"</f>
        <v>120,0</v>
      </c>
      <c r="L23" s="8" t="str">
        <f>"139,4400"</f>
        <v>139,4400</v>
      </c>
      <c r="M23" s="7" t="s">
        <v>372</v>
      </c>
    </row>
    <row r="24" spans="1:13">
      <c r="A24" s="10" t="s">
        <v>186</v>
      </c>
      <c r="B24" s="9" t="s">
        <v>373</v>
      </c>
      <c r="C24" s="9" t="s">
        <v>374</v>
      </c>
      <c r="D24" s="9" t="s">
        <v>375</v>
      </c>
      <c r="E24" s="9" t="s">
        <v>582</v>
      </c>
      <c r="F24" s="9" t="s">
        <v>376</v>
      </c>
      <c r="G24" s="21" t="s">
        <v>34</v>
      </c>
      <c r="H24" s="21" t="s">
        <v>90</v>
      </c>
      <c r="I24" s="21" t="s">
        <v>138</v>
      </c>
      <c r="J24" s="10"/>
      <c r="K24" s="32">
        <v>0</v>
      </c>
      <c r="L24" s="10" t="str">
        <f>"0,0000"</f>
        <v>0,0000</v>
      </c>
      <c r="M24" s="9"/>
    </row>
    <row r="25" spans="1:13">
      <c r="B25" s="5" t="s">
        <v>185</v>
      </c>
    </row>
    <row r="26" spans="1:13" ht="16">
      <c r="A26" s="33" t="s">
        <v>99</v>
      </c>
      <c r="B26" s="33"/>
      <c r="C26" s="33"/>
      <c r="D26" s="33"/>
      <c r="E26" s="33"/>
      <c r="F26" s="33"/>
      <c r="G26" s="33"/>
      <c r="H26" s="33"/>
      <c r="I26" s="33"/>
      <c r="J26" s="33"/>
    </row>
    <row r="27" spans="1:13">
      <c r="A27" s="8" t="s">
        <v>183</v>
      </c>
      <c r="B27" s="7" t="s">
        <v>377</v>
      </c>
      <c r="C27" s="7" t="s">
        <v>378</v>
      </c>
      <c r="D27" s="7" t="s">
        <v>379</v>
      </c>
      <c r="E27" s="7" t="s">
        <v>582</v>
      </c>
      <c r="F27" s="7" t="s">
        <v>380</v>
      </c>
      <c r="G27" s="20" t="s">
        <v>75</v>
      </c>
      <c r="H27" s="24" t="s">
        <v>153</v>
      </c>
      <c r="I27" s="24" t="s">
        <v>153</v>
      </c>
      <c r="J27" s="8"/>
      <c r="K27" s="30" t="str">
        <f>"160,0"</f>
        <v>160,0</v>
      </c>
      <c r="L27" s="8" t="str">
        <f>"165,7600"</f>
        <v>165,7600</v>
      </c>
      <c r="M27" s="7"/>
    </row>
    <row r="28" spans="1:13">
      <c r="A28" s="14" t="s">
        <v>184</v>
      </c>
      <c r="B28" s="13" t="s">
        <v>381</v>
      </c>
      <c r="C28" s="13" t="s">
        <v>382</v>
      </c>
      <c r="D28" s="13" t="s">
        <v>383</v>
      </c>
      <c r="E28" s="13" t="s">
        <v>582</v>
      </c>
      <c r="F28" s="13" t="s">
        <v>384</v>
      </c>
      <c r="G28" s="26" t="s">
        <v>138</v>
      </c>
      <c r="H28" s="26" t="s">
        <v>23</v>
      </c>
      <c r="I28" s="27" t="s">
        <v>81</v>
      </c>
      <c r="J28" s="14"/>
      <c r="K28" s="31" t="str">
        <f>"145,0"</f>
        <v>145,0</v>
      </c>
      <c r="L28" s="14" t="str">
        <f>"151,6120"</f>
        <v>151,6120</v>
      </c>
      <c r="M28" s="13"/>
    </row>
    <row r="29" spans="1:13">
      <c r="A29" s="14" t="s">
        <v>183</v>
      </c>
      <c r="B29" s="13" t="s">
        <v>335</v>
      </c>
      <c r="C29" s="13" t="s">
        <v>386</v>
      </c>
      <c r="D29" s="13" t="s">
        <v>336</v>
      </c>
      <c r="E29" s="13" t="s">
        <v>581</v>
      </c>
      <c r="F29" s="13" t="s">
        <v>213</v>
      </c>
      <c r="G29" s="26" t="s">
        <v>81</v>
      </c>
      <c r="H29" s="26" t="s">
        <v>75</v>
      </c>
      <c r="I29" s="14"/>
      <c r="J29" s="14"/>
      <c r="K29" s="31" t="str">
        <f>"160,0"</f>
        <v>160,0</v>
      </c>
      <c r="L29" s="14" t="str">
        <f>"183,6941"</f>
        <v>183,6941</v>
      </c>
      <c r="M29" s="13"/>
    </row>
    <row r="30" spans="1:13">
      <c r="A30" s="10" t="s">
        <v>183</v>
      </c>
      <c r="B30" s="9" t="s">
        <v>387</v>
      </c>
      <c r="C30" s="9" t="s">
        <v>388</v>
      </c>
      <c r="D30" s="9" t="s">
        <v>389</v>
      </c>
      <c r="E30" s="9" t="s">
        <v>587</v>
      </c>
      <c r="F30" s="9" t="s">
        <v>390</v>
      </c>
      <c r="G30" s="21" t="s">
        <v>90</v>
      </c>
      <c r="H30" s="22" t="s">
        <v>90</v>
      </c>
      <c r="I30" s="22" t="s">
        <v>21</v>
      </c>
      <c r="J30" s="10"/>
      <c r="K30" s="32" t="str">
        <f>"130,0"</f>
        <v>130,0</v>
      </c>
      <c r="L30" s="10" t="str">
        <f>"288,7248"</f>
        <v>288,7248</v>
      </c>
      <c r="M30" s="9"/>
    </row>
    <row r="31" spans="1:13">
      <c r="B31" s="5" t="s">
        <v>185</v>
      </c>
    </row>
    <row r="32" spans="1:13" ht="16">
      <c r="A32" s="33" t="s">
        <v>73</v>
      </c>
      <c r="B32" s="33"/>
      <c r="C32" s="33"/>
      <c r="D32" s="33"/>
      <c r="E32" s="33"/>
      <c r="F32" s="33"/>
      <c r="G32" s="33"/>
      <c r="H32" s="33"/>
      <c r="I32" s="33"/>
      <c r="J32" s="33"/>
    </row>
    <row r="33" spans="1:13">
      <c r="A33" s="8" t="s">
        <v>183</v>
      </c>
      <c r="B33" s="7" t="s">
        <v>391</v>
      </c>
      <c r="C33" s="7" t="s">
        <v>392</v>
      </c>
      <c r="D33" s="7" t="s">
        <v>393</v>
      </c>
      <c r="E33" s="7" t="s">
        <v>582</v>
      </c>
      <c r="F33" s="7" t="s">
        <v>39</v>
      </c>
      <c r="G33" s="24" t="s">
        <v>139</v>
      </c>
      <c r="H33" s="20" t="s">
        <v>139</v>
      </c>
      <c r="I33" s="24" t="s">
        <v>308</v>
      </c>
      <c r="J33" s="8"/>
      <c r="K33" s="30" t="str">
        <f>"195,0"</f>
        <v>195,0</v>
      </c>
      <c r="L33" s="8" t="str">
        <f>"190,4760"</f>
        <v>190,4760</v>
      </c>
      <c r="M33" s="7" t="s">
        <v>394</v>
      </c>
    </row>
    <row r="34" spans="1:13">
      <c r="A34" s="14" t="s">
        <v>184</v>
      </c>
      <c r="B34" s="13" t="s">
        <v>395</v>
      </c>
      <c r="C34" s="13" t="s">
        <v>396</v>
      </c>
      <c r="D34" s="13" t="s">
        <v>397</v>
      </c>
      <c r="E34" s="13" t="s">
        <v>582</v>
      </c>
      <c r="F34" s="13" t="s">
        <v>39</v>
      </c>
      <c r="G34" s="26" t="s">
        <v>22</v>
      </c>
      <c r="H34" s="26" t="s">
        <v>97</v>
      </c>
      <c r="I34" s="26" t="s">
        <v>75</v>
      </c>
      <c r="J34" s="14"/>
      <c r="K34" s="31" t="str">
        <f>"160,0"</f>
        <v>160,0</v>
      </c>
      <c r="L34" s="14" t="str">
        <f>"155,9040"</f>
        <v>155,9040</v>
      </c>
      <c r="M34" s="13"/>
    </row>
    <row r="35" spans="1:13">
      <c r="A35" s="14" t="s">
        <v>187</v>
      </c>
      <c r="B35" s="13" t="s">
        <v>398</v>
      </c>
      <c r="C35" s="13" t="s">
        <v>399</v>
      </c>
      <c r="D35" s="13" t="s">
        <v>397</v>
      </c>
      <c r="E35" s="13" t="s">
        <v>582</v>
      </c>
      <c r="F35" s="13" t="s">
        <v>400</v>
      </c>
      <c r="G35" s="26" t="s">
        <v>75</v>
      </c>
      <c r="H35" s="27" t="s">
        <v>89</v>
      </c>
      <c r="I35" s="27" t="s">
        <v>89</v>
      </c>
      <c r="J35" s="14"/>
      <c r="K35" s="31" t="str">
        <f>"160,0"</f>
        <v>160,0</v>
      </c>
      <c r="L35" s="14" t="str">
        <f>"155,9040"</f>
        <v>155,9040</v>
      </c>
      <c r="M35" s="13"/>
    </row>
    <row r="36" spans="1:13">
      <c r="A36" s="14" t="s">
        <v>465</v>
      </c>
      <c r="B36" s="13" t="s">
        <v>401</v>
      </c>
      <c r="C36" s="13" t="s">
        <v>402</v>
      </c>
      <c r="D36" s="13" t="s">
        <v>403</v>
      </c>
      <c r="E36" s="13" t="s">
        <v>582</v>
      </c>
      <c r="F36" s="13" t="s">
        <v>404</v>
      </c>
      <c r="G36" s="26" t="s">
        <v>23</v>
      </c>
      <c r="H36" s="26" t="s">
        <v>81</v>
      </c>
      <c r="I36" s="26" t="s">
        <v>74</v>
      </c>
      <c r="J36" s="14"/>
      <c r="K36" s="31" t="str">
        <f>"155,0"</f>
        <v>155,0</v>
      </c>
      <c r="L36" s="14" t="str">
        <f>"152,7370"</f>
        <v>152,7370</v>
      </c>
      <c r="M36" s="13" t="s">
        <v>405</v>
      </c>
    </row>
    <row r="37" spans="1:13">
      <c r="A37" s="14" t="s">
        <v>466</v>
      </c>
      <c r="B37" s="13" t="s">
        <v>406</v>
      </c>
      <c r="C37" s="13" t="s">
        <v>407</v>
      </c>
      <c r="D37" s="13" t="s">
        <v>408</v>
      </c>
      <c r="E37" s="13" t="s">
        <v>582</v>
      </c>
      <c r="F37" s="13" t="s">
        <v>39</v>
      </c>
      <c r="G37" s="26" t="s">
        <v>23</v>
      </c>
      <c r="H37" s="26" t="s">
        <v>124</v>
      </c>
      <c r="I37" s="27" t="s">
        <v>81</v>
      </c>
      <c r="J37" s="14"/>
      <c r="K37" s="31" t="str">
        <f>"147,5"</f>
        <v>147,5</v>
      </c>
      <c r="L37" s="14" t="str">
        <f>"143,9600"</f>
        <v>143,9600</v>
      </c>
      <c r="M37" s="13" t="s">
        <v>568</v>
      </c>
    </row>
    <row r="38" spans="1:13">
      <c r="A38" s="10" t="s">
        <v>467</v>
      </c>
      <c r="B38" s="9" t="s">
        <v>409</v>
      </c>
      <c r="C38" s="9" t="s">
        <v>410</v>
      </c>
      <c r="D38" s="9" t="s">
        <v>411</v>
      </c>
      <c r="E38" s="9" t="s">
        <v>582</v>
      </c>
      <c r="F38" s="9" t="s">
        <v>412</v>
      </c>
      <c r="G38" s="22" t="s">
        <v>23</v>
      </c>
      <c r="H38" s="21" t="s">
        <v>97</v>
      </c>
      <c r="I38" s="21" t="s">
        <v>97</v>
      </c>
      <c r="J38" s="10"/>
      <c r="K38" s="32" t="str">
        <f>"145,0"</f>
        <v>145,0</v>
      </c>
      <c r="L38" s="10" t="str">
        <f>"141,4040"</f>
        <v>141,4040</v>
      </c>
      <c r="M38" s="9" t="s">
        <v>413</v>
      </c>
    </row>
    <row r="39" spans="1:13">
      <c r="B39" s="5" t="s">
        <v>185</v>
      </c>
    </row>
    <row r="40" spans="1:13" ht="16">
      <c r="A40" s="33" t="s">
        <v>135</v>
      </c>
      <c r="B40" s="33"/>
      <c r="C40" s="33"/>
      <c r="D40" s="33"/>
      <c r="E40" s="33"/>
      <c r="F40" s="33"/>
      <c r="G40" s="33"/>
      <c r="H40" s="33"/>
      <c r="I40" s="33"/>
      <c r="J40" s="33"/>
    </row>
    <row r="41" spans="1:13">
      <c r="A41" s="8" t="s">
        <v>183</v>
      </c>
      <c r="B41" s="7" t="s">
        <v>414</v>
      </c>
      <c r="C41" s="7" t="s">
        <v>539</v>
      </c>
      <c r="D41" s="7" t="s">
        <v>415</v>
      </c>
      <c r="E41" s="7" t="s">
        <v>586</v>
      </c>
      <c r="F41" s="7" t="s">
        <v>416</v>
      </c>
      <c r="G41" s="20" t="s">
        <v>40</v>
      </c>
      <c r="H41" s="20" t="s">
        <v>41</v>
      </c>
      <c r="I41" s="20" t="s">
        <v>30</v>
      </c>
      <c r="J41" s="8"/>
      <c r="K41" s="30" t="str">
        <f>"90,0"</f>
        <v>90,0</v>
      </c>
      <c r="L41" s="8" t="str">
        <f>"83,6820"</f>
        <v>83,6820</v>
      </c>
      <c r="M41" s="7"/>
    </row>
    <row r="42" spans="1:13">
      <c r="A42" s="14" t="s">
        <v>183</v>
      </c>
      <c r="B42" s="13" t="s">
        <v>417</v>
      </c>
      <c r="C42" s="13" t="s">
        <v>418</v>
      </c>
      <c r="D42" s="13" t="s">
        <v>314</v>
      </c>
      <c r="E42" s="13" t="s">
        <v>582</v>
      </c>
      <c r="F42" s="13" t="s">
        <v>129</v>
      </c>
      <c r="G42" s="26" t="s">
        <v>84</v>
      </c>
      <c r="H42" s="27" t="s">
        <v>85</v>
      </c>
      <c r="I42" s="27" t="s">
        <v>85</v>
      </c>
      <c r="J42" s="14"/>
      <c r="K42" s="31" t="str">
        <f>"200,0"</f>
        <v>200,0</v>
      </c>
      <c r="L42" s="14" t="str">
        <f>"184,2800"</f>
        <v>184,2800</v>
      </c>
      <c r="M42" s="13" t="s">
        <v>419</v>
      </c>
    </row>
    <row r="43" spans="1:13">
      <c r="A43" s="14" t="s">
        <v>184</v>
      </c>
      <c r="B43" s="13" t="s">
        <v>420</v>
      </c>
      <c r="C43" s="13" t="s">
        <v>421</v>
      </c>
      <c r="D43" s="13" t="s">
        <v>422</v>
      </c>
      <c r="E43" s="13" t="s">
        <v>582</v>
      </c>
      <c r="F43" s="13" t="s">
        <v>297</v>
      </c>
      <c r="G43" s="26" t="s">
        <v>23</v>
      </c>
      <c r="H43" s="27" t="s">
        <v>146</v>
      </c>
      <c r="I43" s="27" t="s">
        <v>146</v>
      </c>
      <c r="J43" s="14"/>
      <c r="K43" s="31" t="str">
        <f>"145,0"</f>
        <v>145,0</v>
      </c>
      <c r="L43" s="14" t="str">
        <f>"132,9070"</f>
        <v>132,9070</v>
      </c>
      <c r="M43" s="13"/>
    </row>
    <row r="44" spans="1:13">
      <c r="A44" s="14" t="s">
        <v>187</v>
      </c>
      <c r="B44" s="13" t="s">
        <v>423</v>
      </c>
      <c r="C44" s="13" t="s">
        <v>424</v>
      </c>
      <c r="D44" s="13" t="s">
        <v>422</v>
      </c>
      <c r="E44" s="13" t="s">
        <v>582</v>
      </c>
      <c r="F44" s="13" t="s">
        <v>39</v>
      </c>
      <c r="G44" s="26" t="s">
        <v>53</v>
      </c>
      <c r="H44" s="27" t="s">
        <v>264</v>
      </c>
      <c r="I44" s="27" t="s">
        <v>264</v>
      </c>
      <c r="J44" s="14"/>
      <c r="K44" s="31" t="str">
        <f>"100,0"</f>
        <v>100,0</v>
      </c>
      <c r="L44" s="14" t="str">
        <f>"91,6600"</f>
        <v>91,6600</v>
      </c>
      <c r="M44" s="13"/>
    </row>
    <row r="45" spans="1:13">
      <c r="A45" s="14" t="s">
        <v>183</v>
      </c>
      <c r="B45" s="13" t="s">
        <v>425</v>
      </c>
      <c r="C45" s="13" t="s">
        <v>426</v>
      </c>
      <c r="D45" s="13" t="s">
        <v>427</v>
      </c>
      <c r="E45" s="13" t="s">
        <v>581</v>
      </c>
      <c r="F45" s="13" t="s">
        <v>39</v>
      </c>
      <c r="G45" s="26" t="s">
        <v>22</v>
      </c>
      <c r="H45" s="26" t="s">
        <v>23</v>
      </c>
      <c r="I45" s="26" t="s">
        <v>81</v>
      </c>
      <c r="J45" s="14"/>
      <c r="K45" s="31" t="str">
        <f>"150,0"</f>
        <v>150,0</v>
      </c>
      <c r="L45" s="14" t="str">
        <f>"150,0324"</f>
        <v>150,0324</v>
      </c>
      <c r="M45" s="13" t="s">
        <v>569</v>
      </c>
    </row>
    <row r="46" spans="1:13">
      <c r="A46" s="10" t="s">
        <v>183</v>
      </c>
      <c r="B46" s="9" t="s">
        <v>428</v>
      </c>
      <c r="C46" s="9" t="s">
        <v>429</v>
      </c>
      <c r="D46" s="9" t="s">
        <v>430</v>
      </c>
      <c r="E46" s="9" t="s">
        <v>583</v>
      </c>
      <c r="F46" s="9" t="s">
        <v>39</v>
      </c>
      <c r="G46" s="22" t="s">
        <v>34</v>
      </c>
      <c r="H46" s="22" t="s">
        <v>21</v>
      </c>
      <c r="I46" s="21" t="s">
        <v>130</v>
      </c>
      <c r="J46" s="10"/>
      <c r="K46" s="32" t="str">
        <f>"130,0"</f>
        <v>130,0</v>
      </c>
      <c r="L46" s="10" t="str">
        <f>"137,3905"</f>
        <v>137,3905</v>
      </c>
      <c r="M46" s="9" t="s">
        <v>561</v>
      </c>
    </row>
    <row r="47" spans="1:13">
      <c r="B47" s="5" t="s">
        <v>185</v>
      </c>
    </row>
    <row r="48" spans="1:13" ht="16">
      <c r="A48" s="33" t="s">
        <v>149</v>
      </c>
      <c r="B48" s="33"/>
      <c r="C48" s="33"/>
      <c r="D48" s="33"/>
      <c r="E48" s="33"/>
      <c r="F48" s="33"/>
      <c r="G48" s="33"/>
      <c r="H48" s="33"/>
      <c r="I48" s="33"/>
      <c r="J48" s="33"/>
    </row>
    <row r="49" spans="1:13">
      <c r="A49" s="8" t="s">
        <v>183</v>
      </c>
      <c r="B49" s="7" t="s">
        <v>431</v>
      </c>
      <c r="C49" s="7" t="s">
        <v>432</v>
      </c>
      <c r="D49" s="7" t="s">
        <v>433</v>
      </c>
      <c r="E49" s="7" t="s">
        <v>582</v>
      </c>
      <c r="F49" s="7" t="s">
        <v>39</v>
      </c>
      <c r="G49" s="20" t="s">
        <v>123</v>
      </c>
      <c r="H49" s="20" t="s">
        <v>124</v>
      </c>
      <c r="I49" s="20" t="s">
        <v>74</v>
      </c>
      <c r="J49" s="8"/>
      <c r="K49" s="30" t="str">
        <f>"155,0"</f>
        <v>155,0</v>
      </c>
      <c r="L49" s="8" t="str">
        <f>"139,3450"</f>
        <v>139,3450</v>
      </c>
      <c r="M49" s="7"/>
    </row>
    <row r="50" spans="1:13">
      <c r="A50" s="14" t="s">
        <v>183</v>
      </c>
      <c r="B50" s="13" t="s">
        <v>434</v>
      </c>
      <c r="C50" s="13" t="s">
        <v>435</v>
      </c>
      <c r="D50" s="13" t="s">
        <v>436</v>
      </c>
      <c r="E50" s="13" t="s">
        <v>581</v>
      </c>
      <c r="F50" s="13" t="s">
        <v>437</v>
      </c>
      <c r="G50" s="27" t="s">
        <v>438</v>
      </c>
      <c r="H50" s="26" t="s">
        <v>438</v>
      </c>
      <c r="I50" s="26" t="s">
        <v>214</v>
      </c>
      <c r="J50" s="14"/>
      <c r="K50" s="31" t="str">
        <f>"185,0"</f>
        <v>185,0</v>
      </c>
      <c r="L50" s="14" t="str">
        <f>"169,3743"</f>
        <v>169,3743</v>
      </c>
      <c r="M50" s="13" t="s">
        <v>439</v>
      </c>
    </row>
    <row r="51" spans="1:13">
      <c r="A51" s="14" t="s">
        <v>184</v>
      </c>
      <c r="B51" s="13" t="s">
        <v>440</v>
      </c>
      <c r="C51" s="13" t="s">
        <v>441</v>
      </c>
      <c r="D51" s="13" t="s">
        <v>324</v>
      </c>
      <c r="E51" s="13" t="s">
        <v>581</v>
      </c>
      <c r="F51" s="13" t="s">
        <v>442</v>
      </c>
      <c r="G51" s="26" t="s">
        <v>107</v>
      </c>
      <c r="H51" s="26" t="s">
        <v>92</v>
      </c>
      <c r="I51" s="27" t="s">
        <v>108</v>
      </c>
      <c r="J51" s="14"/>
      <c r="K51" s="31" t="str">
        <f>"180,0"</f>
        <v>180,0</v>
      </c>
      <c r="L51" s="14" t="str">
        <f>"173,9763"</f>
        <v>173,9763</v>
      </c>
      <c r="M51" s="13" t="s">
        <v>443</v>
      </c>
    </row>
    <row r="52" spans="1:13">
      <c r="A52" s="10" t="s">
        <v>183</v>
      </c>
      <c r="B52" s="9" t="s">
        <v>444</v>
      </c>
      <c r="C52" s="9" t="s">
        <v>445</v>
      </c>
      <c r="D52" s="9" t="s">
        <v>446</v>
      </c>
      <c r="E52" s="9" t="s">
        <v>588</v>
      </c>
      <c r="F52" s="9" t="s">
        <v>447</v>
      </c>
      <c r="G52" s="22" t="s">
        <v>90</v>
      </c>
      <c r="H52" s="22" t="s">
        <v>21</v>
      </c>
      <c r="I52" s="22" t="s">
        <v>130</v>
      </c>
      <c r="J52" s="10"/>
      <c r="K52" s="32" t="str">
        <f>"135,0"</f>
        <v>135,0</v>
      </c>
      <c r="L52" s="10" t="str">
        <f>"172,0440"</f>
        <v>172,0440</v>
      </c>
      <c r="M52" s="9" t="s">
        <v>448</v>
      </c>
    </row>
    <row r="53" spans="1:13">
      <c r="B53" s="5" t="s">
        <v>185</v>
      </c>
    </row>
    <row r="54" spans="1:13" ht="16">
      <c r="A54" s="33" t="s">
        <v>155</v>
      </c>
      <c r="B54" s="33"/>
      <c r="C54" s="33"/>
      <c r="D54" s="33"/>
      <c r="E54" s="33"/>
      <c r="F54" s="33"/>
      <c r="G54" s="33"/>
      <c r="H54" s="33"/>
      <c r="I54" s="33"/>
      <c r="J54" s="33"/>
    </row>
    <row r="55" spans="1:13">
      <c r="A55" s="12" t="s">
        <v>183</v>
      </c>
      <c r="B55" s="11" t="s">
        <v>449</v>
      </c>
      <c r="C55" s="11" t="s">
        <v>450</v>
      </c>
      <c r="D55" s="11" t="s">
        <v>451</v>
      </c>
      <c r="E55" s="11" t="s">
        <v>582</v>
      </c>
      <c r="F55" s="11" t="s">
        <v>39</v>
      </c>
      <c r="G55" s="25" t="s">
        <v>82</v>
      </c>
      <c r="H55" s="25" t="s">
        <v>107</v>
      </c>
      <c r="I55" s="25" t="s">
        <v>92</v>
      </c>
      <c r="J55" s="12"/>
      <c r="K55" s="28" t="str">
        <f>"180,0"</f>
        <v>180,0</v>
      </c>
      <c r="L55" s="12" t="str">
        <f>"155,5200"</f>
        <v>155,5200</v>
      </c>
      <c r="M55" s="11"/>
    </row>
    <row r="56" spans="1:13">
      <c r="B56" s="5" t="s">
        <v>185</v>
      </c>
    </row>
    <row r="57" spans="1:13" ht="16">
      <c r="A57" s="33" t="s">
        <v>223</v>
      </c>
      <c r="B57" s="33"/>
      <c r="C57" s="33"/>
      <c r="D57" s="33"/>
      <c r="E57" s="33"/>
      <c r="F57" s="33"/>
      <c r="G57" s="33"/>
      <c r="H57" s="33"/>
      <c r="I57" s="33"/>
      <c r="J57" s="33"/>
    </row>
    <row r="58" spans="1:13">
      <c r="A58" s="8" t="s">
        <v>183</v>
      </c>
      <c r="B58" s="7" t="s">
        <v>452</v>
      </c>
      <c r="C58" s="7" t="s">
        <v>453</v>
      </c>
      <c r="D58" s="7" t="s">
        <v>454</v>
      </c>
      <c r="E58" s="7" t="s">
        <v>582</v>
      </c>
      <c r="F58" s="7" t="s">
        <v>39</v>
      </c>
      <c r="G58" s="24" t="s">
        <v>75</v>
      </c>
      <c r="H58" s="20" t="s">
        <v>82</v>
      </c>
      <c r="I58" s="24" t="s">
        <v>108</v>
      </c>
      <c r="J58" s="8"/>
      <c r="K58" s="30" t="str">
        <f>"170,0"</f>
        <v>170,0</v>
      </c>
      <c r="L58" s="8" t="str">
        <f>"144,3300"</f>
        <v>144,3300</v>
      </c>
      <c r="M58" s="7"/>
    </row>
    <row r="59" spans="1:13">
      <c r="A59" s="10" t="s">
        <v>183</v>
      </c>
      <c r="B59" s="9" t="s">
        <v>455</v>
      </c>
      <c r="C59" s="9" t="s">
        <v>456</v>
      </c>
      <c r="D59" s="9" t="s">
        <v>457</v>
      </c>
      <c r="E59" s="9" t="s">
        <v>583</v>
      </c>
      <c r="F59" s="9" t="s">
        <v>39</v>
      </c>
      <c r="G59" s="22" t="s">
        <v>254</v>
      </c>
      <c r="H59" s="22" t="s">
        <v>438</v>
      </c>
      <c r="I59" s="21" t="s">
        <v>108</v>
      </c>
      <c r="J59" s="10"/>
      <c r="K59" s="32" t="str">
        <f>"177,5"</f>
        <v>177,5</v>
      </c>
      <c r="L59" s="10" t="str">
        <f>"195,1323"</f>
        <v>195,1323</v>
      </c>
      <c r="M59" s="9"/>
    </row>
    <row r="60" spans="1:13">
      <c r="B60" s="5" t="s">
        <v>185</v>
      </c>
    </row>
    <row r="61" spans="1:13">
      <c r="B61" s="5" t="s">
        <v>185</v>
      </c>
    </row>
    <row r="62" spans="1:13">
      <c r="B62" s="5" t="s">
        <v>185</v>
      </c>
    </row>
    <row r="63" spans="1:13" ht="18">
      <c r="B63" s="15" t="s">
        <v>165</v>
      </c>
      <c r="C63" s="15"/>
      <c r="F63" s="3"/>
    </row>
    <row r="64" spans="1:13" ht="16">
      <c r="B64" s="16" t="s">
        <v>171</v>
      </c>
      <c r="C64" s="16"/>
      <c r="F64" s="3"/>
    </row>
    <row r="65" spans="2:6" ht="14">
      <c r="B65" s="17"/>
      <c r="C65" s="18" t="s">
        <v>166</v>
      </c>
      <c r="F65" s="3"/>
    </row>
    <row r="66" spans="2:6" ht="14">
      <c r="B66" s="19" t="s">
        <v>167</v>
      </c>
      <c r="C66" s="19" t="s">
        <v>168</v>
      </c>
      <c r="D66" s="19" t="s">
        <v>560</v>
      </c>
      <c r="E66" s="19" t="s">
        <v>330</v>
      </c>
      <c r="F66" s="19" t="s">
        <v>170</v>
      </c>
    </row>
    <row r="67" spans="2:6">
      <c r="B67" s="5" t="s">
        <v>391</v>
      </c>
      <c r="C67" s="5" t="s">
        <v>166</v>
      </c>
      <c r="D67" s="6" t="s">
        <v>239</v>
      </c>
      <c r="E67" s="6" t="s">
        <v>139</v>
      </c>
      <c r="F67" s="6" t="s">
        <v>458</v>
      </c>
    </row>
    <row r="68" spans="2:6">
      <c r="B68" s="5" t="s">
        <v>417</v>
      </c>
      <c r="C68" s="5" t="s">
        <v>166</v>
      </c>
      <c r="D68" s="6" t="s">
        <v>172</v>
      </c>
      <c r="E68" s="6" t="s">
        <v>84</v>
      </c>
      <c r="F68" s="6" t="s">
        <v>459</v>
      </c>
    </row>
    <row r="69" spans="2:6">
      <c r="B69" s="5" t="s">
        <v>377</v>
      </c>
      <c r="C69" s="5" t="s">
        <v>166</v>
      </c>
      <c r="D69" s="6" t="s">
        <v>173</v>
      </c>
      <c r="E69" s="6" t="s">
        <v>75</v>
      </c>
      <c r="F69" s="6" t="s">
        <v>460</v>
      </c>
    </row>
    <row r="71" spans="2:6" ht="14">
      <c r="B71" s="17"/>
      <c r="C71" s="18" t="s">
        <v>182</v>
      </c>
    </row>
    <row r="72" spans="2:6" ht="14">
      <c r="B72" s="19" t="s">
        <v>167</v>
      </c>
      <c r="C72" s="19" t="s">
        <v>168</v>
      </c>
      <c r="D72" s="19" t="s">
        <v>560</v>
      </c>
      <c r="E72" s="19" t="s">
        <v>330</v>
      </c>
      <c r="F72" s="19" t="s">
        <v>170</v>
      </c>
    </row>
    <row r="73" spans="2:6">
      <c r="B73" s="5" t="s">
        <v>387</v>
      </c>
      <c r="C73" s="5" t="s">
        <v>461</v>
      </c>
      <c r="D73" s="6" t="s">
        <v>173</v>
      </c>
      <c r="E73" s="6" t="s">
        <v>21</v>
      </c>
      <c r="F73" s="6" t="s">
        <v>462</v>
      </c>
    </row>
    <row r="74" spans="2:6">
      <c r="B74" s="5" t="s">
        <v>455</v>
      </c>
      <c r="C74" s="5" t="s">
        <v>290</v>
      </c>
      <c r="D74" s="6" t="s">
        <v>238</v>
      </c>
      <c r="E74" s="6" t="s">
        <v>438</v>
      </c>
      <c r="F74" s="6" t="s">
        <v>463</v>
      </c>
    </row>
    <row r="75" spans="2:6">
      <c r="B75" s="5" t="s">
        <v>335</v>
      </c>
      <c r="C75" s="5" t="s">
        <v>237</v>
      </c>
      <c r="D75" s="6" t="s">
        <v>173</v>
      </c>
      <c r="E75" s="6" t="s">
        <v>75</v>
      </c>
      <c r="F75" s="6" t="s">
        <v>464</v>
      </c>
    </row>
    <row r="76" spans="2:6">
      <c r="B76" s="5" t="s">
        <v>185</v>
      </c>
    </row>
  </sheetData>
  <mergeCells count="22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40:J40"/>
    <mergeCell ref="A48:J48"/>
    <mergeCell ref="A54:J54"/>
    <mergeCell ref="A57:J57"/>
    <mergeCell ref="B3:B4"/>
    <mergeCell ref="A8:J8"/>
    <mergeCell ref="A11:J11"/>
    <mergeCell ref="A14:J14"/>
    <mergeCell ref="A22:J22"/>
    <mergeCell ref="A26:J26"/>
    <mergeCell ref="A32:J3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M39"/>
  <sheetViews>
    <sheetView workbookViewId="0">
      <selection activeCell="E29" sqref="E29"/>
    </sheetView>
  </sheetViews>
  <sheetFormatPr baseColWidth="10" defaultColWidth="9.1640625" defaultRowHeight="13"/>
  <cols>
    <col min="1" max="1" width="7.5" style="5" bestFit="1" customWidth="1"/>
    <col min="2" max="2" width="22.3320312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1.6640625" style="5" bestFit="1" customWidth="1"/>
    <col min="7" max="9" width="5.5" style="6" customWidth="1"/>
    <col min="10" max="10" width="4.83203125" style="6" customWidth="1"/>
    <col min="11" max="11" width="10.5" style="29" bestFit="1" customWidth="1"/>
    <col min="12" max="12" width="8.5" style="6" bestFit="1" customWidth="1"/>
    <col min="13" max="13" width="26.6640625" style="5" customWidth="1"/>
    <col min="14" max="16384" width="9.1640625" style="3"/>
  </cols>
  <sheetData>
    <row r="1" spans="1:13" s="2" customFormat="1" ht="29" customHeight="1">
      <c r="A1" s="42" t="s">
        <v>555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578</v>
      </c>
      <c r="B3" s="34" t="s">
        <v>0</v>
      </c>
      <c r="C3" s="52" t="s">
        <v>579</v>
      </c>
      <c r="D3" s="52" t="s">
        <v>5</v>
      </c>
      <c r="E3" s="38" t="s">
        <v>580</v>
      </c>
      <c r="F3" s="38" t="s">
        <v>6</v>
      </c>
      <c r="G3" s="38" t="s">
        <v>8</v>
      </c>
      <c r="H3" s="38"/>
      <c r="I3" s="38"/>
      <c r="J3" s="38"/>
      <c r="K3" s="40" t="s">
        <v>334</v>
      </c>
      <c r="L3" s="38" t="s">
        <v>3</v>
      </c>
      <c r="M3" s="53" t="s">
        <v>2</v>
      </c>
    </row>
    <row r="4" spans="1:13" s="1" customFormat="1" ht="21" customHeight="1" thickBot="1">
      <c r="A4" s="51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1"/>
      <c r="L4" s="39"/>
      <c r="M4" s="54"/>
    </row>
    <row r="5" spans="1:13" ht="16">
      <c r="A5" s="36" t="s">
        <v>67</v>
      </c>
      <c r="B5" s="36"/>
      <c r="C5" s="37"/>
      <c r="D5" s="37"/>
      <c r="E5" s="37"/>
      <c r="F5" s="37"/>
      <c r="G5" s="37"/>
      <c r="H5" s="37"/>
      <c r="I5" s="37"/>
      <c r="J5" s="37"/>
    </row>
    <row r="6" spans="1:13">
      <c r="A6" s="12" t="s">
        <v>183</v>
      </c>
      <c r="B6" s="11" t="s">
        <v>257</v>
      </c>
      <c r="C6" s="11" t="s">
        <v>258</v>
      </c>
      <c r="D6" s="11" t="s">
        <v>259</v>
      </c>
      <c r="E6" s="11" t="s">
        <v>582</v>
      </c>
      <c r="F6" s="11" t="s">
        <v>213</v>
      </c>
      <c r="G6" s="25" t="s">
        <v>18</v>
      </c>
      <c r="H6" s="25" t="s">
        <v>20</v>
      </c>
      <c r="I6" s="23" t="s">
        <v>64</v>
      </c>
      <c r="J6" s="12"/>
      <c r="K6" s="28" t="str">
        <f>"72,5"</f>
        <v>72,5</v>
      </c>
      <c r="L6" s="12" t="str">
        <f>"121,4520"</f>
        <v>121,4520</v>
      </c>
      <c r="M6" s="11" t="s">
        <v>570</v>
      </c>
    </row>
    <row r="7" spans="1:13">
      <c r="B7" s="5" t="s">
        <v>185</v>
      </c>
    </row>
    <row r="8" spans="1:13" ht="16">
      <c r="A8" s="33" t="s">
        <v>99</v>
      </c>
      <c r="B8" s="33"/>
      <c r="C8" s="33"/>
      <c r="D8" s="33"/>
      <c r="E8" s="33"/>
      <c r="F8" s="33"/>
      <c r="G8" s="33"/>
      <c r="H8" s="33"/>
      <c r="I8" s="33"/>
      <c r="J8" s="33"/>
    </row>
    <row r="9" spans="1:13">
      <c r="A9" s="8" t="s">
        <v>183</v>
      </c>
      <c r="B9" s="7" t="s">
        <v>291</v>
      </c>
      <c r="C9" s="7" t="s">
        <v>540</v>
      </c>
      <c r="D9" s="7" t="s">
        <v>194</v>
      </c>
      <c r="E9" s="7" t="s">
        <v>585</v>
      </c>
      <c r="F9" s="7" t="s">
        <v>292</v>
      </c>
      <c r="G9" s="20" t="s">
        <v>22</v>
      </c>
      <c r="H9" s="20" t="s">
        <v>97</v>
      </c>
      <c r="I9" s="20" t="s">
        <v>98</v>
      </c>
      <c r="J9" s="8"/>
      <c r="K9" s="30" t="str">
        <f>"157,5"</f>
        <v>157,5</v>
      </c>
      <c r="L9" s="8" t="str">
        <f>"163,3590"</f>
        <v>163,3590</v>
      </c>
      <c r="M9" s="7" t="s">
        <v>293</v>
      </c>
    </row>
    <row r="10" spans="1:13">
      <c r="A10" s="14" t="s">
        <v>183</v>
      </c>
      <c r="B10" s="13" t="s">
        <v>192</v>
      </c>
      <c r="C10" s="13" t="s">
        <v>193</v>
      </c>
      <c r="D10" s="13" t="s">
        <v>194</v>
      </c>
      <c r="E10" s="13" t="s">
        <v>582</v>
      </c>
      <c r="F10" s="13" t="s">
        <v>195</v>
      </c>
      <c r="G10" s="26" t="s">
        <v>75</v>
      </c>
      <c r="H10" s="26" t="s">
        <v>89</v>
      </c>
      <c r="I10" s="27" t="s">
        <v>82</v>
      </c>
      <c r="J10" s="14"/>
      <c r="K10" s="31" t="str">
        <f>"165,0"</f>
        <v>165,0</v>
      </c>
      <c r="L10" s="14" t="str">
        <f>"171,1380"</f>
        <v>171,1380</v>
      </c>
      <c r="M10" s="13"/>
    </row>
    <row r="11" spans="1:13">
      <c r="A11" s="10" t="s">
        <v>184</v>
      </c>
      <c r="B11" s="9" t="s">
        <v>294</v>
      </c>
      <c r="C11" s="9" t="s">
        <v>295</v>
      </c>
      <c r="D11" s="9" t="s">
        <v>296</v>
      </c>
      <c r="E11" s="9" t="s">
        <v>582</v>
      </c>
      <c r="F11" s="9" t="s">
        <v>297</v>
      </c>
      <c r="G11" s="22" t="s">
        <v>123</v>
      </c>
      <c r="H11" s="21" t="s">
        <v>124</v>
      </c>
      <c r="I11" s="21" t="s">
        <v>124</v>
      </c>
      <c r="J11" s="10"/>
      <c r="K11" s="32" t="str">
        <f>"142,5"</f>
        <v>142,5</v>
      </c>
      <c r="L11" s="10" t="str">
        <f>"149,2260"</f>
        <v>149,2260</v>
      </c>
      <c r="M11" s="9" t="s">
        <v>298</v>
      </c>
    </row>
    <row r="12" spans="1:13">
      <c r="B12" s="5" t="s">
        <v>185</v>
      </c>
    </row>
    <row r="13" spans="1:13" ht="16">
      <c r="A13" s="33" t="s">
        <v>73</v>
      </c>
      <c r="B13" s="33"/>
      <c r="C13" s="33"/>
      <c r="D13" s="33"/>
      <c r="E13" s="33"/>
      <c r="F13" s="33"/>
      <c r="G13" s="33"/>
      <c r="H13" s="33"/>
      <c r="I13" s="33"/>
      <c r="J13" s="33"/>
    </row>
    <row r="14" spans="1:13">
      <c r="A14" s="12" t="s">
        <v>183</v>
      </c>
      <c r="B14" s="11" t="s">
        <v>299</v>
      </c>
      <c r="C14" s="11" t="s">
        <v>300</v>
      </c>
      <c r="D14" s="11" t="s">
        <v>301</v>
      </c>
      <c r="E14" s="11" t="s">
        <v>582</v>
      </c>
      <c r="F14" s="11" t="s">
        <v>39</v>
      </c>
      <c r="G14" s="25" t="s">
        <v>34</v>
      </c>
      <c r="H14" s="25" t="s">
        <v>21</v>
      </c>
      <c r="I14" s="25" t="s">
        <v>130</v>
      </c>
      <c r="J14" s="12"/>
      <c r="K14" s="28" t="str">
        <f>"135,0"</f>
        <v>135,0</v>
      </c>
      <c r="L14" s="12" t="str">
        <f>"132,1650"</f>
        <v>132,1650</v>
      </c>
      <c r="M14" s="11" t="s">
        <v>571</v>
      </c>
    </row>
    <row r="15" spans="1:13">
      <c r="B15" s="5" t="s">
        <v>185</v>
      </c>
    </row>
    <row r="16" spans="1:13" ht="16">
      <c r="A16" s="33" t="s">
        <v>135</v>
      </c>
      <c r="B16" s="33"/>
      <c r="C16" s="33"/>
      <c r="D16" s="33"/>
      <c r="E16" s="33"/>
      <c r="F16" s="33"/>
      <c r="G16" s="33"/>
      <c r="H16" s="33"/>
      <c r="I16" s="33"/>
      <c r="J16" s="33"/>
    </row>
    <row r="17" spans="1:13">
      <c r="A17" s="8" t="s">
        <v>183</v>
      </c>
      <c r="B17" s="7" t="s">
        <v>302</v>
      </c>
      <c r="C17" s="7" t="s">
        <v>541</v>
      </c>
      <c r="D17" s="7" t="s">
        <v>303</v>
      </c>
      <c r="E17" s="7" t="s">
        <v>585</v>
      </c>
      <c r="F17" s="7" t="s">
        <v>304</v>
      </c>
      <c r="G17" s="24" t="s">
        <v>92</v>
      </c>
      <c r="H17" s="24" t="s">
        <v>214</v>
      </c>
      <c r="I17" s="20" t="s">
        <v>214</v>
      </c>
      <c r="J17" s="8"/>
      <c r="K17" s="30" t="str">
        <f>"185,0"</f>
        <v>185,0</v>
      </c>
      <c r="L17" s="8" t="str">
        <f>"170,5330"</f>
        <v>170,5330</v>
      </c>
      <c r="M17" s="7"/>
    </row>
    <row r="18" spans="1:13">
      <c r="A18" s="14" t="s">
        <v>183</v>
      </c>
      <c r="B18" s="13" t="s">
        <v>305</v>
      </c>
      <c r="C18" s="13" t="s">
        <v>306</v>
      </c>
      <c r="D18" s="13" t="s">
        <v>307</v>
      </c>
      <c r="E18" s="13" t="s">
        <v>582</v>
      </c>
      <c r="F18" s="13" t="s">
        <v>39</v>
      </c>
      <c r="G18" s="26" t="s">
        <v>214</v>
      </c>
      <c r="H18" s="26" t="s">
        <v>139</v>
      </c>
      <c r="I18" s="27" t="s">
        <v>308</v>
      </c>
      <c r="J18" s="14"/>
      <c r="K18" s="31" t="str">
        <f>"195,0"</f>
        <v>195,0</v>
      </c>
      <c r="L18" s="14" t="str">
        <f>"178,9710"</f>
        <v>178,9710</v>
      </c>
      <c r="M18" s="13" t="s">
        <v>572</v>
      </c>
    </row>
    <row r="19" spans="1:13">
      <c r="A19" s="14" t="s">
        <v>184</v>
      </c>
      <c r="B19" s="13" t="s">
        <v>309</v>
      </c>
      <c r="C19" s="13" t="s">
        <v>310</v>
      </c>
      <c r="D19" s="13" t="s">
        <v>311</v>
      </c>
      <c r="E19" s="13" t="s">
        <v>582</v>
      </c>
      <c r="F19" s="13" t="s">
        <v>39</v>
      </c>
      <c r="G19" s="26" t="s">
        <v>82</v>
      </c>
      <c r="H19" s="26" t="s">
        <v>214</v>
      </c>
      <c r="I19" s="14"/>
      <c r="J19" s="14"/>
      <c r="K19" s="31" t="str">
        <f>"185,0"</f>
        <v>185,0</v>
      </c>
      <c r="L19" s="14" t="str">
        <f>"170,8290"</f>
        <v>170,8290</v>
      </c>
      <c r="M19" s="13"/>
    </row>
    <row r="20" spans="1:13">
      <c r="A20" s="14" t="s">
        <v>187</v>
      </c>
      <c r="B20" s="13" t="s">
        <v>312</v>
      </c>
      <c r="C20" s="13" t="s">
        <v>313</v>
      </c>
      <c r="D20" s="13" t="s">
        <v>314</v>
      </c>
      <c r="E20" s="13" t="s">
        <v>582</v>
      </c>
      <c r="F20" s="13" t="s">
        <v>304</v>
      </c>
      <c r="G20" s="26" t="s">
        <v>107</v>
      </c>
      <c r="H20" s="27" t="s">
        <v>214</v>
      </c>
      <c r="I20" s="27" t="s">
        <v>214</v>
      </c>
      <c r="J20" s="14"/>
      <c r="K20" s="31" t="str">
        <f>"175,0"</f>
        <v>175,0</v>
      </c>
      <c r="L20" s="14" t="str">
        <f>"161,2450"</f>
        <v>161,2450</v>
      </c>
      <c r="M20" s="13"/>
    </row>
    <row r="21" spans="1:13">
      <c r="A21" s="10" t="s">
        <v>183</v>
      </c>
      <c r="B21" s="9" t="s">
        <v>315</v>
      </c>
      <c r="C21" s="9" t="s">
        <v>316</v>
      </c>
      <c r="D21" s="9" t="s">
        <v>317</v>
      </c>
      <c r="E21" s="9" t="s">
        <v>583</v>
      </c>
      <c r="F21" s="9" t="s">
        <v>39</v>
      </c>
      <c r="G21" s="21" t="s">
        <v>81</v>
      </c>
      <c r="H21" s="22" t="s">
        <v>97</v>
      </c>
      <c r="I21" s="22" t="s">
        <v>74</v>
      </c>
      <c r="J21" s="10"/>
      <c r="K21" s="32" t="str">
        <f>"155,0"</f>
        <v>155,0</v>
      </c>
      <c r="L21" s="10" t="str">
        <f>"167,0275"</f>
        <v>167,0275</v>
      </c>
      <c r="M21" s="9"/>
    </row>
    <row r="22" spans="1:13">
      <c r="B22" s="5" t="s">
        <v>185</v>
      </c>
    </row>
    <row r="23" spans="1:13" ht="16">
      <c r="A23" s="33" t="s">
        <v>149</v>
      </c>
      <c r="B23" s="33"/>
      <c r="C23" s="33"/>
      <c r="D23" s="33"/>
      <c r="E23" s="33"/>
      <c r="F23" s="33"/>
      <c r="G23" s="33"/>
      <c r="H23" s="33"/>
      <c r="I23" s="33"/>
      <c r="J23" s="33"/>
    </row>
    <row r="24" spans="1:13">
      <c r="A24" s="8" t="s">
        <v>186</v>
      </c>
      <c r="B24" s="7" t="s">
        <v>318</v>
      </c>
      <c r="C24" s="7" t="s">
        <v>319</v>
      </c>
      <c r="D24" s="7" t="s">
        <v>320</v>
      </c>
      <c r="E24" s="7" t="s">
        <v>582</v>
      </c>
      <c r="F24" s="7" t="s">
        <v>39</v>
      </c>
      <c r="G24" s="24" t="s">
        <v>83</v>
      </c>
      <c r="H24" s="24" t="s">
        <v>83</v>
      </c>
      <c r="I24" s="24" t="s">
        <v>83</v>
      </c>
      <c r="J24" s="8"/>
      <c r="K24" s="30">
        <v>0</v>
      </c>
      <c r="L24" s="8" t="str">
        <f>"0,0000"</f>
        <v>0,0000</v>
      </c>
      <c r="M24" s="7" t="s">
        <v>321</v>
      </c>
    </row>
    <row r="25" spans="1:13">
      <c r="A25" s="10" t="s">
        <v>183</v>
      </c>
      <c r="B25" s="9" t="s">
        <v>322</v>
      </c>
      <c r="C25" s="9" t="s">
        <v>323</v>
      </c>
      <c r="D25" s="9" t="s">
        <v>324</v>
      </c>
      <c r="E25" s="9" t="s">
        <v>581</v>
      </c>
      <c r="F25" s="9" t="s">
        <v>39</v>
      </c>
      <c r="G25" s="22" t="s">
        <v>75</v>
      </c>
      <c r="H25" s="22" t="s">
        <v>146</v>
      </c>
      <c r="I25" s="21" t="s">
        <v>89</v>
      </c>
      <c r="J25" s="10"/>
      <c r="K25" s="32" t="str">
        <f>"162,5"</f>
        <v>162,5</v>
      </c>
      <c r="L25" s="10" t="str">
        <f>"159,6845"</f>
        <v>159,6845</v>
      </c>
      <c r="M25" s="9" t="s">
        <v>325</v>
      </c>
    </row>
    <row r="26" spans="1:13">
      <c r="B26" s="5" t="s">
        <v>185</v>
      </c>
    </row>
    <row r="27" spans="1:13" ht="16">
      <c r="A27" s="33" t="s">
        <v>155</v>
      </c>
      <c r="B27" s="33"/>
      <c r="C27" s="33"/>
      <c r="D27" s="33"/>
      <c r="E27" s="33"/>
      <c r="F27" s="33"/>
      <c r="G27" s="33"/>
      <c r="H27" s="33"/>
      <c r="I27" s="33"/>
      <c r="J27" s="33"/>
    </row>
    <row r="28" spans="1:13">
      <c r="A28" s="12" t="s">
        <v>183</v>
      </c>
      <c r="B28" s="11" t="s">
        <v>326</v>
      </c>
      <c r="C28" s="11" t="s">
        <v>327</v>
      </c>
      <c r="D28" s="11" t="s">
        <v>328</v>
      </c>
      <c r="E28" s="11" t="s">
        <v>582</v>
      </c>
      <c r="F28" s="11" t="s">
        <v>39</v>
      </c>
      <c r="G28" s="25" t="s">
        <v>107</v>
      </c>
      <c r="H28" s="25" t="s">
        <v>214</v>
      </c>
      <c r="I28" s="23" t="s">
        <v>329</v>
      </c>
      <c r="J28" s="12"/>
      <c r="K28" s="28" t="str">
        <f>"185,0"</f>
        <v>185,0</v>
      </c>
      <c r="L28" s="12" t="str">
        <f>"161,1350"</f>
        <v>161,1350</v>
      </c>
      <c r="M28" s="11" t="s">
        <v>573</v>
      </c>
    </row>
    <row r="29" spans="1:13">
      <c r="B29" s="5" t="s">
        <v>185</v>
      </c>
    </row>
    <row r="30" spans="1:13">
      <c r="B30" s="5" t="s">
        <v>185</v>
      </c>
    </row>
    <row r="31" spans="1:13">
      <c r="B31" s="5" t="s">
        <v>185</v>
      </c>
    </row>
    <row r="32" spans="1:13" ht="18">
      <c r="B32" s="15" t="s">
        <v>165</v>
      </c>
      <c r="C32" s="15"/>
      <c r="F32" s="3"/>
    </row>
    <row r="33" spans="2:6" ht="16">
      <c r="B33" s="16" t="s">
        <v>171</v>
      </c>
      <c r="C33" s="16"/>
      <c r="F33" s="3"/>
    </row>
    <row r="34" spans="2:6" ht="14">
      <c r="B34" s="17"/>
      <c r="C34" s="18" t="s">
        <v>166</v>
      </c>
      <c r="F34" s="3"/>
    </row>
    <row r="35" spans="2:6" ht="14">
      <c r="B35" s="19" t="s">
        <v>167</v>
      </c>
      <c r="C35" s="19" t="s">
        <v>168</v>
      </c>
      <c r="D35" s="19" t="s">
        <v>560</v>
      </c>
      <c r="E35" s="19" t="s">
        <v>330</v>
      </c>
      <c r="F35" s="19" t="s">
        <v>170</v>
      </c>
    </row>
    <row r="36" spans="2:6">
      <c r="B36" s="5" t="s">
        <v>305</v>
      </c>
      <c r="C36" s="5" t="s">
        <v>166</v>
      </c>
      <c r="D36" s="6" t="s">
        <v>172</v>
      </c>
      <c r="E36" s="6" t="s">
        <v>139</v>
      </c>
      <c r="F36" s="6" t="s">
        <v>331</v>
      </c>
    </row>
    <row r="37" spans="2:6">
      <c r="B37" s="5" t="s">
        <v>192</v>
      </c>
      <c r="C37" s="5" t="s">
        <v>166</v>
      </c>
      <c r="D37" s="6" t="s">
        <v>173</v>
      </c>
      <c r="E37" s="6" t="s">
        <v>89</v>
      </c>
      <c r="F37" s="6" t="s">
        <v>332</v>
      </c>
    </row>
    <row r="38" spans="2:6">
      <c r="B38" s="5" t="s">
        <v>309</v>
      </c>
      <c r="C38" s="5" t="s">
        <v>166</v>
      </c>
      <c r="D38" s="6" t="s">
        <v>172</v>
      </c>
      <c r="E38" s="6" t="s">
        <v>214</v>
      </c>
      <c r="F38" s="6" t="s">
        <v>333</v>
      </c>
    </row>
    <row r="39" spans="2:6">
      <c r="F39" s="3"/>
    </row>
  </sheetData>
  <mergeCells count="17"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  <mergeCell ref="A27:J27"/>
    <mergeCell ref="A5:J5"/>
    <mergeCell ref="A8:J8"/>
    <mergeCell ref="A13:J13"/>
    <mergeCell ref="A16:J16"/>
    <mergeCell ref="A23:J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GPA ПЛ без экипировки ДК</vt:lpstr>
      <vt:lpstr>GPA ПЛ без экипировки</vt:lpstr>
      <vt:lpstr>GPA ПЛ в бинтах ДК</vt:lpstr>
      <vt:lpstr>GPA ПЛ в бинтах</vt:lpstr>
      <vt:lpstr>GPA Двоеборье без экип ДК</vt:lpstr>
      <vt:lpstr>GPA Двоеборье без экип</vt:lpstr>
      <vt:lpstr>GPA Присед без экипировки ДК</vt:lpstr>
      <vt:lpstr>GPA Жим без экипировки ДК</vt:lpstr>
      <vt:lpstr>GPA Жим без экипировки</vt:lpstr>
      <vt:lpstr>IPO Жим однослой ДК</vt:lpstr>
      <vt:lpstr>IPO Жим однослой</vt:lpstr>
      <vt:lpstr>GPA Тяга без экипировки ДК</vt:lpstr>
      <vt:lpstr>GPA Тяга без экипировки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2021-10-04T20:19:28Z</dcterms:modified>
</cp:coreProperties>
</file>