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Сентябрь/"/>
    </mc:Choice>
  </mc:AlternateContent>
  <xr:revisionPtr revIDLastSave="0" documentId="13_ncr:1_{A5B0B8FA-BE3B-E540-AF75-EEDEE890799B}" xr6:coauthVersionLast="45" xr6:coauthVersionMax="45" xr10:uidLastSave="{00000000-0000-0000-0000-000000000000}"/>
  <bookViews>
    <workbookView xWindow="0" yWindow="460" windowWidth="28800" windowHeight="15820" tabRatio="837" firstSheet="8" activeTab="13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ПЛ в бинтах" sheetId="7" r:id="rId4"/>
    <sheet name="IPL Двоеборье без экип" sheetId="14" r:id="rId5"/>
    <sheet name="IPL Присед без экипировки ДК" sheetId="13" r:id="rId6"/>
    <sheet name="IPL Жим без экипировки ДК" sheetId="10" r:id="rId7"/>
    <sheet name="IPL Жим без экипировки" sheetId="9" r:id="rId8"/>
    <sheet name="IPL Тяга без экипировки ДК" sheetId="12" r:id="rId9"/>
    <sheet name="IPL Тяга без экипировки" sheetId="11" r:id="rId10"/>
    <sheet name="СПР Пауэрспорт ДК" sheetId="22" r:id="rId11"/>
    <sheet name="СПР Подъем на бицепс ДК" sheetId="20" r:id="rId12"/>
    <sheet name="СПР Подъем на бицепс" sheetId="19" r:id="rId13"/>
    <sheet name="ФЖД ЖД Софт однослой" sheetId="24" r:id="rId14"/>
  </sheets>
  <definedNames>
    <definedName name="_FilterDatabase" localSheetId="1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24" l="1"/>
  <c r="K12" i="24"/>
  <c r="N9" i="24" l="1"/>
  <c r="M9" i="24"/>
  <c r="P9" i="22"/>
  <c r="O9" i="22"/>
  <c r="P6" i="22"/>
  <c r="O6" i="22"/>
  <c r="L10" i="20"/>
  <c r="K10" i="20"/>
  <c r="L7" i="20"/>
  <c r="K7" i="20"/>
  <c r="L6" i="20"/>
  <c r="K6" i="20"/>
  <c r="L6" i="19"/>
  <c r="K6" i="19"/>
  <c r="P6" i="14"/>
  <c r="O6" i="14"/>
  <c r="L9" i="13"/>
  <c r="K9" i="13"/>
  <c r="L6" i="13"/>
  <c r="K6" i="13"/>
  <c r="L23" i="12"/>
  <c r="K23" i="12"/>
  <c r="L20" i="12"/>
  <c r="K20" i="12"/>
  <c r="L19" i="12"/>
  <c r="K19" i="12"/>
  <c r="L16" i="12"/>
  <c r="K16" i="12"/>
  <c r="L13" i="12"/>
  <c r="K13" i="12"/>
  <c r="L10" i="12"/>
  <c r="K10" i="12"/>
  <c r="L9" i="12"/>
  <c r="K9" i="12"/>
  <c r="L6" i="12"/>
  <c r="K6" i="12"/>
  <c r="L12" i="11"/>
  <c r="K12" i="11"/>
  <c r="L9" i="11"/>
  <c r="K9" i="11"/>
  <c r="L6" i="11"/>
  <c r="K6" i="11"/>
  <c r="L54" i="10"/>
  <c r="K54" i="10"/>
  <c r="L51" i="10"/>
  <c r="K51" i="10"/>
  <c r="L50" i="10"/>
  <c r="K50" i="10"/>
  <c r="L47" i="10"/>
  <c r="K47" i="10"/>
  <c r="L44" i="10"/>
  <c r="K44" i="10"/>
  <c r="L43" i="10"/>
  <c r="K43" i="10"/>
  <c r="L40" i="10"/>
  <c r="K40" i="10"/>
  <c r="L39" i="10"/>
  <c r="K39" i="10"/>
  <c r="L36" i="10"/>
  <c r="K36" i="10"/>
  <c r="L35" i="10"/>
  <c r="K35" i="10"/>
  <c r="L34" i="10"/>
  <c r="K34" i="10"/>
  <c r="L31" i="10"/>
  <c r="K31" i="10"/>
  <c r="L30" i="10"/>
  <c r="K30" i="10"/>
  <c r="L29" i="10"/>
  <c r="K29" i="10"/>
  <c r="L28" i="10"/>
  <c r="K28" i="10"/>
  <c r="L25" i="10"/>
  <c r="K25" i="10"/>
  <c r="L22" i="10"/>
  <c r="K22" i="10"/>
  <c r="L21" i="10"/>
  <c r="K21" i="10"/>
  <c r="L18" i="10"/>
  <c r="K18" i="10"/>
  <c r="L15" i="10"/>
  <c r="K15" i="10"/>
  <c r="L12" i="10"/>
  <c r="K12" i="10"/>
  <c r="L9" i="10"/>
  <c r="K9" i="10"/>
  <c r="L6" i="10"/>
  <c r="K6" i="10"/>
  <c r="L22" i="9"/>
  <c r="K22" i="9"/>
  <c r="L21" i="9"/>
  <c r="K21" i="9"/>
  <c r="L20" i="9"/>
  <c r="K20" i="9"/>
  <c r="L17" i="9"/>
  <c r="K17" i="9"/>
  <c r="L16" i="9"/>
  <c r="K16" i="9"/>
  <c r="L13" i="9"/>
  <c r="K13" i="9"/>
  <c r="L10" i="9"/>
  <c r="L7" i="9"/>
  <c r="K7" i="9"/>
  <c r="L6" i="9"/>
  <c r="K6" i="9"/>
  <c r="T13" i="8"/>
  <c r="S13" i="8"/>
  <c r="T10" i="8"/>
  <c r="S10" i="8"/>
  <c r="T9" i="8"/>
  <c r="S9" i="8"/>
  <c r="T6" i="8"/>
  <c r="S6" i="8"/>
  <c r="T6" i="7"/>
  <c r="T33" i="6"/>
  <c r="S33" i="6"/>
  <c r="T32" i="6"/>
  <c r="S32" i="6"/>
  <c r="T31" i="6"/>
  <c r="S31" i="6"/>
  <c r="T28" i="6"/>
  <c r="S28" i="6"/>
  <c r="T25" i="6"/>
  <c r="S25" i="6"/>
  <c r="T22" i="6"/>
  <c r="S22" i="6"/>
  <c r="T19" i="6"/>
  <c r="S19" i="6"/>
  <c r="T16" i="6"/>
  <c r="T15" i="6"/>
  <c r="T14" i="6"/>
  <c r="S14" i="6"/>
  <c r="T11" i="6"/>
  <c r="S11" i="6"/>
  <c r="T10" i="6"/>
  <c r="S10" i="6"/>
  <c r="T9" i="6"/>
  <c r="S9" i="6"/>
  <c r="T6" i="6"/>
  <c r="S6" i="6"/>
  <c r="T18" i="5"/>
  <c r="S18" i="5"/>
  <c r="T17" i="5"/>
  <c r="S17" i="5"/>
  <c r="T14" i="5"/>
  <c r="S14" i="5"/>
  <c r="T13" i="5"/>
  <c r="S13" i="5"/>
  <c r="T10" i="5"/>
  <c r="S10" i="5"/>
  <c r="T7" i="5"/>
  <c r="T6" i="5"/>
  <c r="S6" i="5"/>
</calcChain>
</file>

<file path=xl/sharedStrings.xml><?xml version="1.0" encoding="utf-8"?>
<sst xmlns="http://schemas.openxmlformats.org/spreadsheetml/2006/main" count="1266" uniqueCount="405">
  <si>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</si>
  <si>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</si>
  <si>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</si>
  <si>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</si>
  <si>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</si>
  <si>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</si>
  <si>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</si>
  <si>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</si>
  <si>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</si>
  <si>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</si>
  <si>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</si>
  <si>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</si>
  <si>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</si>
  <si>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>Осипова Евгения</t>
  </si>
  <si>
    <t>Открытая (05.12.1983)/37</t>
  </si>
  <si>
    <t>65,80</t>
  </si>
  <si>
    <t xml:space="preserve">Ярославль/Ярославская область </t>
  </si>
  <si>
    <t>80,0</t>
  </si>
  <si>
    <t>87,5</t>
  </si>
  <si>
    <t>90,0</t>
  </si>
  <si>
    <t>60,0</t>
  </si>
  <si>
    <t>70,0</t>
  </si>
  <si>
    <t>100,0</t>
  </si>
  <si>
    <t>115,0</t>
  </si>
  <si>
    <t>130,0</t>
  </si>
  <si>
    <t xml:space="preserve">Королев А. </t>
  </si>
  <si>
    <t>Аграшина Стефания</t>
  </si>
  <si>
    <t>Открытая (13.12.1991)/29</t>
  </si>
  <si>
    <t>67,40</t>
  </si>
  <si>
    <t>125,0</t>
  </si>
  <si>
    <t>72,5</t>
  </si>
  <si>
    <t>155,0</t>
  </si>
  <si>
    <t xml:space="preserve">Бобарев М. </t>
  </si>
  <si>
    <t>ВЕСОВАЯ КАТЕГОРИЯ   90</t>
  </si>
  <si>
    <t>Соколов Дмитрий</t>
  </si>
  <si>
    <t>Открытая (18.07.1986)/35</t>
  </si>
  <si>
    <t>87,80</t>
  </si>
  <si>
    <t xml:space="preserve">Ковров/Владимирская область </t>
  </si>
  <si>
    <t>165,0</t>
  </si>
  <si>
    <t>170,0</t>
  </si>
  <si>
    <t>175,0</t>
  </si>
  <si>
    <t>105,0</t>
  </si>
  <si>
    <t>180,0</t>
  </si>
  <si>
    <t>185,0</t>
  </si>
  <si>
    <t xml:space="preserve">Петрушкин Р. </t>
  </si>
  <si>
    <t>ВЕСОВАЯ КАТЕГОРИЯ   100</t>
  </si>
  <si>
    <t>Полянский Артем</t>
  </si>
  <si>
    <t>Открытая (08.07.1992)/29</t>
  </si>
  <si>
    <t>97,30</t>
  </si>
  <si>
    <t xml:space="preserve">Рыбинск/Ярославская область </t>
  </si>
  <si>
    <t>240,0</t>
  </si>
  <si>
    <t>260,0</t>
  </si>
  <si>
    <t>270,0</t>
  </si>
  <si>
    <t>160,0</t>
  </si>
  <si>
    <t>280,0</t>
  </si>
  <si>
    <t>300,0</t>
  </si>
  <si>
    <t>320,0</t>
  </si>
  <si>
    <t>Кострюков Константин</t>
  </si>
  <si>
    <t>Открытая (24.11.1991)/29</t>
  </si>
  <si>
    <t>97,80</t>
  </si>
  <si>
    <t>190,0</t>
  </si>
  <si>
    <t>145,0</t>
  </si>
  <si>
    <t>150,0</t>
  </si>
  <si>
    <t>200,0</t>
  </si>
  <si>
    <t>210,0</t>
  </si>
  <si>
    <t>220,0</t>
  </si>
  <si>
    <t>ВЕСОВАЯ КАТЕГОРИЯ   110</t>
  </si>
  <si>
    <t>Зеленков Илья</t>
  </si>
  <si>
    <t>Открытая (24.12.1988)/32</t>
  </si>
  <si>
    <t>108,70</t>
  </si>
  <si>
    <t>225,0</t>
  </si>
  <si>
    <t>135,0</t>
  </si>
  <si>
    <t>140,0</t>
  </si>
  <si>
    <t>235,0</t>
  </si>
  <si>
    <t>245,0</t>
  </si>
  <si>
    <t>Козлов Владимир</t>
  </si>
  <si>
    <t>Открытая (21.07.1990)/31</t>
  </si>
  <si>
    <t>103,30</t>
  </si>
  <si>
    <t>195,0</t>
  </si>
  <si>
    <t>157,5</t>
  </si>
  <si>
    <t xml:space="preserve">Тимофеев С. 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</si>
  <si>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</si>
  <si>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</si>
  <si>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</si>
  <si>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</si>
  <si>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</si>
  <si>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 xml:space="preserve">Мужчины </t>
  </si>
  <si>
    <t>1</t>
  </si>
  <si>
    <t>-</t>
  </si>
  <si>
    <t/>
  </si>
  <si>
    <t>2</t>
  </si>
  <si>
    <t>ВЕСОВАЯ КАТЕГОРИЯ   48</t>
  </si>
  <si>
    <t>Кочеткова Елена</t>
  </si>
  <si>
    <t>Открытая (20.10.1991)/29</t>
  </si>
  <si>
    <t>47,20</t>
  </si>
  <si>
    <t xml:space="preserve">Тейково/Ивановская область </t>
  </si>
  <si>
    <t>92,5</t>
  </si>
  <si>
    <t>97,5</t>
  </si>
  <si>
    <t>52,5</t>
  </si>
  <si>
    <t>57,5</t>
  </si>
  <si>
    <t>107,5</t>
  </si>
  <si>
    <t>120,0</t>
  </si>
  <si>
    <t>ВЕСОВАЯ КАТЕГОРИЯ   52</t>
  </si>
  <si>
    <t>Петрушкина Виктория</t>
  </si>
  <si>
    <t>Девушки 15-19 (26.04.2006)/15</t>
  </si>
  <si>
    <t>51,90</t>
  </si>
  <si>
    <t>75,0</t>
  </si>
  <si>
    <t>47,5</t>
  </si>
  <si>
    <t>50,0</t>
  </si>
  <si>
    <t>82,5</t>
  </si>
  <si>
    <t>Павлова Ксения</t>
  </si>
  <si>
    <t>50,50</t>
  </si>
  <si>
    <t xml:space="preserve">Фурманов/Ивановская область </t>
  </si>
  <si>
    <t>62,5</t>
  </si>
  <si>
    <t>67,5</t>
  </si>
  <si>
    <t>30,0</t>
  </si>
  <si>
    <t>35,0</t>
  </si>
  <si>
    <t xml:space="preserve">Засядкин А. </t>
  </si>
  <si>
    <t>Бакина Анна</t>
  </si>
  <si>
    <t>Открытая (16.05.1991)/30</t>
  </si>
  <si>
    <t>50,40</t>
  </si>
  <si>
    <t xml:space="preserve">Иваново/Ивановская область </t>
  </si>
  <si>
    <t>37,5</t>
  </si>
  <si>
    <t>42,5</t>
  </si>
  <si>
    <t>102,5</t>
  </si>
  <si>
    <t>Абрамова Инга</t>
  </si>
  <si>
    <t>Девушки 15-19 (30.09.2002)/18</t>
  </si>
  <si>
    <t>66,80</t>
  </si>
  <si>
    <t xml:space="preserve">Выборг/Ленинградская область </t>
  </si>
  <si>
    <t>55,0</t>
  </si>
  <si>
    <t>65,0</t>
  </si>
  <si>
    <t>110,0</t>
  </si>
  <si>
    <t>Гордиенко Ольга</t>
  </si>
  <si>
    <t>Девушки 15-19 (17.05.2005)/16</t>
  </si>
  <si>
    <t>66,00</t>
  </si>
  <si>
    <t>95,0</t>
  </si>
  <si>
    <t>Открытая (17.05.2005)/16</t>
  </si>
  <si>
    <t>ВЕСОВАЯ КАТЕГОРИЯ   75</t>
  </si>
  <si>
    <t>Александрова Ксения</t>
  </si>
  <si>
    <t>Открытая (10.01.1993)/28</t>
  </si>
  <si>
    <t>71,20</t>
  </si>
  <si>
    <t>Балабан Никита</t>
  </si>
  <si>
    <t>Юноши 15-19 (03.11.2004)/16</t>
  </si>
  <si>
    <t xml:space="preserve">Кострома/Костромская область </t>
  </si>
  <si>
    <t xml:space="preserve">Дурандин С. </t>
  </si>
  <si>
    <t>Соколов Данила</t>
  </si>
  <si>
    <t>Юноши 15-19 (08.03.2007)/14</t>
  </si>
  <si>
    <t>71,60</t>
  </si>
  <si>
    <t>162,5</t>
  </si>
  <si>
    <t>85,0</t>
  </si>
  <si>
    <t>152,5</t>
  </si>
  <si>
    <t>Иванов Дмитрий</t>
  </si>
  <si>
    <t>Открытая (01.03.1985)/36</t>
  </si>
  <si>
    <t>86,40</t>
  </si>
  <si>
    <t xml:space="preserve">Богородск/Нижегородская область </t>
  </si>
  <si>
    <t>Дурандин Сергей</t>
  </si>
  <si>
    <t>Открытая (04.05.1974)/47</t>
  </si>
  <si>
    <t>99,80</t>
  </si>
  <si>
    <t>215,0</t>
  </si>
  <si>
    <t>0,0</t>
  </si>
  <si>
    <t>Лысенко Александр</t>
  </si>
  <si>
    <t>Открытая (05.03.1993)/28</t>
  </si>
  <si>
    <t>99,70</t>
  </si>
  <si>
    <t xml:space="preserve">Румянцев С. </t>
  </si>
  <si>
    <t xml:space="preserve">Юноши 15-19 </t>
  </si>
  <si>
    <t>212,5</t>
  </si>
  <si>
    <t>75</t>
  </si>
  <si>
    <t xml:space="preserve">Юноши </t>
  </si>
  <si>
    <t>90</t>
  </si>
  <si>
    <t>Мальцев Руслан</t>
  </si>
  <si>
    <t>Открытая (30.01.1988)/33</t>
  </si>
  <si>
    <t>98,60</t>
  </si>
  <si>
    <t>290,0</t>
  </si>
  <si>
    <t>Абдуллаев Анвар</t>
  </si>
  <si>
    <t>Открытая (17.04.2002)/19</t>
  </si>
  <si>
    <t>67,80</t>
  </si>
  <si>
    <t>ВЕСОВАЯ КАТЕГОРИЯ   82.5</t>
  </si>
  <si>
    <t>Зыков Максим</t>
  </si>
  <si>
    <t>Открытая (21.06.2002)/19</t>
  </si>
  <si>
    <t>81,70</t>
  </si>
  <si>
    <t>Масолбасов Алексей</t>
  </si>
  <si>
    <t>Открытая (29.03.2002)/19</t>
  </si>
  <si>
    <t>78,90</t>
  </si>
  <si>
    <t>ВЕСОВАЯ КАТЕГОРИЯ   125</t>
  </si>
  <si>
    <t>Открытая (11.07.1998)/23</t>
  </si>
  <si>
    <t>250,0</t>
  </si>
  <si>
    <t>125</t>
  </si>
  <si>
    <t>82.5</t>
  </si>
  <si>
    <t>Казарина Елена</t>
  </si>
  <si>
    <t>67,50</t>
  </si>
  <si>
    <t xml:space="preserve">Королёв/Московская область </t>
  </si>
  <si>
    <t>Зиньковский Роман</t>
  </si>
  <si>
    <t>73,50</t>
  </si>
  <si>
    <t xml:space="preserve">Балашиха/Московская область </t>
  </si>
  <si>
    <t>Бобарев Максим</t>
  </si>
  <si>
    <t>Открытая (13.11.1993)/27</t>
  </si>
  <si>
    <t>89,00</t>
  </si>
  <si>
    <t>202,5</t>
  </si>
  <si>
    <t>Козлов Илья</t>
  </si>
  <si>
    <t>Открытая (19.05.1992)/29</t>
  </si>
  <si>
    <t>92,30</t>
  </si>
  <si>
    <t>Пеньков Александр</t>
  </si>
  <si>
    <t>94,40</t>
  </si>
  <si>
    <t>Казак Виталий</t>
  </si>
  <si>
    <t>109,90</t>
  </si>
  <si>
    <t>205,0</t>
  </si>
  <si>
    <t>Шулимов Кирилл</t>
  </si>
  <si>
    <t>106,70</t>
  </si>
  <si>
    <t xml:space="preserve">Нахабино/Московская область </t>
  </si>
  <si>
    <t>Лисицын Сергей</t>
  </si>
  <si>
    <t>106,50</t>
  </si>
  <si>
    <t>192,5</t>
  </si>
  <si>
    <t xml:space="preserve">Результат </t>
  </si>
  <si>
    <t>Результат</t>
  </si>
  <si>
    <t>Матюхина Екатерина</t>
  </si>
  <si>
    <t>Открытая (20.05.1990)/31</t>
  </si>
  <si>
    <t>48,50</t>
  </si>
  <si>
    <t xml:space="preserve">Тверь/Тверская область </t>
  </si>
  <si>
    <t>ВЕСОВАЯ КАТЕГОРИЯ   56</t>
  </si>
  <si>
    <t>Журавлева Кристина</t>
  </si>
  <si>
    <t>Открытая (03.05.2004)/17</t>
  </si>
  <si>
    <t>53,40</t>
  </si>
  <si>
    <t xml:space="preserve">Пестово/Новгородская область </t>
  </si>
  <si>
    <t>ВЕСОВАЯ КАТЕГОРИЯ   60</t>
  </si>
  <si>
    <t>Добромыслова Арина</t>
  </si>
  <si>
    <t>Открытая (18.12.2004)/16</t>
  </si>
  <si>
    <t>56,10</t>
  </si>
  <si>
    <t>40,0</t>
  </si>
  <si>
    <t>Лебедева Кристина</t>
  </si>
  <si>
    <t>Открытая (17.01.2004)/17</t>
  </si>
  <si>
    <t>63,30</t>
  </si>
  <si>
    <t>Плакан Светлана</t>
  </si>
  <si>
    <t>Открытая (12.05.1983)/38</t>
  </si>
  <si>
    <t>89,70</t>
  </si>
  <si>
    <t xml:space="preserve">Вельск/Архангельская область </t>
  </si>
  <si>
    <t>Сергеев Максим</t>
  </si>
  <si>
    <t>Юноши 15-19 (24.06.2008)/13</t>
  </si>
  <si>
    <t>38,90</t>
  </si>
  <si>
    <t>45,0</t>
  </si>
  <si>
    <t>Котов Глеб</t>
  </si>
  <si>
    <t>Юноши 15-19 (14.06.2011)/10</t>
  </si>
  <si>
    <t>42,20</t>
  </si>
  <si>
    <t>Железов Никита</t>
  </si>
  <si>
    <t>Юноши 15-19 (30.01.2008)/13</t>
  </si>
  <si>
    <t>52,60</t>
  </si>
  <si>
    <t>Одноволик Роман</t>
  </si>
  <si>
    <t>Юноши 15-19 (20.09.2004)/16</t>
  </si>
  <si>
    <t>69,30</t>
  </si>
  <si>
    <t>Еремин Кирилл</t>
  </si>
  <si>
    <t>Юноши 15-19 (02.06.2005)/16</t>
  </si>
  <si>
    <t>74,80</t>
  </si>
  <si>
    <t xml:space="preserve">Омск/Омская область </t>
  </si>
  <si>
    <t>Медведев Дмитрий</t>
  </si>
  <si>
    <t>Юноши 15-19 (19.05.2008)/13</t>
  </si>
  <si>
    <t>71,30</t>
  </si>
  <si>
    <t>Пищик Денис</t>
  </si>
  <si>
    <t>72,50</t>
  </si>
  <si>
    <t>127,5</t>
  </si>
  <si>
    <t>Кузин Глеб</t>
  </si>
  <si>
    <t>Юноши 15-19 (04.05.2004)/17</t>
  </si>
  <si>
    <t>82,50</t>
  </si>
  <si>
    <t>Бондарев Александр</t>
  </si>
  <si>
    <t>82,10</t>
  </si>
  <si>
    <t>Кочетков Александр</t>
  </si>
  <si>
    <t>Открытая (19.09.1988)/32</t>
  </si>
  <si>
    <t>82,00</t>
  </si>
  <si>
    <t>Смекалов Валерий</t>
  </si>
  <si>
    <t>Открытая (15.04.1984)/37</t>
  </si>
  <si>
    <t>87,60</t>
  </si>
  <si>
    <t>Жаров Евгений</t>
  </si>
  <si>
    <t>Открытая (07.11.1986)/34</t>
  </si>
  <si>
    <t>86,90</t>
  </si>
  <si>
    <t>Гаврин Никита</t>
  </si>
  <si>
    <t>99,00</t>
  </si>
  <si>
    <t xml:space="preserve">Москва </t>
  </si>
  <si>
    <t>137,5</t>
  </si>
  <si>
    <t>142,5</t>
  </si>
  <si>
    <t>Покотило Александр</t>
  </si>
  <si>
    <t>98,00</t>
  </si>
  <si>
    <t>147,5</t>
  </si>
  <si>
    <t xml:space="preserve"> </t>
  </si>
  <si>
    <t>Шунин Руслан</t>
  </si>
  <si>
    <t>Открытая (08.12.1991)/29</t>
  </si>
  <si>
    <t>109,70</t>
  </si>
  <si>
    <t xml:space="preserve">Орехово-Зуево/Московская область </t>
  </si>
  <si>
    <t>Карпов Илья</t>
  </si>
  <si>
    <t>Открытая (29.06.1993)/28</t>
  </si>
  <si>
    <t>117,10</t>
  </si>
  <si>
    <t>230,0</t>
  </si>
  <si>
    <t>Транин Никита</t>
  </si>
  <si>
    <t>Открытая (24.05.1992)/29</t>
  </si>
  <si>
    <t>113,00</t>
  </si>
  <si>
    <t xml:space="preserve">Вологда/Вологодская область </t>
  </si>
  <si>
    <t xml:space="preserve">Шиловский Е. </t>
  </si>
  <si>
    <t>ВЕСОВАЯ КАТЕГОРИЯ   140</t>
  </si>
  <si>
    <t>Открытая (16.03.1996)/25</t>
  </si>
  <si>
    <t>125,80</t>
  </si>
  <si>
    <t xml:space="preserve">Аксёнов А. </t>
  </si>
  <si>
    <t>79,2960</t>
  </si>
  <si>
    <t>66,9900</t>
  </si>
  <si>
    <t>56</t>
  </si>
  <si>
    <t>60,6000</t>
  </si>
  <si>
    <t>130,1175</t>
  </si>
  <si>
    <t>110,0750</t>
  </si>
  <si>
    <t>107,2995</t>
  </si>
  <si>
    <t>3</t>
  </si>
  <si>
    <t>Тимофеев Станислав</t>
  </si>
  <si>
    <t>Открытая (15.08.1980)/41</t>
  </si>
  <si>
    <t>88,30</t>
  </si>
  <si>
    <t>310,0</t>
  </si>
  <si>
    <t>Кукушкин Дмитрий</t>
  </si>
  <si>
    <t>Открытая (24.06.1987)/34</t>
  </si>
  <si>
    <t>102,80</t>
  </si>
  <si>
    <t>112,5</t>
  </si>
  <si>
    <t>265,0</t>
  </si>
  <si>
    <t>Машков Артем</t>
  </si>
  <si>
    <t>Открытая (16.10.1996)/24</t>
  </si>
  <si>
    <t>89,20</t>
  </si>
  <si>
    <t>Смирнов Алексей</t>
  </si>
  <si>
    <t>Открытая (29.10.1994)/26</t>
  </si>
  <si>
    <t>88,40</t>
  </si>
  <si>
    <t>Калачев Александр</t>
  </si>
  <si>
    <t>Открытая (07.05.1993)/28</t>
  </si>
  <si>
    <t>78,50</t>
  </si>
  <si>
    <t xml:space="preserve">Череповец/Вологодская область </t>
  </si>
  <si>
    <t>Блинов Дмитрий</t>
  </si>
  <si>
    <t>Открытая (11.04.1982)/39</t>
  </si>
  <si>
    <t>80,70</t>
  </si>
  <si>
    <t>Четвертной Андрей</t>
  </si>
  <si>
    <t>Шипунов Сергей</t>
  </si>
  <si>
    <t>72,90</t>
  </si>
  <si>
    <t xml:space="preserve">Ростов/Ярославская область </t>
  </si>
  <si>
    <t>Смирнов Михаил</t>
  </si>
  <si>
    <t>Открытая (12.04.1984)/37</t>
  </si>
  <si>
    <t>88,10</t>
  </si>
  <si>
    <t>Капитонов Юрий</t>
  </si>
  <si>
    <t>100,40</t>
  </si>
  <si>
    <t>20,0</t>
  </si>
  <si>
    <t>ВЕСОВАЯ КАТЕГОРИЯ   120</t>
  </si>
  <si>
    <t>Воробьёв Александр</t>
  </si>
  <si>
    <t>115,10</t>
  </si>
  <si>
    <t>Тяга</t>
  </si>
  <si>
    <t>Москва</t>
  </si>
  <si>
    <t>Потылкин Д.</t>
  </si>
  <si>
    <t xml:space="preserve">Беловал Е. </t>
  </si>
  <si>
    <t>122,10</t>
  </si>
  <si>
    <t>Постнов Д.</t>
  </si>
  <si>
    <t>Федосиенко С.</t>
  </si>
  <si>
    <t xml:space="preserve">Кудря Д. </t>
  </si>
  <si>
    <t>Матюхина Е.</t>
  </si>
  <si>
    <t>Коробов Д.</t>
  </si>
  <si>
    <t>Дурандин С.</t>
  </si>
  <si>
    <t>Соловьев А.</t>
  </si>
  <si>
    <t>Мучлер А.</t>
  </si>
  <si>
    <t>Палоян В.</t>
  </si>
  <si>
    <t>Капитонов Ю.</t>
  </si>
  <si>
    <t>0,0000</t>
  </si>
  <si>
    <t>Всероссийский мастерский турнир "Ярославль белокаменный IV"
IPL Пауэрлифтинг без экипировки ДК
Ярославль/Ярославская область, 18 сентября 2021 года</t>
  </si>
  <si>
    <t>Всероссийский мастерский турнир "Ярославль белокаменный IV"
IPL Пауэрлифтинг без экипировки
Ярославль/Ярославская область, 18 сентября 2021 года</t>
  </si>
  <si>
    <t>Всероссийский мастерский турнир "Ярославль белокаменный IV"
IPL Пауэрлифтинг в бинтах ДК
Ярославль/Ярославская область, 18 сентября 2021 года</t>
  </si>
  <si>
    <t>Всероссийский мастерский турнир "Ярославль белокаменный IV"
IPL Пауэрлифтинг в бинтах
Ярославль/Ярославская область, 18 сентября 2021 года</t>
  </si>
  <si>
    <t>Всероссийский мастерский турнир "Ярославль белокаменный IV"
IPL Силовое двоеборье без экипировки
Ярославль/Ярославская область, 18 сентября 2021 года</t>
  </si>
  <si>
    <t>Всероссийский мастерский турнир "Ярославль белокаменный IV"
IPL Присед без экипировки ДК
Ярославль/Ярославская область, 18 сентября 2021 года</t>
  </si>
  <si>
    <t>Всероссийский мастерский турнир "Ярославль белокаменный IV"
IPL Жим лежа без экипировки ДК
Ярославль/Ярославская область, 18 сентября 2021 года</t>
  </si>
  <si>
    <t>Всероссийский мастерский турнир "Ярославль белокаменный IV"
IPL Жим лежа без экипировки
Ярославль/Ярославская область, 18 сентября 2021 года</t>
  </si>
  <si>
    <t>Всероссийский мастерский турнир "Ярославль белокаменный IV"
IPL Становая тяга без экипировки ДК
Ярославль/Ярославская область, 18 сентября 2021 года</t>
  </si>
  <si>
    <t>Всероссийский мастерский турнир "Ярославль белокаменный IV"
IPL Становая тяга без экипировки
Ярославль/Ярославская область, 18 сентября 2021 года</t>
  </si>
  <si>
    <t>Всероссийский мастерский турнир "Ярославль белокаменный IV"
СПР Пауэрспорт ДК
Ярославль/Ярославская область, 18 сентября 2021 года</t>
  </si>
  <si>
    <t>Всероссийский мастерский турнир "Ярославль белокаменный IV"
СПР Строгий подъем штанги на бицепс ДК
Ярославль/Ярославская область, 18 сентября 2021 года</t>
  </si>
  <si>
    <t>Всероссийский мастерский турнир "Ярославль белокаменный IV"
СПР Строгий подъем штанги на бицепс
Ярославль/Ярославская область, 18 сентября 2021 года</t>
  </si>
  <si>
    <t>Всероссийский мастерский турнир "Ярославль белокаменный IV"
ФЖД Софт экипировка однослойная двоеборье
Ярославль/Ярославская область, 18 сентября 2021 года</t>
  </si>
  <si>
    <t>Юниорки 20-23 (08.02.1999)/22</t>
  </si>
  <si>
    <t>Мастера 45-49 (04.05.1974)/47</t>
  </si>
  <si>
    <t>Юниоры 20-23 (14.04.2001)/20</t>
  </si>
  <si>
    <t>Юниоры 20-23 (21.07.1998)/23</t>
  </si>
  <si>
    <t>Юниоры 20-23 (03.03.2000)/21</t>
  </si>
  <si>
    <t>Мастера 40-44 (14.04.1978)/43</t>
  </si>
  <si>
    <t>Мастера 40-44 (14.10.1980)/40</t>
  </si>
  <si>
    <t>Мастера 50-54 (01.10.1967)/53</t>
  </si>
  <si>
    <t>Мастера 45-49 (11.02.1973)/48</t>
  </si>
  <si>
    <t>Юниоры 20-23 (24.05.2000)/21</t>
  </si>
  <si>
    <t>Мастера 40-44 (04.06.1980)/41</t>
  </si>
  <si>
    <t>Мастера 50-54 (26.10.1970)/50</t>
  </si>
  <si>
    <t>Мастера 50-59 (14.09.1971)/50</t>
  </si>
  <si>
    <t>Мастера 40-49 (18.11.1979)/41</t>
  </si>
  <si>
    <t>Мастера 60-64 (11.11.1957)/63</t>
  </si>
  <si>
    <t>Мастера 45-49 (11.02.1972)/49</t>
  </si>
  <si>
    <t>Gnabro Kokolou Elisee</t>
  </si>
  <si>
    <t>Ямусукро/Кот-д'Ивуар</t>
  </si>
  <si>
    <t>Весовая категория</t>
  </si>
  <si>
    <t>Герасимов Н.</t>
  </si>
  <si>
    <t>Ухта/Республика Коми</t>
  </si>
  <si>
    <t>Кишинев/Республика Молдова</t>
  </si>
  <si>
    <t>Многоповторный жим</t>
  </si>
  <si>
    <t>№</t>
  </si>
  <si>
    <t>Жим</t>
  </si>
  <si>
    <t xml:space="preserve">
Дата рождения/Возраст</t>
  </si>
  <si>
    <t>Возрастная группа</t>
  </si>
  <si>
    <t>O</t>
  </si>
  <si>
    <t>T</t>
  </si>
  <si>
    <t>J</t>
  </si>
  <si>
    <t>M2</t>
  </si>
  <si>
    <t>M1</t>
  </si>
  <si>
    <t>M3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</si>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</sst>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65BA-F980-4550-A06A-537C2E8CD392}">
  <dimension ref="A1:U34"/>
  <sheetViews>
    <sheetView workbookViewId="0">
      <selection activeCell="E34" sqref="E34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32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28" bestFit="1" customWidth="1"/>
    <col min="20" max="20" width="8.5" style="6" bestFit="1" customWidth="1"/>
    <col min="21" max="21" width="23.6640625" style="5" customWidth="1"/>
    <col min="22" max="16384" width="9.1640625" style="3"/>
  </cols>
  <sheetData>
    <row r="1" spans="1:21" s="2" customFormat="1" ht="29" customHeight="1">
      <c r="A1" s="41" t="s">
        <v>357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9</v>
      </c>
      <c r="H3" s="35"/>
      <c r="I3" s="35"/>
      <c r="J3" s="35"/>
      <c r="K3" s="35" t="s">
        <v>10</v>
      </c>
      <c r="L3" s="35"/>
      <c r="M3" s="35"/>
      <c r="N3" s="35"/>
      <c r="O3" s="35" t="s">
        <v>11</v>
      </c>
      <c r="P3" s="35"/>
      <c r="Q3" s="35"/>
      <c r="R3" s="35"/>
      <c r="S3" s="33" t="s">
        <v>1</v>
      </c>
      <c r="T3" s="35" t="s">
        <v>3</v>
      </c>
      <c r="U3" s="37" t="s">
        <v>2</v>
      </c>
    </row>
    <row r="4" spans="1:21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6"/>
      <c r="U4" s="38"/>
    </row>
    <row r="5" spans="1:21" ht="16">
      <c r="A5" s="39" t="s">
        <v>91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>
      <c r="A6" s="12" t="s">
        <v>87</v>
      </c>
      <c r="B6" s="11" t="s">
        <v>92</v>
      </c>
      <c r="C6" s="11" t="s">
        <v>93</v>
      </c>
      <c r="D6" s="11" t="s">
        <v>94</v>
      </c>
      <c r="E6" s="11" t="s">
        <v>398</v>
      </c>
      <c r="F6" s="11" t="s">
        <v>95</v>
      </c>
      <c r="G6" s="21" t="s">
        <v>18</v>
      </c>
      <c r="H6" s="21" t="s">
        <v>96</v>
      </c>
      <c r="I6" s="22" t="s">
        <v>97</v>
      </c>
      <c r="J6" s="12"/>
      <c r="K6" s="21" t="s">
        <v>98</v>
      </c>
      <c r="L6" s="21" t="s">
        <v>99</v>
      </c>
      <c r="M6" s="21" t="s">
        <v>20</v>
      </c>
      <c r="N6" s="12"/>
      <c r="O6" s="21" t="s">
        <v>100</v>
      </c>
      <c r="P6" s="21" t="s">
        <v>23</v>
      </c>
      <c r="Q6" s="22" t="s">
        <v>101</v>
      </c>
      <c r="R6" s="12"/>
      <c r="S6" s="29" t="str">
        <f>"267,5"</f>
        <v>267,5</v>
      </c>
      <c r="T6" s="12" t="str">
        <f>"358,6640"</f>
        <v>358,6640</v>
      </c>
      <c r="U6" s="11"/>
    </row>
    <row r="7" spans="1:21">
      <c r="B7" s="5" t="s">
        <v>89</v>
      </c>
    </row>
    <row r="8" spans="1:21" ht="16">
      <c r="A8" s="52" t="s">
        <v>102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8" t="s">
        <v>87</v>
      </c>
      <c r="B9" s="7" t="s">
        <v>103</v>
      </c>
      <c r="C9" s="7" t="s">
        <v>104</v>
      </c>
      <c r="D9" s="7" t="s">
        <v>105</v>
      </c>
      <c r="E9" s="7" t="s">
        <v>399</v>
      </c>
      <c r="F9" s="7" t="s">
        <v>37</v>
      </c>
      <c r="G9" s="18" t="s">
        <v>21</v>
      </c>
      <c r="H9" s="18" t="s">
        <v>30</v>
      </c>
      <c r="I9" s="19" t="s">
        <v>106</v>
      </c>
      <c r="J9" s="8"/>
      <c r="K9" s="18" t="s">
        <v>107</v>
      </c>
      <c r="L9" s="18" t="s">
        <v>108</v>
      </c>
      <c r="M9" s="19" t="s">
        <v>98</v>
      </c>
      <c r="N9" s="8"/>
      <c r="O9" s="18" t="s">
        <v>109</v>
      </c>
      <c r="P9" s="18" t="s">
        <v>18</v>
      </c>
      <c r="Q9" s="18" t="s">
        <v>19</v>
      </c>
      <c r="R9" s="8"/>
      <c r="S9" s="30" t="str">
        <f>"212,5"</f>
        <v>212,5</v>
      </c>
      <c r="T9" s="8" t="str">
        <f>"265,3062"</f>
        <v>265,3062</v>
      </c>
      <c r="U9" s="7" t="s">
        <v>44</v>
      </c>
    </row>
    <row r="10" spans="1:21">
      <c r="A10" s="25" t="s">
        <v>87</v>
      </c>
      <c r="B10" s="24" t="s">
        <v>110</v>
      </c>
      <c r="C10" s="24" t="s">
        <v>371</v>
      </c>
      <c r="D10" s="24" t="s">
        <v>111</v>
      </c>
      <c r="E10" s="24" t="s">
        <v>400</v>
      </c>
      <c r="F10" s="24" t="s">
        <v>112</v>
      </c>
      <c r="G10" s="26" t="s">
        <v>113</v>
      </c>
      <c r="H10" s="26" t="s">
        <v>114</v>
      </c>
      <c r="I10" s="26" t="s">
        <v>30</v>
      </c>
      <c r="J10" s="25"/>
      <c r="K10" s="27" t="s">
        <v>115</v>
      </c>
      <c r="L10" s="26" t="s">
        <v>115</v>
      </c>
      <c r="M10" s="26" t="s">
        <v>116</v>
      </c>
      <c r="N10" s="25"/>
      <c r="O10" s="26" t="s">
        <v>21</v>
      </c>
      <c r="P10" s="26" t="s">
        <v>17</v>
      </c>
      <c r="Q10" s="26" t="s">
        <v>96</v>
      </c>
      <c r="R10" s="25"/>
      <c r="S10" s="31" t="str">
        <f>"200,0"</f>
        <v>200,0</v>
      </c>
      <c r="T10" s="25" t="str">
        <f>"255,0000"</f>
        <v>255,0000</v>
      </c>
      <c r="U10" s="24" t="s">
        <v>117</v>
      </c>
    </row>
    <row r="11" spans="1:21">
      <c r="A11" s="10" t="s">
        <v>87</v>
      </c>
      <c r="B11" s="9" t="s">
        <v>118</v>
      </c>
      <c r="C11" s="9" t="s">
        <v>119</v>
      </c>
      <c r="D11" s="9" t="s">
        <v>120</v>
      </c>
      <c r="E11" s="9" t="s">
        <v>398</v>
      </c>
      <c r="F11" s="9" t="s">
        <v>121</v>
      </c>
      <c r="G11" s="20" t="s">
        <v>99</v>
      </c>
      <c r="H11" s="23" t="s">
        <v>99</v>
      </c>
      <c r="I11" s="23" t="s">
        <v>114</v>
      </c>
      <c r="J11" s="10"/>
      <c r="K11" s="23" t="s">
        <v>122</v>
      </c>
      <c r="L11" s="23" t="s">
        <v>123</v>
      </c>
      <c r="M11" s="20" t="s">
        <v>107</v>
      </c>
      <c r="N11" s="10"/>
      <c r="O11" s="23" t="s">
        <v>17</v>
      </c>
      <c r="P11" s="23" t="s">
        <v>19</v>
      </c>
      <c r="Q11" s="20" t="s">
        <v>124</v>
      </c>
      <c r="R11" s="10"/>
      <c r="S11" s="32" t="str">
        <f>"200,0"</f>
        <v>200,0</v>
      </c>
      <c r="T11" s="10" t="str">
        <f>"255,3800"</f>
        <v>255,3800</v>
      </c>
      <c r="U11" s="9" t="s">
        <v>117</v>
      </c>
    </row>
    <row r="12" spans="1:21">
      <c r="B12" s="5" t="s">
        <v>89</v>
      </c>
    </row>
    <row r="13" spans="1:21" ht="16">
      <c r="A13" s="52" t="s">
        <v>12</v>
      </c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21">
      <c r="A14" s="8" t="s">
        <v>87</v>
      </c>
      <c r="B14" s="7" t="s">
        <v>125</v>
      </c>
      <c r="C14" s="7" t="s">
        <v>126</v>
      </c>
      <c r="D14" s="7" t="s">
        <v>127</v>
      </c>
      <c r="E14" s="7" t="s">
        <v>399</v>
      </c>
      <c r="F14" s="7" t="s">
        <v>128</v>
      </c>
      <c r="G14" s="18" t="s">
        <v>19</v>
      </c>
      <c r="H14" s="19" t="s">
        <v>96</v>
      </c>
      <c r="I14" s="8"/>
      <c r="J14" s="8"/>
      <c r="K14" s="18" t="s">
        <v>129</v>
      </c>
      <c r="L14" s="18" t="s">
        <v>20</v>
      </c>
      <c r="M14" s="19" t="s">
        <v>130</v>
      </c>
      <c r="N14" s="8"/>
      <c r="O14" s="18" t="s">
        <v>131</v>
      </c>
      <c r="P14" s="18" t="s">
        <v>101</v>
      </c>
      <c r="Q14" s="18" t="s">
        <v>24</v>
      </c>
      <c r="R14" s="8"/>
      <c r="S14" s="30" t="str">
        <f>"280,0"</f>
        <v>280,0</v>
      </c>
      <c r="T14" s="8" t="str">
        <f>"287,9240"</f>
        <v>287,9240</v>
      </c>
      <c r="U14" s="7" t="s">
        <v>344</v>
      </c>
    </row>
    <row r="15" spans="1:21">
      <c r="A15" s="25" t="s">
        <v>88</v>
      </c>
      <c r="B15" s="24" t="s">
        <v>132</v>
      </c>
      <c r="C15" s="24" t="s">
        <v>133</v>
      </c>
      <c r="D15" s="24" t="s">
        <v>134</v>
      </c>
      <c r="E15" s="24" t="s">
        <v>399</v>
      </c>
      <c r="F15" s="24" t="s">
        <v>342</v>
      </c>
      <c r="G15" s="27" t="s">
        <v>22</v>
      </c>
      <c r="H15" s="26" t="s">
        <v>124</v>
      </c>
      <c r="I15" s="26" t="s">
        <v>100</v>
      </c>
      <c r="J15" s="25"/>
      <c r="K15" s="27" t="s">
        <v>20</v>
      </c>
      <c r="L15" s="27" t="s">
        <v>20</v>
      </c>
      <c r="M15" s="27" t="s">
        <v>20</v>
      </c>
      <c r="N15" s="25"/>
      <c r="O15" s="27"/>
      <c r="P15" s="25"/>
      <c r="Q15" s="25"/>
      <c r="R15" s="25"/>
      <c r="S15" s="31">
        <v>0</v>
      </c>
      <c r="T15" s="25" t="str">
        <f>"0,0000"</f>
        <v>0,0000</v>
      </c>
      <c r="U15" s="24" t="s">
        <v>343</v>
      </c>
    </row>
    <row r="16" spans="1:21">
      <c r="A16" s="10" t="s">
        <v>88</v>
      </c>
      <c r="B16" s="9" t="s">
        <v>132</v>
      </c>
      <c r="C16" s="9" t="s">
        <v>136</v>
      </c>
      <c r="D16" s="9" t="s">
        <v>134</v>
      </c>
      <c r="E16" s="9" t="s">
        <v>398</v>
      </c>
      <c r="F16" s="9" t="s">
        <v>342</v>
      </c>
      <c r="G16" s="20" t="s">
        <v>22</v>
      </c>
      <c r="H16" s="23" t="s">
        <v>124</v>
      </c>
      <c r="I16" s="23" t="s">
        <v>100</v>
      </c>
      <c r="J16" s="10"/>
      <c r="K16" s="20" t="s">
        <v>20</v>
      </c>
      <c r="L16" s="20" t="s">
        <v>20</v>
      </c>
      <c r="M16" s="20" t="s">
        <v>20</v>
      </c>
      <c r="N16" s="10"/>
      <c r="O16" s="20"/>
      <c r="P16" s="10"/>
      <c r="Q16" s="10"/>
      <c r="R16" s="10"/>
      <c r="S16" s="32">
        <v>0</v>
      </c>
      <c r="T16" s="10" t="str">
        <f>"0,0000"</f>
        <v>0,0000</v>
      </c>
      <c r="U16" s="9" t="s">
        <v>343</v>
      </c>
    </row>
    <row r="17" spans="1:21">
      <c r="B17" s="5" t="s">
        <v>89</v>
      </c>
    </row>
    <row r="18" spans="1:21" ht="16">
      <c r="A18" s="52" t="s">
        <v>137</v>
      </c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21">
      <c r="A19" s="12" t="s">
        <v>87</v>
      </c>
      <c r="B19" s="11" t="s">
        <v>138</v>
      </c>
      <c r="C19" s="11" t="s">
        <v>139</v>
      </c>
      <c r="D19" s="11" t="s">
        <v>140</v>
      </c>
      <c r="E19" s="11" t="s">
        <v>398</v>
      </c>
      <c r="F19" s="11" t="s">
        <v>16</v>
      </c>
      <c r="G19" s="22" t="s">
        <v>101</v>
      </c>
      <c r="H19" s="21" t="s">
        <v>101</v>
      </c>
      <c r="I19" s="21" t="s">
        <v>29</v>
      </c>
      <c r="J19" s="12"/>
      <c r="K19" s="21" t="s">
        <v>99</v>
      </c>
      <c r="L19" s="21" t="s">
        <v>20</v>
      </c>
      <c r="M19" s="22" t="s">
        <v>113</v>
      </c>
      <c r="N19" s="12"/>
      <c r="O19" s="21" t="s">
        <v>101</v>
      </c>
      <c r="P19" s="21" t="s">
        <v>24</v>
      </c>
      <c r="Q19" s="21" t="s">
        <v>71</v>
      </c>
      <c r="R19" s="12"/>
      <c r="S19" s="29" t="str">
        <f>"320,0"</f>
        <v>320,0</v>
      </c>
      <c r="T19" s="12" t="str">
        <f>"314,6880"</f>
        <v>314,6880</v>
      </c>
      <c r="U19" s="11" t="s">
        <v>32</v>
      </c>
    </row>
    <row r="20" spans="1:21">
      <c r="B20" s="5" t="s">
        <v>89</v>
      </c>
    </row>
    <row r="21" spans="1:21" ht="16">
      <c r="A21" s="52" t="s">
        <v>12</v>
      </c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</row>
    <row r="22" spans="1:21">
      <c r="A22" s="12" t="s">
        <v>87</v>
      </c>
      <c r="B22" s="11" t="s">
        <v>141</v>
      </c>
      <c r="C22" s="11" t="s">
        <v>142</v>
      </c>
      <c r="D22" s="11" t="s">
        <v>127</v>
      </c>
      <c r="E22" s="11" t="s">
        <v>399</v>
      </c>
      <c r="F22" s="11" t="s">
        <v>143</v>
      </c>
      <c r="G22" s="21" t="s">
        <v>131</v>
      </c>
      <c r="H22" s="22" t="s">
        <v>101</v>
      </c>
      <c r="I22" s="21" t="s">
        <v>101</v>
      </c>
      <c r="J22" s="12"/>
      <c r="K22" s="22" t="s">
        <v>19</v>
      </c>
      <c r="L22" s="21" t="s">
        <v>19</v>
      </c>
      <c r="M22" s="21" t="s">
        <v>135</v>
      </c>
      <c r="N22" s="12"/>
      <c r="O22" s="21" t="s">
        <v>23</v>
      </c>
      <c r="P22" s="22" t="s">
        <v>29</v>
      </c>
      <c r="Q22" s="21" t="s">
        <v>29</v>
      </c>
      <c r="R22" s="12"/>
      <c r="S22" s="29" t="str">
        <f>"340,0"</f>
        <v>340,0</v>
      </c>
      <c r="T22" s="12" t="str">
        <f>"264,3500"</f>
        <v>264,3500</v>
      </c>
      <c r="U22" s="11" t="s">
        <v>144</v>
      </c>
    </row>
    <row r="23" spans="1:21">
      <c r="B23" s="5" t="s">
        <v>89</v>
      </c>
    </row>
    <row r="24" spans="1:21" ht="16">
      <c r="A24" s="52" t="s">
        <v>137</v>
      </c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21">
      <c r="A25" s="12" t="s">
        <v>87</v>
      </c>
      <c r="B25" s="11" t="s">
        <v>145</v>
      </c>
      <c r="C25" s="11" t="s">
        <v>146</v>
      </c>
      <c r="D25" s="11" t="s">
        <v>147</v>
      </c>
      <c r="E25" s="11" t="s">
        <v>399</v>
      </c>
      <c r="F25" s="11" t="s">
        <v>37</v>
      </c>
      <c r="G25" s="21" t="s">
        <v>62</v>
      </c>
      <c r="H25" s="21" t="s">
        <v>79</v>
      </c>
      <c r="I25" s="22" t="s">
        <v>148</v>
      </c>
      <c r="J25" s="12"/>
      <c r="K25" s="22" t="s">
        <v>109</v>
      </c>
      <c r="L25" s="21" t="s">
        <v>109</v>
      </c>
      <c r="M25" s="21" t="s">
        <v>149</v>
      </c>
      <c r="N25" s="12"/>
      <c r="O25" s="21" t="s">
        <v>61</v>
      </c>
      <c r="P25" s="21" t="s">
        <v>150</v>
      </c>
      <c r="Q25" s="22" t="s">
        <v>79</v>
      </c>
      <c r="R25" s="12"/>
      <c r="S25" s="29" t="str">
        <f>"395,0"</f>
        <v>395,0</v>
      </c>
      <c r="T25" s="12" t="str">
        <f>"290,9965"</f>
        <v>290,9965</v>
      </c>
      <c r="U25" s="11" t="s">
        <v>44</v>
      </c>
    </row>
    <row r="26" spans="1:21">
      <c r="B26" s="5" t="s">
        <v>89</v>
      </c>
    </row>
    <row r="27" spans="1:21" ht="16">
      <c r="A27" s="52" t="s">
        <v>33</v>
      </c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21">
      <c r="A28" s="12" t="s">
        <v>87</v>
      </c>
      <c r="B28" s="11" t="s">
        <v>151</v>
      </c>
      <c r="C28" s="11" t="s">
        <v>152</v>
      </c>
      <c r="D28" s="11" t="s">
        <v>153</v>
      </c>
      <c r="E28" s="11" t="s">
        <v>398</v>
      </c>
      <c r="F28" s="11" t="s">
        <v>154</v>
      </c>
      <c r="G28" s="21" t="s">
        <v>53</v>
      </c>
      <c r="H28" s="22" t="s">
        <v>39</v>
      </c>
      <c r="I28" s="21" t="s">
        <v>40</v>
      </c>
      <c r="J28" s="12"/>
      <c r="K28" s="21" t="s">
        <v>22</v>
      </c>
      <c r="L28" s="22" t="s">
        <v>131</v>
      </c>
      <c r="M28" s="21" t="s">
        <v>131</v>
      </c>
      <c r="N28" s="12"/>
      <c r="O28" s="21" t="s">
        <v>53</v>
      </c>
      <c r="P28" s="21" t="s">
        <v>40</v>
      </c>
      <c r="Q28" s="21" t="s">
        <v>42</v>
      </c>
      <c r="R28" s="12"/>
      <c r="S28" s="29" t="str">
        <f>"465,0"</f>
        <v>465,0</v>
      </c>
      <c r="T28" s="12" t="str">
        <f>"303,3195"</f>
        <v>303,3195</v>
      </c>
      <c r="U28" s="11" t="s">
        <v>80</v>
      </c>
    </row>
    <row r="29" spans="1:21">
      <c r="B29" s="5" t="s">
        <v>89</v>
      </c>
    </row>
    <row r="30" spans="1:21" ht="16">
      <c r="A30" s="52" t="s">
        <v>45</v>
      </c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</row>
    <row r="31" spans="1:21">
      <c r="A31" s="8" t="s">
        <v>87</v>
      </c>
      <c r="B31" s="7" t="s">
        <v>155</v>
      </c>
      <c r="C31" s="7" t="s">
        <v>156</v>
      </c>
      <c r="D31" s="7" t="s">
        <v>157</v>
      </c>
      <c r="E31" s="7" t="s">
        <v>398</v>
      </c>
      <c r="F31" s="7" t="s">
        <v>143</v>
      </c>
      <c r="G31" s="19" t="s">
        <v>63</v>
      </c>
      <c r="H31" s="18" t="s">
        <v>63</v>
      </c>
      <c r="I31" s="19" t="s">
        <v>158</v>
      </c>
      <c r="J31" s="8"/>
      <c r="K31" s="18" t="s">
        <v>31</v>
      </c>
      <c r="L31" s="18" t="s">
        <v>53</v>
      </c>
      <c r="M31" s="19" t="s">
        <v>38</v>
      </c>
      <c r="N31" s="8"/>
      <c r="O31" s="18" t="s">
        <v>73</v>
      </c>
      <c r="P31" s="18" t="s">
        <v>74</v>
      </c>
      <c r="Q31" s="8"/>
      <c r="R31" s="8"/>
      <c r="S31" s="30" t="str">
        <f>"605,0"</f>
        <v>605,0</v>
      </c>
      <c r="T31" s="8" t="str">
        <f>"368,5055"</f>
        <v>368,5055</v>
      </c>
      <c r="U31" s="7"/>
    </row>
    <row r="32" spans="1:21">
      <c r="A32" s="25" t="s">
        <v>90</v>
      </c>
      <c r="B32" s="24" t="s">
        <v>160</v>
      </c>
      <c r="C32" s="24" t="s">
        <v>161</v>
      </c>
      <c r="D32" s="24" t="s">
        <v>162</v>
      </c>
      <c r="E32" s="24" t="s">
        <v>398</v>
      </c>
      <c r="F32" s="24" t="s">
        <v>342</v>
      </c>
      <c r="G32" s="26" t="s">
        <v>40</v>
      </c>
      <c r="H32" s="26" t="s">
        <v>60</v>
      </c>
      <c r="I32" s="27" t="s">
        <v>63</v>
      </c>
      <c r="J32" s="25"/>
      <c r="K32" s="26" t="s">
        <v>61</v>
      </c>
      <c r="L32" s="26" t="s">
        <v>150</v>
      </c>
      <c r="M32" s="27" t="s">
        <v>53</v>
      </c>
      <c r="N32" s="25"/>
      <c r="O32" s="26" t="s">
        <v>64</v>
      </c>
      <c r="P32" s="26" t="s">
        <v>70</v>
      </c>
      <c r="Q32" s="25"/>
      <c r="R32" s="25"/>
      <c r="S32" s="31" t="str">
        <f>"567,5"</f>
        <v>567,5</v>
      </c>
      <c r="T32" s="25" t="str">
        <f>"345,7778"</f>
        <v>345,7778</v>
      </c>
      <c r="U32" s="24" t="s">
        <v>163</v>
      </c>
    </row>
    <row r="33" spans="1:21">
      <c r="A33" s="10" t="s">
        <v>87</v>
      </c>
      <c r="B33" s="9" t="s">
        <v>155</v>
      </c>
      <c r="C33" s="9" t="s">
        <v>372</v>
      </c>
      <c r="D33" s="9" t="s">
        <v>157</v>
      </c>
      <c r="E33" s="9" t="s">
        <v>401</v>
      </c>
      <c r="F33" s="9" t="s">
        <v>143</v>
      </c>
      <c r="G33" s="20" t="s">
        <v>63</v>
      </c>
      <c r="H33" s="23" t="s">
        <v>63</v>
      </c>
      <c r="I33" s="20" t="s">
        <v>158</v>
      </c>
      <c r="J33" s="10"/>
      <c r="K33" s="23" t="s">
        <v>31</v>
      </c>
      <c r="L33" s="23" t="s">
        <v>53</v>
      </c>
      <c r="M33" s="20" t="s">
        <v>38</v>
      </c>
      <c r="N33" s="10"/>
      <c r="O33" s="23" t="s">
        <v>73</v>
      </c>
      <c r="P33" s="23" t="s">
        <v>74</v>
      </c>
      <c r="Q33" s="10"/>
      <c r="R33" s="10"/>
      <c r="S33" s="32" t="str">
        <f>"605,0"</f>
        <v>605,0</v>
      </c>
      <c r="T33" s="10" t="str">
        <f>"403,8820"</f>
        <v>403,8820</v>
      </c>
      <c r="U33" s="9"/>
    </row>
    <row r="34" spans="1:21">
      <c r="B34" s="5" t="s">
        <v>89</v>
      </c>
    </row>
  </sheetData>
  <mergeCells count="21">
    <mergeCell ref="A30:R30"/>
    <mergeCell ref="B3:B4"/>
    <mergeCell ref="A8:R8"/>
    <mergeCell ref="A13:R13"/>
    <mergeCell ref="A18:R18"/>
    <mergeCell ref="A21:R21"/>
    <mergeCell ref="A24:R24"/>
    <mergeCell ref="A27:R27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91BA-6D89-4DC4-8330-408C4692667A}">
  <dimension ref="A1:M13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1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41" t="s">
        <v>366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11</v>
      </c>
      <c r="H3" s="35"/>
      <c r="I3" s="35"/>
      <c r="J3" s="35"/>
      <c r="K3" s="35" t="s">
        <v>213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12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12" t="s">
        <v>87</v>
      </c>
      <c r="B6" s="11" t="s">
        <v>26</v>
      </c>
      <c r="C6" s="11" t="s">
        <v>27</v>
      </c>
      <c r="D6" s="11" t="s">
        <v>28</v>
      </c>
      <c r="E6" s="11" t="s">
        <v>398</v>
      </c>
      <c r="F6" s="11" t="s">
        <v>16</v>
      </c>
      <c r="G6" s="21" t="s">
        <v>62</v>
      </c>
      <c r="H6" s="21" t="s">
        <v>53</v>
      </c>
      <c r="I6" s="22" t="s">
        <v>39</v>
      </c>
      <c r="J6" s="12"/>
      <c r="K6" s="12" t="str">
        <f>"160,0"</f>
        <v>160,0</v>
      </c>
      <c r="L6" s="12" t="str">
        <f>"163,4720"</f>
        <v>163,4720</v>
      </c>
      <c r="M6" s="11" t="s">
        <v>32</v>
      </c>
    </row>
    <row r="7" spans="1:13">
      <c r="B7" s="5" t="s">
        <v>89</v>
      </c>
    </row>
    <row r="8" spans="1:13" ht="16">
      <c r="A8" s="52" t="s">
        <v>33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12" t="s">
        <v>87</v>
      </c>
      <c r="B9" s="11" t="s">
        <v>306</v>
      </c>
      <c r="C9" s="11" t="s">
        <v>307</v>
      </c>
      <c r="D9" s="11" t="s">
        <v>308</v>
      </c>
      <c r="E9" s="11" t="s">
        <v>398</v>
      </c>
      <c r="F9" s="11" t="s">
        <v>16</v>
      </c>
      <c r="G9" s="21" t="s">
        <v>54</v>
      </c>
      <c r="H9" s="21" t="s">
        <v>55</v>
      </c>
      <c r="I9" s="22" t="s">
        <v>309</v>
      </c>
      <c r="J9" s="12"/>
      <c r="K9" s="12" t="str">
        <f>"300,0"</f>
        <v>300,0</v>
      </c>
      <c r="L9" s="12" t="str">
        <f>"193,4100"</f>
        <v>193,4100</v>
      </c>
      <c r="M9" s="11"/>
    </row>
    <row r="10" spans="1:13">
      <c r="B10" s="5" t="s">
        <v>89</v>
      </c>
    </row>
    <row r="11" spans="1:13" ht="16">
      <c r="A11" s="52" t="s">
        <v>66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12" t="s">
        <v>87</v>
      </c>
      <c r="B12" s="11" t="s">
        <v>310</v>
      </c>
      <c r="C12" s="11" t="s">
        <v>311</v>
      </c>
      <c r="D12" s="11" t="s">
        <v>312</v>
      </c>
      <c r="E12" s="11" t="s">
        <v>398</v>
      </c>
      <c r="F12" s="11" t="s">
        <v>95</v>
      </c>
      <c r="G12" s="21" t="s">
        <v>51</v>
      </c>
      <c r="H12" s="22" t="s">
        <v>52</v>
      </c>
      <c r="I12" s="22" t="s">
        <v>52</v>
      </c>
      <c r="J12" s="12"/>
      <c r="K12" s="12" t="str">
        <f>"260,0"</f>
        <v>260,0</v>
      </c>
      <c r="L12" s="12" t="str">
        <f>"156,5460"</f>
        <v>156,5460</v>
      </c>
      <c r="M12" s="11" t="s">
        <v>354</v>
      </c>
    </row>
    <row r="13" spans="1:13">
      <c r="B13" s="5" t="s">
        <v>89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055C-054E-4B68-8A71-4138D3A6DA26}">
  <dimension ref="A1:Q10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20.8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1" style="5" bestFit="1" customWidth="1"/>
    <col min="7" max="14" width="5.33203125" style="6" customWidth="1"/>
    <col min="15" max="15" width="7.6640625" style="6" bestFit="1" customWidth="1"/>
    <col min="16" max="16" width="8.5" style="6" bestFit="1" customWidth="1"/>
    <col min="17" max="17" width="15.83203125" style="5" bestFit="1" customWidth="1"/>
    <col min="18" max="16384" width="9.1640625" style="3"/>
  </cols>
  <sheetData>
    <row r="1" spans="1:17" s="2" customFormat="1" ht="29" customHeight="1">
      <c r="A1" s="41" t="s">
        <v>367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1:17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395</v>
      </c>
      <c r="H3" s="35"/>
      <c r="I3" s="35"/>
      <c r="J3" s="35"/>
      <c r="K3" s="35" t="s">
        <v>341</v>
      </c>
      <c r="L3" s="35"/>
      <c r="M3" s="35"/>
      <c r="N3" s="35"/>
      <c r="O3" s="35" t="s">
        <v>1</v>
      </c>
      <c r="P3" s="35" t="s">
        <v>3</v>
      </c>
      <c r="Q3" s="37" t="s">
        <v>2</v>
      </c>
    </row>
    <row r="4" spans="1:17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6"/>
      <c r="P4" s="36"/>
      <c r="Q4" s="38"/>
    </row>
    <row r="5" spans="1:17" ht="16">
      <c r="A5" s="39" t="s">
        <v>137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>
      <c r="A6" s="12" t="s">
        <v>87</v>
      </c>
      <c r="B6" s="11" t="s">
        <v>329</v>
      </c>
      <c r="C6" s="11" t="s">
        <v>383</v>
      </c>
      <c r="D6" s="11" t="s">
        <v>330</v>
      </c>
      <c r="E6" s="11" t="s">
        <v>401</v>
      </c>
      <c r="F6" s="11" t="s">
        <v>331</v>
      </c>
      <c r="G6" s="21" t="s">
        <v>130</v>
      </c>
      <c r="H6" s="22" t="s">
        <v>21</v>
      </c>
      <c r="I6" s="21" t="s">
        <v>21</v>
      </c>
      <c r="J6" s="12"/>
      <c r="K6" s="21" t="s">
        <v>20</v>
      </c>
      <c r="L6" s="21" t="s">
        <v>113</v>
      </c>
      <c r="M6" s="22" t="s">
        <v>130</v>
      </c>
      <c r="N6" s="12"/>
      <c r="O6" s="12" t="str">
        <f>"132,5"</f>
        <v>132,5</v>
      </c>
      <c r="P6" s="12" t="str">
        <f>"105,3166"</f>
        <v>105,3166</v>
      </c>
      <c r="Q6" s="11"/>
    </row>
    <row r="7" spans="1:17">
      <c r="B7" s="5" t="s">
        <v>89</v>
      </c>
    </row>
    <row r="8" spans="1:17" ht="16">
      <c r="A8" s="52" t="s">
        <v>176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7">
      <c r="A9" s="12" t="s">
        <v>87</v>
      </c>
      <c r="B9" s="11" t="s">
        <v>325</v>
      </c>
      <c r="C9" s="11" t="s">
        <v>326</v>
      </c>
      <c r="D9" s="11" t="s">
        <v>327</v>
      </c>
      <c r="E9" s="11" t="s">
        <v>398</v>
      </c>
      <c r="F9" s="11" t="s">
        <v>16</v>
      </c>
      <c r="G9" s="21" t="s">
        <v>17</v>
      </c>
      <c r="H9" s="22" t="s">
        <v>109</v>
      </c>
      <c r="I9" s="22" t="s">
        <v>109</v>
      </c>
      <c r="J9" s="12"/>
      <c r="K9" s="21" t="s">
        <v>20</v>
      </c>
      <c r="L9" s="21" t="s">
        <v>113</v>
      </c>
      <c r="M9" s="21" t="s">
        <v>130</v>
      </c>
      <c r="N9" s="12"/>
      <c r="O9" s="12" t="str">
        <f>"145,0"</f>
        <v>145,0</v>
      </c>
      <c r="P9" s="12" t="str">
        <f>"94,8300"</f>
        <v>94,8300</v>
      </c>
      <c r="Q9" s="11"/>
    </row>
    <row r="10" spans="1:17">
      <c r="B10" s="5" t="s">
        <v>89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30B3-ABB8-43B6-971A-D1380A43D2FD}">
  <dimension ref="A1:M11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1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41" t="s">
        <v>368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395</v>
      </c>
      <c r="H3" s="35"/>
      <c r="I3" s="35"/>
      <c r="J3" s="35"/>
      <c r="K3" s="35" t="s">
        <v>213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176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8" t="s">
        <v>87</v>
      </c>
      <c r="B6" s="7" t="s">
        <v>321</v>
      </c>
      <c r="C6" s="7" t="s">
        <v>322</v>
      </c>
      <c r="D6" s="7" t="s">
        <v>323</v>
      </c>
      <c r="E6" s="7" t="s">
        <v>398</v>
      </c>
      <c r="F6" s="7" t="s">
        <v>324</v>
      </c>
      <c r="G6" s="18" t="s">
        <v>113</v>
      </c>
      <c r="H6" s="18" t="s">
        <v>114</v>
      </c>
      <c r="I6" s="19" t="s">
        <v>106</v>
      </c>
      <c r="J6" s="8"/>
      <c r="K6" s="8" t="str">
        <f>"67,5"</f>
        <v>67,5</v>
      </c>
      <c r="L6" s="8" t="str">
        <f>"44,9820"</f>
        <v>44,9820</v>
      </c>
      <c r="M6" s="7"/>
    </row>
    <row r="7" spans="1:13">
      <c r="A7" s="10" t="s">
        <v>90</v>
      </c>
      <c r="B7" s="9" t="s">
        <v>325</v>
      </c>
      <c r="C7" s="9" t="s">
        <v>326</v>
      </c>
      <c r="D7" s="9" t="s">
        <v>327</v>
      </c>
      <c r="E7" s="9" t="s">
        <v>398</v>
      </c>
      <c r="F7" s="9" t="s">
        <v>16</v>
      </c>
      <c r="G7" s="23" t="s">
        <v>20</v>
      </c>
      <c r="H7" s="23" t="s">
        <v>113</v>
      </c>
      <c r="I7" s="23" t="s">
        <v>130</v>
      </c>
      <c r="J7" s="10"/>
      <c r="K7" s="10" t="str">
        <f>"65,0"</f>
        <v>65,0</v>
      </c>
      <c r="L7" s="10" t="str">
        <f>"42,5100"</f>
        <v>42,5100</v>
      </c>
      <c r="M7" s="9"/>
    </row>
    <row r="8" spans="1:13">
      <c r="B8" s="5" t="s">
        <v>89</v>
      </c>
    </row>
    <row r="9" spans="1:13" ht="16">
      <c r="A9" s="52" t="s">
        <v>33</v>
      </c>
      <c r="B9" s="52"/>
      <c r="C9" s="53"/>
      <c r="D9" s="53"/>
      <c r="E9" s="53"/>
      <c r="F9" s="53"/>
      <c r="G9" s="53"/>
      <c r="H9" s="53"/>
      <c r="I9" s="53"/>
      <c r="J9" s="53"/>
    </row>
    <row r="10" spans="1:13">
      <c r="A10" s="12" t="s">
        <v>87</v>
      </c>
      <c r="B10" s="11" t="s">
        <v>328</v>
      </c>
      <c r="C10" s="11" t="s">
        <v>384</v>
      </c>
      <c r="D10" s="11" t="s">
        <v>36</v>
      </c>
      <c r="E10" s="11" t="s">
        <v>402</v>
      </c>
      <c r="F10" s="11" t="s">
        <v>143</v>
      </c>
      <c r="G10" s="21" t="s">
        <v>20</v>
      </c>
      <c r="H10" s="21" t="s">
        <v>113</v>
      </c>
      <c r="I10" s="21" t="s">
        <v>130</v>
      </c>
      <c r="J10" s="12"/>
      <c r="K10" s="12" t="str">
        <f>"65,0"</f>
        <v>65,0</v>
      </c>
      <c r="L10" s="12" t="str">
        <f>"40,7358"</f>
        <v>40,7358</v>
      </c>
      <c r="M10" s="11"/>
    </row>
    <row r="11" spans="1:13">
      <c r="B11" s="5" t="s">
        <v>89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24CE-1C74-49B8-A8F5-A1FC6BFC0B27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1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41" t="s">
        <v>369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395</v>
      </c>
      <c r="H3" s="35"/>
      <c r="I3" s="35"/>
      <c r="J3" s="35"/>
      <c r="K3" s="35" t="s">
        <v>213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45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12" t="s">
        <v>87</v>
      </c>
      <c r="B6" s="11" t="s">
        <v>198</v>
      </c>
      <c r="C6" s="11" t="s">
        <v>199</v>
      </c>
      <c r="D6" s="11" t="s">
        <v>200</v>
      </c>
      <c r="E6" s="11" t="s">
        <v>398</v>
      </c>
      <c r="F6" s="11" t="s">
        <v>16</v>
      </c>
      <c r="G6" s="22" t="s">
        <v>130</v>
      </c>
      <c r="H6" s="21" t="s">
        <v>21</v>
      </c>
      <c r="I6" s="22" t="s">
        <v>106</v>
      </c>
      <c r="J6" s="12"/>
      <c r="K6" s="12" t="str">
        <f>"70,0"</f>
        <v>70,0</v>
      </c>
      <c r="L6" s="12" t="str">
        <f>"42,2555"</f>
        <v>42,2555</v>
      </c>
      <c r="M6" s="11"/>
    </row>
    <row r="7" spans="1:13">
      <c r="B7" s="5" t="s">
        <v>89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791F-E9E2-4F7E-82D6-A04E01CAF340}">
  <dimension ref="A1:O12"/>
  <sheetViews>
    <sheetView tabSelected="1" workbookViewId="0">
      <selection sqref="A1:O2"/>
    </sheetView>
  </sheetViews>
  <sheetFormatPr baseColWidth="10" defaultColWidth="9.1640625" defaultRowHeight="13"/>
  <cols>
    <col min="1" max="1" width="7.1640625" style="5" bestFit="1" customWidth="1"/>
    <col min="2" max="2" width="18.6640625" style="5" customWidth="1"/>
    <col min="3" max="3" width="28.6640625" style="5" bestFit="1" customWidth="1"/>
    <col min="4" max="4" width="20.83203125" style="5" bestFit="1" customWidth="1"/>
    <col min="5" max="5" width="15.83203125" style="5" customWidth="1"/>
    <col min="6" max="6" width="27.5" style="5" bestFit="1" customWidth="1"/>
    <col min="7" max="9" width="5.5" style="6" customWidth="1"/>
    <col min="10" max="10" width="4.5" style="6" customWidth="1"/>
    <col min="11" max="11" width="10" style="6" customWidth="1"/>
    <col min="12" max="12" width="17.5" style="6" customWidth="1"/>
    <col min="13" max="13" width="7.6640625" style="6" bestFit="1" customWidth="1"/>
    <col min="14" max="14" width="9.5" style="6" bestFit="1" customWidth="1"/>
    <col min="15" max="15" width="20.33203125" style="5" customWidth="1"/>
    <col min="16" max="16384" width="9.1640625" style="3"/>
  </cols>
  <sheetData>
    <row r="1" spans="1:15" s="2" customFormat="1" ht="29" customHeight="1">
      <c r="A1" s="41" t="s">
        <v>370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10</v>
      </c>
      <c r="H3" s="35"/>
      <c r="I3" s="35"/>
      <c r="J3" s="35"/>
      <c r="K3" s="35" t="s">
        <v>393</v>
      </c>
      <c r="L3" s="35"/>
      <c r="M3" s="35" t="s">
        <v>1</v>
      </c>
      <c r="N3" s="35" t="s">
        <v>3</v>
      </c>
      <c r="O3" s="37" t="s">
        <v>2</v>
      </c>
    </row>
    <row r="4" spans="1:15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36"/>
      <c r="N4" s="36"/>
      <c r="O4" s="38"/>
    </row>
    <row r="5" spans="1:15" ht="16">
      <c r="A5" s="39" t="s">
        <v>33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5">
      <c r="A6" s="12" t="s">
        <v>87</v>
      </c>
      <c r="B6" s="11" t="s">
        <v>332</v>
      </c>
      <c r="C6" s="11" t="s">
        <v>333</v>
      </c>
      <c r="D6" s="11" t="s">
        <v>334</v>
      </c>
      <c r="E6" s="11" t="s">
        <v>398</v>
      </c>
      <c r="F6" s="11" t="s">
        <v>121</v>
      </c>
      <c r="G6" s="22" t="s">
        <v>39</v>
      </c>
      <c r="H6" s="22" t="s">
        <v>42</v>
      </c>
      <c r="I6" s="22" t="s">
        <v>42</v>
      </c>
      <c r="J6" s="12"/>
      <c r="K6" s="12"/>
      <c r="L6" s="12"/>
      <c r="M6" s="12" t="s">
        <v>159</v>
      </c>
      <c r="N6" s="12" t="s">
        <v>356</v>
      </c>
      <c r="O6" s="11" t="s">
        <v>355</v>
      </c>
    </row>
    <row r="7" spans="1:15">
      <c r="B7" s="5" t="s">
        <v>89</v>
      </c>
    </row>
    <row r="8" spans="1:15" ht="16">
      <c r="A8" s="52" t="s">
        <v>66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5">
      <c r="A9" s="12" t="s">
        <v>87</v>
      </c>
      <c r="B9" s="11" t="s">
        <v>335</v>
      </c>
      <c r="C9" s="11" t="s">
        <v>385</v>
      </c>
      <c r="D9" s="11" t="s">
        <v>336</v>
      </c>
      <c r="E9" s="11" t="s">
        <v>404</v>
      </c>
      <c r="F9" s="11" t="s">
        <v>121</v>
      </c>
      <c r="G9" s="22" t="s">
        <v>78</v>
      </c>
      <c r="H9" s="22" t="s">
        <v>78</v>
      </c>
      <c r="I9" s="21" t="s">
        <v>78</v>
      </c>
      <c r="J9" s="12"/>
      <c r="K9" s="12" t="s">
        <v>131</v>
      </c>
      <c r="L9" s="12" t="s">
        <v>337</v>
      </c>
      <c r="M9" s="12" t="str">
        <f>"215,0"</f>
        <v>215,0</v>
      </c>
      <c r="N9" s="12" t="str">
        <f>"7594,9997"</f>
        <v>7594,9997</v>
      </c>
      <c r="O9" s="11"/>
    </row>
    <row r="10" spans="1:15" ht="14" thickBot="1">
      <c r="B10" s="5" t="s">
        <v>89</v>
      </c>
    </row>
    <row r="11" spans="1:15" ht="16">
      <c r="A11" s="39" t="s">
        <v>338</v>
      </c>
      <c r="B11" s="39"/>
      <c r="C11" s="40"/>
      <c r="D11" s="40"/>
      <c r="E11" s="40"/>
      <c r="F11" s="40"/>
      <c r="G11" s="40"/>
      <c r="H11" s="40"/>
      <c r="I11" s="40"/>
      <c r="J11" s="40"/>
      <c r="M11" s="5"/>
      <c r="N11" s="3"/>
      <c r="O11" s="3"/>
    </row>
    <row r="12" spans="1:15">
      <c r="A12" s="12" t="s">
        <v>87</v>
      </c>
      <c r="B12" s="11" t="s">
        <v>339</v>
      </c>
      <c r="C12" s="11" t="s">
        <v>386</v>
      </c>
      <c r="D12" s="11" t="s">
        <v>340</v>
      </c>
      <c r="E12" s="11" t="s">
        <v>401</v>
      </c>
      <c r="F12" s="11" t="s">
        <v>95</v>
      </c>
      <c r="G12" s="22" t="s">
        <v>185</v>
      </c>
      <c r="H12" s="21" t="s">
        <v>185</v>
      </c>
      <c r="I12" s="22" t="s">
        <v>51</v>
      </c>
      <c r="J12" s="12"/>
      <c r="K12" s="12" t="str">
        <f>"250,0"</f>
        <v>250,0</v>
      </c>
      <c r="L12" s="12" t="str">
        <f>"164,3947"</f>
        <v>164,3947</v>
      </c>
      <c r="M12" s="11"/>
      <c r="N12" s="3"/>
      <c r="O12" s="3"/>
    </row>
  </sheetData>
  <mergeCells count="15">
    <mergeCell ref="A11:J11"/>
    <mergeCell ref="A8:L8"/>
    <mergeCell ref="B3:B4"/>
    <mergeCell ref="K3:L3"/>
    <mergeCell ref="M3:M4"/>
    <mergeCell ref="N3:N4"/>
    <mergeCell ref="O3:O4"/>
    <mergeCell ref="A5:L5"/>
    <mergeCell ref="A1:O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19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1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28" bestFit="1" customWidth="1"/>
    <col min="20" max="20" width="8.5" style="6" bestFit="1" customWidth="1"/>
    <col min="21" max="21" width="20.33203125" style="5" bestFit="1" customWidth="1"/>
    <col min="22" max="16384" width="9.1640625" style="3"/>
  </cols>
  <sheetData>
    <row r="1" spans="1:21" s="2" customFormat="1" ht="29" customHeight="1">
      <c r="A1" s="41" t="s">
        <v>358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9</v>
      </c>
      <c r="H3" s="35"/>
      <c r="I3" s="35"/>
      <c r="J3" s="35"/>
      <c r="K3" s="35" t="s">
        <v>10</v>
      </c>
      <c r="L3" s="35"/>
      <c r="M3" s="35"/>
      <c r="N3" s="35"/>
      <c r="O3" s="35" t="s">
        <v>11</v>
      </c>
      <c r="P3" s="35"/>
      <c r="Q3" s="35"/>
      <c r="R3" s="35"/>
      <c r="S3" s="33" t="s">
        <v>1</v>
      </c>
      <c r="T3" s="35" t="s">
        <v>3</v>
      </c>
      <c r="U3" s="37" t="s">
        <v>2</v>
      </c>
    </row>
    <row r="4" spans="1:21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6"/>
      <c r="U4" s="38"/>
    </row>
    <row r="5" spans="1:21" ht="16">
      <c r="A5" s="39" t="s">
        <v>12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>
      <c r="A6" s="8" t="s">
        <v>87</v>
      </c>
      <c r="B6" s="7" t="s">
        <v>13</v>
      </c>
      <c r="C6" s="7" t="s">
        <v>14</v>
      </c>
      <c r="D6" s="7" t="s">
        <v>15</v>
      </c>
      <c r="E6" s="7" t="s">
        <v>398</v>
      </c>
      <c r="F6" s="7" t="s">
        <v>16</v>
      </c>
      <c r="G6" s="18" t="s">
        <v>17</v>
      </c>
      <c r="H6" s="19" t="s">
        <v>18</v>
      </c>
      <c r="I6" s="19" t="s">
        <v>19</v>
      </c>
      <c r="J6" s="8"/>
      <c r="K6" s="18" t="s">
        <v>20</v>
      </c>
      <c r="L6" s="19" t="s">
        <v>21</v>
      </c>
      <c r="M6" s="19" t="s">
        <v>21</v>
      </c>
      <c r="N6" s="8"/>
      <c r="O6" s="18" t="s">
        <v>22</v>
      </c>
      <c r="P6" s="18" t="s">
        <v>23</v>
      </c>
      <c r="Q6" s="18" t="s">
        <v>24</v>
      </c>
      <c r="R6" s="8"/>
      <c r="S6" s="30" t="str">
        <f>"270,0"</f>
        <v>270,0</v>
      </c>
      <c r="T6" s="8" t="str">
        <f>"280,7190"</f>
        <v>280,7190</v>
      </c>
      <c r="U6" s="7" t="s">
        <v>25</v>
      </c>
    </row>
    <row r="7" spans="1:21">
      <c r="A7" s="10" t="s">
        <v>88</v>
      </c>
      <c r="B7" s="9" t="s">
        <v>26</v>
      </c>
      <c r="C7" s="9" t="s">
        <v>27</v>
      </c>
      <c r="D7" s="9" t="s">
        <v>28</v>
      </c>
      <c r="E7" s="9" t="s">
        <v>398</v>
      </c>
      <c r="F7" s="9" t="s">
        <v>16</v>
      </c>
      <c r="G7" s="20" t="s">
        <v>29</v>
      </c>
      <c r="H7" s="20" t="s">
        <v>29</v>
      </c>
      <c r="I7" s="20" t="s">
        <v>29</v>
      </c>
      <c r="J7" s="10"/>
      <c r="K7" s="20"/>
      <c r="L7" s="10"/>
      <c r="M7" s="10"/>
      <c r="N7" s="10"/>
      <c r="O7" s="20"/>
      <c r="P7" s="10"/>
      <c r="Q7" s="10"/>
      <c r="R7" s="10"/>
      <c r="S7" s="32">
        <v>0</v>
      </c>
      <c r="T7" s="10" t="str">
        <f>"0,0000"</f>
        <v>0,0000</v>
      </c>
      <c r="U7" s="9" t="s">
        <v>32</v>
      </c>
    </row>
    <row r="8" spans="1:21">
      <c r="B8" s="5" t="s">
        <v>89</v>
      </c>
    </row>
    <row r="9" spans="1:21" ht="16">
      <c r="A9" s="52" t="s">
        <v>33</v>
      </c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1">
      <c r="A10" s="12" t="s">
        <v>87</v>
      </c>
      <c r="B10" s="11" t="s">
        <v>34</v>
      </c>
      <c r="C10" s="11" t="s">
        <v>35</v>
      </c>
      <c r="D10" s="11" t="s">
        <v>36</v>
      </c>
      <c r="E10" s="11" t="s">
        <v>398</v>
      </c>
      <c r="F10" s="11" t="s">
        <v>37</v>
      </c>
      <c r="G10" s="21" t="s">
        <v>38</v>
      </c>
      <c r="H10" s="21" t="s">
        <v>39</v>
      </c>
      <c r="I10" s="22" t="s">
        <v>40</v>
      </c>
      <c r="J10" s="12"/>
      <c r="K10" s="21" t="s">
        <v>22</v>
      </c>
      <c r="L10" s="22" t="s">
        <v>41</v>
      </c>
      <c r="M10" s="22" t="s">
        <v>41</v>
      </c>
      <c r="N10" s="12"/>
      <c r="O10" s="21" t="s">
        <v>39</v>
      </c>
      <c r="P10" s="21" t="s">
        <v>42</v>
      </c>
      <c r="Q10" s="22" t="s">
        <v>43</v>
      </c>
      <c r="R10" s="12"/>
      <c r="S10" s="29" t="str">
        <f>"450,0"</f>
        <v>450,0</v>
      </c>
      <c r="T10" s="12" t="str">
        <f>"291,0150"</f>
        <v>291,0150</v>
      </c>
      <c r="U10" s="11" t="s">
        <v>44</v>
      </c>
    </row>
    <row r="11" spans="1:21">
      <c r="B11" s="5" t="s">
        <v>89</v>
      </c>
    </row>
    <row r="12" spans="1:21" ht="16">
      <c r="A12" s="52" t="s">
        <v>45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21">
      <c r="A13" s="8" t="s">
        <v>87</v>
      </c>
      <c r="B13" s="7" t="s">
        <v>46</v>
      </c>
      <c r="C13" s="7" t="s">
        <v>47</v>
      </c>
      <c r="D13" s="7" t="s">
        <v>48</v>
      </c>
      <c r="E13" s="7" t="s">
        <v>398</v>
      </c>
      <c r="F13" s="7" t="s">
        <v>49</v>
      </c>
      <c r="G13" s="18" t="s">
        <v>50</v>
      </c>
      <c r="H13" s="18" t="s">
        <v>51</v>
      </c>
      <c r="I13" s="18" t="s">
        <v>52</v>
      </c>
      <c r="J13" s="8"/>
      <c r="K13" s="18" t="s">
        <v>53</v>
      </c>
      <c r="L13" s="18" t="s">
        <v>39</v>
      </c>
      <c r="M13" s="18" t="s">
        <v>42</v>
      </c>
      <c r="N13" s="8"/>
      <c r="O13" s="18" t="s">
        <v>54</v>
      </c>
      <c r="P13" s="18" t="s">
        <v>55</v>
      </c>
      <c r="Q13" s="18" t="s">
        <v>56</v>
      </c>
      <c r="R13" s="8"/>
      <c r="S13" s="30" t="str">
        <f>"770,0"</f>
        <v>770,0</v>
      </c>
      <c r="T13" s="8" t="str">
        <f>"473,9350"</f>
        <v>473,9350</v>
      </c>
      <c r="U13" s="7"/>
    </row>
    <row r="14" spans="1:21">
      <c r="A14" s="10" t="s">
        <v>90</v>
      </c>
      <c r="B14" s="9" t="s">
        <v>57</v>
      </c>
      <c r="C14" s="9" t="s">
        <v>58</v>
      </c>
      <c r="D14" s="9" t="s">
        <v>59</v>
      </c>
      <c r="E14" s="9" t="s">
        <v>398</v>
      </c>
      <c r="F14" s="9" t="s">
        <v>37</v>
      </c>
      <c r="G14" s="23" t="s">
        <v>39</v>
      </c>
      <c r="H14" s="23" t="s">
        <v>42</v>
      </c>
      <c r="I14" s="23" t="s">
        <v>60</v>
      </c>
      <c r="J14" s="10"/>
      <c r="K14" s="23" t="s">
        <v>61</v>
      </c>
      <c r="L14" s="23" t="s">
        <v>62</v>
      </c>
      <c r="M14" s="23" t="s">
        <v>31</v>
      </c>
      <c r="N14" s="10"/>
      <c r="O14" s="23" t="s">
        <v>63</v>
      </c>
      <c r="P14" s="23" t="s">
        <v>64</v>
      </c>
      <c r="Q14" s="23" t="s">
        <v>65</v>
      </c>
      <c r="R14" s="10"/>
      <c r="S14" s="32" t="str">
        <f>"565,0"</f>
        <v>565,0</v>
      </c>
      <c r="T14" s="10" t="str">
        <f>"347,0230"</f>
        <v>347,0230</v>
      </c>
      <c r="U14" s="9" t="s">
        <v>44</v>
      </c>
    </row>
    <row r="15" spans="1:21">
      <c r="B15" s="5" t="s">
        <v>89</v>
      </c>
    </row>
    <row r="16" spans="1:21" ht="16">
      <c r="A16" s="52" t="s">
        <v>66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21">
      <c r="A17" s="8" t="s">
        <v>87</v>
      </c>
      <c r="B17" s="7" t="s">
        <v>67</v>
      </c>
      <c r="C17" s="7" t="s">
        <v>68</v>
      </c>
      <c r="D17" s="7" t="s">
        <v>69</v>
      </c>
      <c r="E17" s="7" t="s">
        <v>398</v>
      </c>
      <c r="F17" s="7" t="s">
        <v>16</v>
      </c>
      <c r="G17" s="19" t="s">
        <v>22</v>
      </c>
      <c r="H17" s="18" t="s">
        <v>65</v>
      </c>
      <c r="I17" s="19" t="s">
        <v>70</v>
      </c>
      <c r="J17" s="8"/>
      <c r="K17" s="18" t="s">
        <v>24</v>
      </c>
      <c r="L17" s="18" t="s">
        <v>71</v>
      </c>
      <c r="M17" s="18" t="s">
        <v>72</v>
      </c>
      <c r="N17" s="8"/>
      <c r="O17" s="18" t="s">
        <v>70</v>
      </c>
      <c r="P17" s="18" t="s">
        <v>73</v>
      </c>
      <c r="Q17" s="18" t="s">
        <v>74</v>
      </c>
      <c r="R17" s="8"/>
      <c r="S17" s="30" t="str">
        <f>"605,0"</f>
        <v>605,0</v>
      </c>
      <c r="T17" s="8" t="str">
        <f>"357,3735"</f>
        <v>357,3735</v>
      </c>
      <c r="U17" s="7" t="s">
        <v>80</v>
      </c>
    </row>
    <row r="18" spans="1:21">
      <c r="A18" s="10" t="s">
        <v>90</v>
      </c>
      <c r="B18" s="9" t="s">
        <v>75</v>
      </c>
      <c r="C18" s="9" t="s">
        <v>76</v>
      </c>
      <c r="D18" s="9" t="s">
        <v>77</v>
      </c>
      <c r="E18" s="9" t="s">
        <v>398</v>
      </c>
      <c r="F18" s="9" t="s">
        <v>16</v>
      </c>
      <c r="G18" s="20" t="s">
        <v>60</v>
      </c>
      <c r="H18" s="20" t="s">
        <v>78</v>
      </c>
      <c r="I18" s="23" t="s">
        <v>63</v>
      </c>
      <c r="J18" s="10"/>
      <c r="K18" s="23" t="s">
        <v>62</v>
      </c>
      <c r="L18" s="20" t="s">
        <v>79</v>
      </c>
      <c r="M18" s="23" t="s">
        <v>79</v>
      </c>
      <c r="N18" s="10"/>
      <c r="O18" s="23" t="s">
        <v>64</v>
      </c>
      <c r="P18" s="20" t="s">
        <v>70</v>
      </c>
      <c r="Q18" s="20" t="s">
        <v>70</v>
      </c>
      <c r="R18" s="10"/>
      <c r="S18" s="32" t="str">
        <f>"567,5"</f>
        <v>567,5</v>
      </c>
      <c r="T18" s="10" t="str">
        <f>"341,1243"</f>
        <v>341,1243</v>
      </c>
      <c r="U18" s="9" t="s">
        <v>80</v>
      </c>
    </row>
    <row r="19" spans="1:21">
      <c r="B19" s="5" t="s">
        <v>89</v>
      </c>
    </row>
  </sheetData>
  <mergeCells count="17">
    <mergeCell ref="A5:R5"/>
    <mergeCell ref="A9:R9"/>
    <mergeCell ref="A12:R12"/>
    <mergeCell ref="A16:R16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730B-CFDE-4C24-8553-E670E8925BE2}">
  <dimension ref="A1:U14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9.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3.66406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9.6640625" style="5" customWidth="1"/>
    <col min="22" max="16384" width="9.1640625" style="3"/>
  </cols>
  <sheetData>
    <row r="1" spans="1:21" s="2" customFormat="1" ht="29" customHeight="1">
      <c r="A1" s="41" t="s">
        <v>359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9</v>
      </c>
      <c r="H3" s="35"/>
      <c r="I3" s="35"/>
      <c r="J3" s="35"/>
      <c r="K3" s="35" t="s">
        <v>10</v>
      </c>
      <c r="L3" s="35"/>
      <c r="M3" s="35"/>
      <c r="N3" s="35"/>
      <c r="O3" s="35" t="s">
        <v>11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6"/>
      <c r="T4" s="36"/>
      <c r="U4" s="38"/>
    </row>
    <row r="5" spans="1:21" ht="16">
      <c r="A5" s="39" t="s">
        <v>137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>
      <c r="A6" s="12" t="s">
        <v>87</v>
      </c>
      <c r="B6" s="11" t="s">
        <v>173</v>
      </c>
      <c r="C6" s="11" t="s">
        <v>174</v>
      </c>
      <c r="D6" s="11" t="s">
        <v>175</v>
      </c>
      <c r="E6" s="11" t="s">
        <v>398</v>
      </c>
      <c r="F6" s="11" t="s">
        <v>342</v>
      </c>
      <c r="G6" s="21" t="s">
        <v>71</v>
      </c>
      <c r="H6" s="21" t="s">
        <v>62</v>
      </c>
      <c r="I6" s="21" t="s">
        <v>53</v>
      </c>
      <c r="J6" s="12"/>
      <c r="K6" s="21" t="s">
        <v>22</v>
      </c>
      <c r="L6" s="21" t="s">
        <v>100</v>
      </c>
      <c r="M6" s="22" t="s">
        <v>131</v>
      </c>
      <c r="N6" s="12"/>
      <c r="O6" s="21" t="s">
        <v>101</v>
      </c>
      <c r="P6" s="21" t="s">
        <v>72</v>
      </c>
      <c r="Q6" s="21" t="s">
        <v>31</v>
      </c>
      <c r="R6" s="12"/>
      <c r="S6" s="12" t="str">
        <f>"422,5"</f>
        <v>422,5</v>
      </c>
      <c r="T6" s="12" t="str">
        <f>"324,6067"</f>
        <v>324,6067</v>
      </c>
      <c r="U6" s="11" t="s">
        <v>163</v>
      </c>
    </row>
    <row r="7" spans="1:21">
      <c r="B7" s="5" t="s">
        <v>89</v>
      </c>
    </row>
    <row r="8" spans="1:21" ht="16">
      <c r="A8" s="52" t="s">
        <v>176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8" t="s">
        <v>87</v>
      </c>
      <c r="B9" s="7" t="s">
        <v>177</v>
      </c>
      <c r="C9" s="7" t="s">
        <v>178</v>
      </c>
      <c r="D9" s="7" t="s">
        <v>179</v>
      </c>
      <c r="E9" s="7" t="s">
        <v>398</v>
      </c>
      <c r="F9" s="7" t="s">
        <v>342</v>
      </c>
      <c r="G9" s="18" t="s">
        <v>39</v>
      </c>
      <c r="H9" s="18" t="s">
        <v>42</v>
      </c>
      <c r="I9" s="18" t="s">
        <v>60</v>
      </c>
      <c r="J9" s="8"/>
      <c r="K9" s="18" t="s">
        <v>23</v>
      </c>
      <c r="L9" s="18" t="s">
        <v>101</v>
      </c>
      <c r="M9" s="18" t="s">
        <v>29</v>
      </c>
      <c r="N9" s="8"/>
      <c r="O9" s="19" t="s">
        <v>62</v>
      </c>
      <c r="P9" s="18" t="s">
        <v>53</v>
      </c>
      <c r="Q9" s="18" t="s">
        <v>38</v>
      </c>
      <c r="R9" s="8"/>
      <c r="S9" s="8" t="str">
        <f>"480,0"</f>
        <v>480,0</v>
      </c>
      <c r="T9" s="8" t="str">
        <f>"323,4720"</f>
        <v>323,4720</v>
      </c>
      <c r="U9" s="7" t="s">
        <v>163</v>
      </c>
    </row>
    <row r="10" spans="1:21">
      <c r="A10" s="10" t="s">
        <v>90</v>
      </c>
      <c r="B10" s="9" t="s">
        <v>180</v>
      </c>
      <c r="C10" s="9" t="s">
        <v>181</v>
      </c>
      <c r="D10" s="9" t="s">
        <v>182</v>
      </c>
      <c r="E10" s="9" t="s">
        <v>398</v>
      </c>
      <c r="F10" s="9" t="s">
        <v>342</v>
      </c>
      <c r="G10" s="23" t="s">
        <v>62</v>
      </c>
      <c r="H10" s="23" t="s">
        <v>53</v>
      </c>
      <c r="I10" s="23" t="s">
        <v>39</v>
      </c>
      <c r="J10" s="10"/>
      <c r="K10" s="23" t="s">
        <v>22</v>
      </c>
      <c r="L10" s="23" t="s">
        <v>131</v>
      </c>
      <c r="M10" s="23" t="s">
        <v>23</v>
      </c>
      <c r="N10" s="10"/>
      <c r="O10" s="23" t="s">
        <v>39</v>
      </c>
      <c r="P10" s="23" t="s">
        <v>42</v>
      </c>
      <c r="Q10" s="23" t="s">
        <v>60</v>
      </c>
      <c r="R10" s="10"/>
      <c r="S10" s="10" t="str">
        <f>"475,0"</f>
        <v>475,0</v>
      </c>
      <c r="T10" s="10" t="str">
        <f>"327,1800"</f>
        <v>327,1800</v>
      </c>
      <c r="U10" s="9" t="s">
        <v>163</v>
      </c>
    </row>
    <row r="11" spans="1:21">
      <c r="B11" s="5" t="s">
        <v>89</v>
      </c>
    </row>
    <row r="12" spans="1:21" ht="16">
      <c r="A12" s="52" t="s">
        <v>183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21">
      <c r="A13" s="12" t="s">
        <v>87</v>
      </c>
      <c r="B13" s="11" t="s">
        <v>387</v>
      </c>
      <c r="C13" s="11" t="s">
        <v>184</v>
      </c>
      <c r="D13" s="11" t="s">
        <v>345</v>
      </c>
      <c r="E13" s="11" t="s">
        <v>398</v>
      </c>
      <c r="F13" s="11" t="s">
        <v>388</v>
      </c>
      <c r="G13" s="21" t="s">
        <v>185</v>
      </c>
      <c r="H13" s="21" t="s">
        <v>51</v>
      </c>
      <c r="I13" s="12"/>
      <c r="J13" s="12"/>
      <c r="K13" s="21" t="s">
        <v>62</v>
      </c>
      <c r="L13" s="21" t="s">
        <v>53</v>
      </c>
      <c r="M13" s="12"/>
      <c r="N13" s="12"/>
      <c r="O13" s="21" t="s">
        <v>185</v>
      </c>
      <c r="P13" s="21" t="s">
        <v>51</v>
      </c>
      <c r="Q13" s="12"/>
      <c r="R13" s="12"/>
      <c r="S13" s="12" t="str">
        <f>"680,0"</f>
        <v>680,0</v>
      </c>
      <c r="T13" s="12" t="str">
        <f>"387,4640"</f>
        <v>387,4640</v>
      </c>
      <c r="U13" s="11" t="s">
        <v>163</v>
      </c>
    </row>
    <row r="14" spans="1:21">
      <c r="B14" s="5" t="s">
        <v>89</v>
      </c>
    </row>
  </sheetData>
  <mergeCells count="16">
    <mergeCell ref="A8:R8"/>
    <mergeCell ref="A12:R1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CA64-7A06-4AEC-A46C-C8574EF17D86}">
  <dimension ref="A1:U7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5.6640625" style="5" bestFit="1" customWidth="1"/>
    <col min="3" max="3" width="25.1640625" style="5" bestFit="1" customWidth="1"/>
    <col min="4" max="4" width="14.83203125" style="5" bestFit="1" customWidth="1"/>
    <col min="5" max="5" width="6.5" style="5" bestFit="1" customWidth="1"/>
    <col min="6" max="6" width="31" style="5" bestFit="1" customWidth="1"/>
    <col min="7" max="18" width="5.5" style="6" customWidth="1"/>
    <col min="19" max="19" width="7.6640625" style="28" bestFit="1" customWidth="1"/>
    <col min="20" max="20" width="9.5" style="6" customWidth="1"/>
    <col min="21" max="21" width="15.83203125" style="5" bestFit="1" customWidth="1"/>
    <col min="22" max="16384" width="9.1640625" style="3"/>
  </cols>
  <sheetData>
    <row r="1" spans="1:21" s="2" customFormat="1" ht="29" customHeight="1">
      <c r="A1" s="41" t="s">
        <v>360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9</v>
      </c>
      <c r="H3" s="35"/>
      <c r="I3" s="35"/>
      <c r="J3" s="35"/>
      <c r="K3" s="35" t="s">
        <v>10</v>
      </c>
      <c r="L3" s="35"/>
      <c r="M3" s="35"/>
      <c r="N3" s="35"/>
      <c r="O3" s="35" t="s">
        <v>11</v>
      </c>
      <c r="P3" s="35"/>
      <c r="Q3" s="35"/>
      <c r="R3" s="35"/>
      <c r="S3" s="33" t="s">
        <v>1</v>
      </c>
      <c r="T3" s="35" t="s">
        <v>3</v>
      </c>
      <c r="U3" s="37" t="s">
        <v>2</v>
      </c>
    </row>
    <row r="4" spans="1:21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6"/>
      <c r="U4" s="38"/>
    </row>
    <row r="5" spans="1:21" ht="16">
      <c r="A5" s="39" t="s">
        <v>45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>
      <c r="A6" s="12" t="s">
        <v>88</v>
      </c>
      <c r="B6" s="11" t="s">
        <v>169</v>
      </c>
      <c r="C6" s="11" t="s">
        <v>170</v>
      </c>
      <c r="D6" s="11" t="s">
        <v>171</v>
      </c>
      <c r="E6" s="11" t="s">
        <v>398</v>
      </c>
      <c r="F6" s="11" t="s">
        <v>16</v>
      </c>
      <c r="G6" s="22" t="s">
        <v>52</v>
      </c>
      <c r="H6" s="22" t="s">
        <v>54</v>
      </c>
      <c r="I6" s="22" t="s">
        <v>172</v>
      </c>
      <c r="J6" s="12"/>
      <c r="K6" s="22"/>
      <c r="L6" s="12"/>
      <c r="M6" s="12"/>
      <c r="N6" s="12"/>
      <c r="O6" s="22"/>
      <c r="P6" s="12"/>
      <c r="Q6" s="12"/>
      <c r="R6" s="12"/>
      <c r="S6" s="29">
        <v>0</v>
      </c>
      <c r="T6" s="12" t="str">
        <f>"0,0000"</f>
        <v>0,0000</v>
      </c>
      <c r="U6" s="11"/>
    </row>
    <row r="7" spans="1:21">
      <c r="B7" s="5" t="s">
        <v>89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F6BAB-F465-4106-A951-D153B1F91392}">
  <dimension ref="A1:Q7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21.16406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1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18.6640625" style="5" customWidth="1"/>
    <col min="18" max="16384" width="9.1640625" style="3"/>
  </cols>
  <sheetData>
    <row r="1" spans="1:17" s="2" customFormat="1" ht="29" customHeight="1">
      <c r="A1" s="41" t="s">
        <v>361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1:17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10</v>
      </c>
      <c r="H3" s="35"/>
      <c r="I3" s="35"/>
      <c r="J3" s="35"/>
      <c r="K3" s="35" t="s">
        <v>11</v>
      </c>
      <c r="L3" s="35"/>
      <c r="M3" s="35"/>
      <c r="N3" s="35"/>
      <c r="O3" s="35" t="s">
        <v>1</v>
      </c>
      <c r="P3" s="35" t="s">
        <v>3</v>
      </c>
      <c r="Q3" s="37" t="s">
        <v>2</v>
      </c>
    </row>
    <row r="4" spans="1:17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6"/>
      <c r="P4" s="36"/>
      <c r="Q4" s="38"/>
    </row>
    <row r="5" spans="1:17" ht="16">
      <c r="A5" s="39" t="s">
        <v>45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>
      <c r="A6" s="12" t="s">
        <v>87</v>
      </c>
      <c r="B6" s="11" t="s">
        <v>169</v>
      </c>
      <c r="C6" s="11" t="s">
        <v>170</v>
      </c>
      <c r="D6" s="11" t="s">
        <v>171</v>
      </c>
      <c r="E6" s="11" t="s">
        <v>398</v>
      </c>
      <c r="F6" s="11" t="s">
        <v>16</v>
      </c>
      <c r="G6" s="21" t="s">
        <v>78</v>
      </c>
      <c r="H6" s="21" t="s">
        <v>63</v>
      </c>
      <c r="I6" s="22" t="s">
        <v>205</v>
      </c>
      <c r="J6" s="12"/>
      <c r="K6" s="21" t="s">
        <v>52</v>
      </c>
      <c r="L6" s="21" t="s">
        <v>172</v>
      </c>
      <c r="M6" s="21" t="s">
        <v>55</v>
      </c>
      <c r="N6" s="12"/>
      <c r="O6" s="12" t="str">
        <f>"500,0"</f>
        <v>500,0</v>
      </c>
      <c r="P6" s="12" t="str">
        <f>"306,0500"</f>
        <v>306,0500</v>
      </c>
      <c r="Q6" s="11"/>
    </row>
    <row r="7" spans="1:17">
      <c r="B7" s="5" t="s">
        <v>89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6C2FA-6326-4D48-902E-3FD4E5470062}">
  <dimension ref="A1:M1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9.3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41" t="s">
        <v>362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9</v>
      </c>
      <c r="H3" s="35"/>
      <c r="I3" s="35"/>
      <c r="J3" s="35"/>
      <c r="K3" s="35" t="s">
        <v>213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12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12" t="s">
        <v>87</v>
      </c>
      <c r="B6" s="11" t="s">
        <v>132</v>
      </c>
      <c r="C6" s="11" t="s">
        <v>133</v>
      </c>
      <c r="D6" s="11" t="s">
        <v>134</v>
      </c>
      <c r="E6" s="11" t="s">
        <v>399</v>
      </c>
      <c r="F6" s="11" t="s">
        <v>342</v>
      </c>
      <c r="G6" s="22" t="s">
        <v>22</v>
      </c>
      <c r="H6" s="21" t="s">
        <v>124</v>
      </c>
      <c r="I6" s="21" t="s">
        <v>100</v>
      </c>
      <c r="J6" s="12"/>
      <c r="K6" s="12" t="str">
        <f>"107,5"</f>
        <v>107,5</v>
      </c>
      <c r="L6" s="12" t="str">
        <f>"111,5205"</f>
        <v>111,5205</v>
      </c>
      <c r="M6" s="11" t="s">
        <v>343</v>
      </c>
    </row>
    <row r="7" spans="1:13">
      <c r="B7" s="5" t="s">
        <v>89</v>
      </c>
    </row>
    <row r="8" spans="1:13" ht="16">
      <c r="A8" s="52" t="s">
        <v>45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12" t="s">
        <v>87</v>
      </c>
      <c r="B9" s="11" t="s">
        <v>155</v>
      </c>
      <c r="C9" s="11" t="s">
        <v>372</v>
      </c>
      <c r="D9" s="11" t="s">
        <v>157</v>
      </c>
      <c r="E9" s="11" t="s">
        <v>401</v>
      </c>
      <c r="F9" s="11" t="s">
        <v>143</v>
      </c>
      <c r="G9" s="22" t="s">
        <v>63</v>
      </c>
      <c r="H9" s="21" t="s">
        <v>63</v>
      </c>
      <c r="I9" s="22" t="s">
        <v>158</v>
      </c>
      <c r="J9" s="12"/>
      <c r="K9" s="12" t="str">
        <f>"200,0"</f>
        <v>200,0</v>
      </c>
      <c r="L9" s="12" t="str">
        <f>"133,5147"</f>
        <v>133,5147</v>
      </c>
      <c r="M9" s="11"/>
    </row>
    <row r="10" spans="1:13">
      <c r="B10" s="5" t="s">
        <v>89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4724-155C-4C0F-B0DD-B5D4EC11C2A1}">
  <dimension ref="A1:M70"/>
  <sheetViews>
    <sheetView topLeftCell="A17" workbookViewId="0">
      <selection activeCell="E55" sqref="E55"/>
    </sheetView>
  </sheetViews>
  <sheetFormatPr baseColWidth="10" defaultColWidth="9.1640625" defaultRowHeight="13"/>
  <cols>
    <col min="1" max="1" width="7.1640625" style="5" bestFit="1" customWidth="1"/>
    <col min="2" max="2" width="20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3.1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31" style="5" bestFit="1" customWidth="1"/>
    <col min="14" max="16384" width="9.1640625" style="3"/>
  </cols>
  <sheetData>
    <row r="1" spans="1:13" s="2" customFormat="1" ht="29" customHeight="1">
      <c r="A1" s="41" t="s">
        <v>363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10</v>
      </c>
      <c r="H3" s="35"/>
      <c r="I3" s="35"/>
      <c r="J3" s="35"/>
      <c r="K3" s="35" t="s">
        <v>213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102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12" t="s">
        <v>87</v>
      </c>
      <c r="B6" s="11" t="s">
        <v>214</v>
      </c>
      <c r="C6" s="11" t="s">
        <v>215</v>
      </c>
      <c r="D6" s="11" t="s">
        <v>216</v>
      </c>
      <c r="E6" s="11" t="s">
        <v>398</v>
      </c>
      <c r="F6" s="11" t="s">
        <v>217</v>
      </c>
      <c r="G6" s="21" t="s">
        <v>20</v>
      </c>
      <c r="H6" s="21" t="s">
        <v>130</v>
      </c>
      <c r="I6" s="22" t="s">
        <v>114</v>
      </c>
      <c r="J6" s="12"/>
      <c r="K6" s="12" t="str">
        <f>"65,0"</f>
        <v>65,0</v>
      </c>
      <c r="L6" s="12" t="str">
        <f>"85,4295"</f>
        <v>85,4295</v>
      </c>
      <c r="M6" s="11" t="s">
        <v>390</v>
      </c>
    </row>
    <row r="7" spans="1:13">
      <c r="B7" s="5" t="s">
        <v>89</v>
      </c>
    </row>
    <row r="8" spans="1:13" ht="16">
      <c r="A8" s="52" t="s">
        <v>218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12" t="s">
        <v>87</v>
      </c>
      <c r="B9" s="11" t="s">
        <v>219</v>
      </c>
      <c r="C9" s="11" t="s">
        <v>220</v>
      </c>
      <c r="D9" s="11" t="s">
        <v>221</v>
      </c>
      <c r="E9" s="11" t="s">
        <v>398</v>
      </c>
      <c r="F9" s="11" t="s">
        <v>222</v>
      </c>
      <c r="G9" s="21" t="s">
        <v>123</v>
      </c>
      <c r="H9" s="21" t="s">
        <v>107</v>
      </c>
      <c r="I9" s="21" t="s">
        <v>108</v>
      </c>
      <c r="J9" s="12"/>
      <c r="K9" s="12" t="str">
        <f>"50,0"</f>
        <v>50,0</v>
      </c>
      <c r="L9" s="12" t="str">
        <f>"61,0600"</f>
        <v>61,0600</v>
      </c>
      <c r="M9" s="11" t="s">
        <v>349</v>
      </c>
    </row>
    <row r="10" spans="1:13">
      <c r="B10" s="5" t="s">
        <v>89</v>
      </c>
    </row>
    <row r="11" spans="1:13" ht="16">
      <c r="A11" s="52" t="s">
        <v>223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12" t="s">
        <v>87</v>
      </c>
      <c r="B12" s="11" t="s">
        <v>224</v>
      </c>
      <c r="C12" s="11" t="s">
        <v>225</v>
      </c>
      <c r="D12" s="11" t="s">
        <v>226</v>
      </c>
      <c r="E12" s="11" t="s">
        <v>398</v>
      </c>
      <c r="F12" s="11" t="s">
        <v>222</v>
      </c>
      <c r="G12" s="21" t="s">
        <v>122</v>
      </c>
      <c r="H12" s="21" t="s">
        <v>227</v>
      </c>
      <c r="I12" s="21" t="s">
        <v>123</v>
      </c>
      <c r="J12" s="12"/>
      <c r="K12" s="12" t="str">
        <f>"42,5"</f>
        <v>42,5</v>
      </c>
      <c r="L12" s="12" t="str">
        <f>"49,9375"</f>
        <v>49,9375</v>
      </c>
      <c r="M12" s="11" t="s">
        <v>349</v>
      </c>
    </row>
    <row r="13" spans="1:13">
      <c r="B13" s="5" t="s">
        <v>89</v>
      </c>
    </row>
    <row r="14" spans="1:13" ht="16">
      <c r="A14" s="52" t="s">
        <v>12</v>
      </c>
      <c r="B14" s="52"/>
      <c r="C14" s="53"/>
      <c r="D14" s="53"/>
      <c r="E14" s="53"/>
      <c r="F14" s="53"/>
      <c r="G14" s="53"/>
      <c r="H14" s="53"/>
      <c r="I14" s="53"/>
      <c r="J14" s="53"/>
    </row>
    <row r="15" spans="1:13">
      <c r="A15" s="12" t="s">
        <v>87</v>
      </c>
      <c r="B15" s="11" t="s">
        <v>228</v>
      </c>
      <c r="C15" s="11" t="s">
        <v>229</v>
      </c>
      <c r="D15" s="11" t="s">
        <v>230</v>
      </c>
      <c r="E15" s="11" t="s">
        <v>398</v>
      </c>
      <c r="F15" s="11" t="s">
        <v>222</v>
      </c>
      <c r="G15" s="21" t="s">
        <v>108</v>
      </c>
      <c r="H15" s="21" t="s">
        <v>98</v>
      </c>
      <c r="I15" s="21" t="s">
        <v>99</v>
      </c>
      <c r="J15" s="12"/>
      <c r="K15" s="12" t="str">
        <f>"57,5"</f>
        <v>57,5</v>
      </c>
      <c r="L15" s="12" t="str">
        <f>"61,5307"</f>
        <v>61,5307</v>
      </c>
      <c r="M15" s="11" t="s">
        <v>349</v>
      </c>
    </row>
    <row r="16" spans="1:13">
      <c r="B16" s="5" t="s">
        <v>89</v>
      </c>
    </row>
    <row r="17" spans="1:13" ht="16">
      <c r="A17" s="52" t="s">
        <v>33</v>
      </c>
      <c r="B17" s="52"/>
      <c r="C17" s="53"/>
      <c r="D17" s="53"/>
      <c r="E17" s="53"/>
      <c r="F17" s="53"/>
      <c r="G17" s="53"/>
      <c r="H17" s="53"/>
      <c r="I17" s="53"/>
      <c r="J17" s="53"/>
    </row>
    <row r="18" spans="1:13">
      <c r="A18" s="12" t="s">
        <v>87</v>
      </c>
      <c r="B18" s="11" t="s">
        <v>231</v>
      </c>
      <c r="C18" s="11" t="s">
        <v>232</v>
      </c>
      <c r="D18" s="11" t="s">
        <v>233</v>
      </c>
      <c r="E18" s="11" t="s">
        <v>398</v>
      </c>
      <c r="F18" s="11" t="s">
        <v>234</v>
      </c>
      <c r="G18" s="21" t="s">
        <v>17</v>
      </c>
      <c r="H18" s="21" t="s">
        <v>19</v>
      </c>
      <c r="I18" s="21" t="s">
        <v>135</v>
      </c>
      <c r="J18" s="12"/>
      <c r="K18" s="12" t="str">
        <f>"95,0"</f>
        <v>95,0</v>
      </c>
      <c r="L18" s="12" t="str">
        <f>"82,2035"</f>
        <v>82,2035</v>
      </c>
      <c r="M18" s="11" t="s">
        <v>350</v>
      </c>
    </row>
    <row r="19" spans="1:13">
      <c r="B19" s="5" t="s">
        <v>89</v>
      </c>
    </row>
    <row r="20" spans="1:13" ht="16">
      <c r="A20" s="52" t="s">
        <v>102</v>
      </c>
      <c r="B20" s="52"/>
      <c r="C20" s="53"/>
      <c r="D20" s="53"/>
      <c r="E20" s="53"/>
      <c r="F20" s="53"/>
      <c r="G20" s="53"/>
      <c r="H20" s="53"/>
      <c r="I20" s="53"/>
      <c r="J20" s="53"/>
    </row>
    <row r="21" spans="1:13">
      <c r="A21" s="8" t="s">
        <v>87</v>
      </c>
      <c r="B21" s="7" t="s">
        <v>235</v>
      </c>
      <c r="C21" s="7" t="s">
        <v>236</v>
      </c>
      <c r="D21" s="7" t="s">
        <v>237</v>
      </c>
      <c r="E21" s="7" t="s">
        <v>399</v>
      </c>
      <c r="F21" s="7" t="s">
        <v>222</v>
      </c>
      <c r="G21" s="18" t="s">
        <v>227</v>
      </c>
      <c r="H21" s="18" t="s">
        <v>238</v>
      </c>
      <c r="I21" s="19" t="s">
        <v>107</v>
      </c>
      <c r="J21" s="8"/>
      <c r="K21" s="8" t="str">
        <f>"45,0"</f>
        <v>45,0</v>
      </c>
      <c r="L21" s="8" t="str">
        <f>"60,0930"</f>
        <v>60,0930</v>
      </c>
      <c r="M21" s="7" t="s">
        <v>349</v>
      </c>
    </row>
    <row r="22" spans="1:13">
      <c r="A22" s="10" t="s">
        <v>90</v>
      </c>
      <c r="B22" s="9" t="s">
        <v>239</v>
      </c>
      <c r="C22" s="9" t="s">
        <v>240</v>
      </c>
      <c r="D22" s="9" t="s">
        <v>241</v>
      </c>
      <c r="E22" s="9" t="s">
        <v>399</v>
      </c>
      <c r="F22" s="9" t="s">
        <v>143</v>
      </c>
      <c r="G22" s="23" t="s">
        <v>116</v>
      </c>
      <c r="H22" s="23" t="s">
        <v>227</v>
      </c>
      <c r="I22" s="23" t="s">
        <v>123</v>
      </c>
      <c r="J22" s="10"/>
      <c r="K22" s="10" t="str">
        <f>"42,5"</f>
        <v>42,5</v>
      </c>
      <c r="L22" s="10" t="str">
        <f>"52,9975"</f>
        <v>52,9975</v>
      </c>
      <c r="M22" s="9" t="s">
        <v>351</v>
      </c>
    </row>
    <row r="23" spans="1:13">
      <c r="B23" s="5" t="s">
        <v>89</v>
      </c>
    </row>
    <row r="24" spans="1:13" ht="16">
      <c r="A24" s="52" t="s">
        <v>218</v>
      </c>
      <c r="B24" s="52"/>
      <c r="C24" s="53"/>
      <c r="D24" s="53"/>
      <c r="E24" s="53"/>
      <c r="F24" s="53"/>
      <c r="G24" s="53"/>
      <c r="H24" s="53"/>
      <c r="I24" s="53"/>
      <c r="J24" s="53"/>
    </row>
    <row r="25" spans="1:13">
      <c r="A25" s="12" t="s">
        <v>87</v>
      </c>
      <c r="B25" s="11" t="s">
        <v>242</v>
      </c>
      <c r="C25" s="11" t="s">
        <v>243</v>
      </c>
      <c r="D25" s="11" t="s">
        <v>244</v>
      </c>
      <c r="E25" s="11" t="s">
        <v>399</v>
      </c>
      <c r="F25" s="11" t="s">
        <v>222</v>
      </c>
      <c r="G25" s="21" t="s">
        <v>129</v>
      </c>
      <c r="H25" s="21" t="s">
        <v>20</v>
      </c>
      <c r="I25" s="21" t="s">
        <v>113</v>
      </c>
      <c r="J25" s="12"/>
      <c r="K25" s="12" t="str">
        <f>"62,5"</f>
        <v>62,5</v>
      </c>
      <c r="L25" s="12" t="str">
        <f>"60,6000"</f>
        <v>60,6000</v>
      </c>
      <c r="M25" s="11" t="s">
        <v>349</v>
      </c>
    </row>
    <row r="26" spans="1:13">
      <c r="B26" s="5" t="s">
        <v>89</v>
      </c>
    </row>
    <row r="27" spans="1:13" ht="16">
      <c r="A27" s="52" t="s">
        <v>137</v>
      </c>
      <c r="B27" s="52"/>
      <c r="C27" s="53"/>
      <c r="D27" s="53"/>
      <c r="E27" s="53"/>
      <c r="F27" s="53"/>
      <c r="G27" s="53"/>
      <c r="H27" s="53"/>
      <c r="I27" s="53"/>
      <c r="J27" s="53"/>
    </row>
    <row r="28" spans="1:13">
      <c r="A28" s="8" t="s">
        <v>87</v>
      </c>
      <c r="B28" s="7" t="s">
        <v>245</v>
      </c>
      <c r="C28" s="7" t="s">
        <v>246</v>
      </c>
      <c r="D28" s="7" t="s">
        <v>247</v>
      </c>
      <c r="E28" s="7" t="s">
        <v>399</v>
      </c>
      <c r="F28" s="7" t="s">
        <v>222</v>
      </c>
      <c r="G28" s="18" t="s">
        <v>135</v>
      </c>
      <c r="H28" s="18" t="s">
        <v>22</v>
      </c>
      <c r="I28" s="18" t="s">
        <v>41</v>
      </c>
      <c r="J28" s="8"/>
      <c r="K28" s="8" t="str">
        <f>"105,0"</f>
        <v>105,0</v>
      </c>
      <c r="L28" s="8" t="str">
        <f>"79,2960"</f>
        <v>79,2960</v>
      </c>
      <c r="M28" s="7" t="s">
        <v>349</v>
      </c>
    </row>
    <row r="29" spans="1:13">
      <c r="A29" s="25" t="s">
        <v>90</v>
      </c>
      <c r="B29" s="24" t="s">
        <v>248</v>
      </c>
      <c r="C29" s="24" t="s">
        <v>249</v>
      </c>
      <c r="D29" s="24" t="s">
        <v>250</v>
      </c>
      <c r="E29" s="24" t="s">
        <v>399</v>
      </c>
      <c r="F29" s="24" t="s">
        <v>251</v>
      </c>
      <c r="G29" s="26" t="s">
        <v>130</v>
      </c>
      <c r="H29" s="27" t="s">
        <v>21</v>
      </c>
      <c r="I29" s="26" t="s">
        <v>21</v>
      </c>
      <c r="J29" s="25"/>
      <c r="K29" s="25" t="str">
        <f>"70,0"</f>
        <v>70,0</v>
      </c>
      <c r="L29" s="25" t="str">
        <f>"49,9730"</f>
        <v>49,9730</v>
      </c>
      <c r="M29" s="24"/>
    </row>
    <row r="30" spans="1:13">
      <c r="A30" s="25" t="s">
        <v>305</v>
      </c>
      <c r="B30" s="24" t="s">
        <v>252</v>
      </c>
      <c r="C30" s="24" t="s">
        <v>253</v>
      </c>
      <c r="D30" s="24" t="s">
        <v>254</v>
      </c>
      <c r="E30" s="24" t="s">
        <v>399</v>
      </c>
      <c r="F30" s="24" t="s">
        <v>222</v>
      </c>
      <c r="G30" s="26" t="s">
        <v>108</v>
      </c>
      <c r="H30" s="26" t="s">
        <v>129</v>
      </c>
      <c r="I30" s="26" t="s">
        <v>113</v>
      </c>
      <c r="J30" s="25"/>
      <c r="K30" s="25" t="str">
        <f>"62,5"</f>
        <v>62,5</v>
      </c>
      <c r="L30" s="25" t="str">
        <f>"46,1875"</f>
        <v>46,1875</v>
      </c>
      <c r="M30" s="24" t="s">
        <v>349</v>
      </c>
    </row>
    <row r="31" spans="1:13">
      <c r="A31" s="10" t="s">
        <v>87</v>
      </c>
      <c r="B31" s="9" t="s">
        <v>255</v>
      </c>
      <c r="C31" s="9" t="s">
        <v>373</v>
      </c>
      <c r="D31" s="9" t="s">
        <v>256</v>
      </c>
      <c r="E31" s="9" t="s">
        <v>400</v>
      </c>
      <c r="F31" s="9" t="s">
        <v>16</v>
      </c>
      <c r="G31" s="23" t="s">
        <v>257</v>
      </c>
      <c r="H31" s="23" t="s">
        <v>71</v>
      </c>
      <c r="I31" s="23" t="s">
        <v>61</v>
      </c>
      <c r="J31" s="10"/>
      <c r="K31" s="10" t="str">
        <f>"145,0"</f>
        <v>145,0</v>
      </c>
      <c r="L31" s="10" t="str">
        <f>"105,8500"</f>
        <v>105,8500</v>
      </c>
      <c r="M31" s="9"/>
    </row>
    <row r="32" spans="1:13">
      <c r="B32" s="5" t="s">
        <v>89</v>
      </c>
    </row>
    <row r="33" spans="1:13" ht="16">
      <c r="A33" s="52" t="s">
        <v>176</v>
      </c>
      <c r="B33" s="52"/>
      <c r="C33" s="53"/>
      <c r="D33" s="53"/>
      <c r="E33" s="53"/>
      <c r="F33" s="53"/>
      <c r="G33" s="53"/>
      <c r="H33" s="53"/>
      <c r="I33" s="53"/>
      <c r="J33" s="53"/>
    </row>
    <row r="34" spans="1:13">
      <c r="A34" s="8" t="s">
        <v>87</v>
      </c>
      <c r="B34" s="7" t="s">
        <v>258</v>
      </c>
      <c r="C34" s="7" t="s">
        <v>259</v>
      </c>
      <c r="D34" s="7" t="s">
        <v>260</v>
      </c>
      <c r="E34" s="7" t="s">
        <v>399</v>
      </c>
      <c r="F34" s="7" t="s">
        <v>222</v>
      </c>
      <c r="G34" s="18" t="s">
        <v>19</v>
      </c>
      <c r="H34" s="18" t="s">
        <v>22</v>
      </c>
      <c r="I34" s="19" t="s">
        <v>100</v>
      </c>
      <c r="J34" s="8"/>
      <c r="K34" s="8" t="str">
        <f>"100,0"</f>
        <v>100,0</v>
      </c>
      <c r="L34" s="8" t="str">
        <f>"66,9900"</f>
        <v>66,9900</v>
      </c>
      <c r="M34" s="7" t="s">
        <v>349</v>
      </c>
    </row>
    <row r="35" spans="1:13">
      <c r="A35" s="25" t="s">
        <v>87</v>
      </c>
      <c r="B35" s="24" t="s">
        <v>261</v>
      </c>
      <c r="C35" s="24" t="s">
        <v>374</v>
      </c>
      <c r="D35" s="24" t="s">
        <v>262</v>
      </c>
      <c r="E35" s="24" t="s">
        <v>400</v>
      </c>
      <c r="F35" s="24" t="s">
        <v>16</v>
      </c>
      <c r="G35" s="27" t="s">
        <v>101</v>
      </c>
      <c r="H35" s="26" t="s">
        <v>29</v>
      </c>
      <c r="I35" s="26" t="s">
        <v>24</v>
      </c>
      <c r="J35" s="25"/>
      <c r="K35" s="25" t="str">
        <f>"130,0"</f>
        <v>130,0</v>
      </c>
      <c r="L35" s="25" t="str">
        <f>"87,3470"</f>
        <v>87,3470</v>
      </c>
      <c r="M35" s="24"/>
    </row>
    <row r="36" spans="1:13">
      <c r="A36" s="10" t="s">
        <v>87</v>
      </c>
      <c r="B36" s="9" t="s">
        <v>263</v>
      </c>
      <c r="C36" s="9" t="s">
        <v>264</v>
      </c>
      <c r="D36" s="9" t="s">
        <v>265</v>
      </c>
      <c r="E36" s="9" t="s">
        <v>398</v>
      </c>
      <c r="F36" s="9" t="s">
        <v>95</v>
      </c>
      <c r="G36" s="23" t="s">
        <v>62</v>
      </c>
      <c r="H36" s="23" t="s">
        <v>31</v>
      </c>
      <c r="I36" s="23" t="s">
        <v>79</v>
      </c>
      <c r="J36" s="10"/>
      <c r="K36" s="10" t="str">
        <f>"157,5"</f>
        <v>157,5</v>
      </c>
      <c r="L36" s="10" t="str">
        <f>"105,9030"</f>
        <v>105,9030</v>
      </c>
      <c r="M36" s="9"/>
    </row>
    <row r="37" spans="1:13">
      <c r="B37" s="5" t="s">
        <v>89</v>
      </c>
    </row>
    <row r="38" spans="1:13" ht="16">
      <c r="A38" s="52" t="s">
        <v>33</v>
      </c>
      <c r="B38" s="52"/>
      <c r="C38" s="53"/>
      <c r="D38" s="53"/>
      <c r="E38" s="53"/>
      <c r="F38" s="53"/>
      <c r="G38" s="53"/>
      <c r="H38" s="53"/>
      <c r="I38" s="53"/>
      <c r="J38" s="53"/>
    </row>
    <row r="39" spans="1:13">
      <c r="A39" s="8" t="s">
        <v>87</v>
      </c>
      <c r="B39" s="7" t="s">
        <v>266</v>
      </c>
      <c r="C39" s="7" t="s">
        <v>267</v>
      </c>
      <c r="D39" s="7" t="s">
        <v>268</v>
      </c>
      <c r="E39" s="7" t="s">
        <v>398</v>
      </c>
      <c r="F39" s="7" t="s">
        <v>49</v>
      </c>
      <c r="G39" s="18" t="s">
        <v>62</v>
      </c>
      <c r="H39" s="18" t="s">
        <v>53</v>
      </c>
      <c r="I39" s="18" t="s">
        <v>39</v>
      </c>
      <c r="J39" s="8"/>
      <c r="K39" s="8" t="str">
        <f>"170,0"</f>
        <v>170,0</v>
      </c>
      <c r="L39" s="8" t="str">
        <f>"110,0750"</f>
        <v>110,0750</v>
      </c>
      <c r="M39" s="7" t="s">
        <v>352</v>
      </c>
    </row>
    <row r="40" spans="1:13">
      <c r="A40" s="10" t="s">
        <v>90</v>
      </c>
      <c r="B40" s="9" t="s">
        <v>269</v>
      </c>
      <c r="C40" s="9" t="s">
        <v>270</v>
      </c>
      <c r="D40" s="9" t="s">
        <v>271</v>
      </c>
      <c r="E40" s="9" t="s">
        <v>398</v>
      </c>
      <c r="F40" s="9" t="s">
        <v>193</v>
      </c>
      <c r="G40" s="23" t="s">
        <v>53</v>
      </c>
      <c r="H40" s="23" t="s">
        <v>38</v>
      </c>
      <c r="I40" s="20" t="s">
        <v>39</v>
      </c>
      <c r="J40" s="10"/>
      <c r="K40" s="10" t="str">
        <f>"165,0"</f>
        <v>165,0</v>
      </c>
      <c r="L40" s="10" t="str">
        <f>"107,2995"</f>
        <v>107,2995</v>
      </c>
      <c r="M40" s="9"/>
    </row>
    <row r="41" spans="1:13">
      <c r="B41" s="5" t="s">
        <v>89</v>
      </c>
    </row>
    <row r="42" spans="1:13" ht="16">
      <c r="A42" s="52" t="s">
        <v>45</v>
      </c>
      <c r="B42" s="52"/>
      <c r="C42" s="53"/>
      <c r="D42" s="53"/>
      <c r="E42" s="53"/>
      <c r="F42" s="53"/>
      <c r="G42" s="53"/>
      <c r="H42" s="53"/>
      <c r="I42" s="53"/>
      <c r="J42" s="53"/>
    </row>
    <row r="43" spans="1:13">
      <c r="A43" s="8" t="s">
        <v>87</v>
      </c>
      <c r="B43" s="7" t="s">
        <v>272</v>
      </c>
      <c r="C43" s="7" t="s">
        <v>375</v>
      </c>
      <c r="D43" s="7" t="s">
        <v>273</v>
      </c>
      <c r="E43" s="7" t="s">
        <v>400</v>
      </c>
      <c r="F43" s="7" t="s">
        <v>274</v>
      </c>
      <c r="G43" s="18" t="s">
        <v>275</v>
      </c>
      <c r="H43" s="18" t="s">
        <v>72</v>
      </c>
      <c r="I43" s="18" t="s">
        <v>276</v>
      </c>
      <c r="J43" s="8"/>
      <c r="K43" s="8" t="str">
        <f>"142,5"</f>
        <v>142,5</v>
      </c>
      <c r="L43" s="8" t="str">
        <f>"87,0818"</f>
        <v>87,0818</v>
      </c>
      <c r="M43" s="7" t="s">
        <v>353</v>
      </c>
    </row>
    <row r="44" spans="1:13">
      <c r="A44" s="10" t="s">
        <v>87</v>
      </c>
      <c r="B44" s="9" t="s">
        <v>277</v>
      </c>
      <c r="C44" s="9" t="s">
        <v>376</v>
      </c>
      <c r="D44" s="9" t="s">
        <v>278</v>
      </c>
      <c r="E44" s="9" t="s">
        <v>402</v>
      </c>
      <c r="F44" s="9" t="s">
        <v>391</v>
      </c>
      <c r="G44" s="23" t="s">
        <v>71</v>
      </c>
      <c r="H44" s="23" t="s">
        <v>61</v>
      </c>
      <c r="I44" s="23" t="s">
        <v>279</v>
      </c>
      <c r="J44" s="10"/>
      <c r="K44" s="10" t="str">
        <f>"147,5"</f>
        <v>147,5</v>
      </c>
      <c r="L44" s="10" t="str">
        <f>"93,0402"</f>
        <v>93,0402</v>
      </c>
      <c r="M44" s="9" t="s">
        <v>280</v>
      </c>
    </row>
    <row r="45" spans="1:13">
      <c r="B45" s="5" t="s">
        <v>89</v>
      </c>
    </row>
    <row r="46" spans="1:13" ht="16">
      <c r="A46" s="52" t="s">
        <v>66</v>
      </c>
      <c r="B46" s="52"/>
      <c r="C46" s="53"/>
      <c r="D46" s="53"/>
      <c r="E46" s="53"/>
      <c r="F46" s="53"/>
      <c r="G46" s="53"/>
      <c r="H46" s="53"/>
      <c r="I46" s="53"/>
      <c r="J46" s="53"/>
    </row>
    <row r="47" spans="1:13">
      <c r="A47" s="12" t="s">
        <v>87</v>
      </c>
      <c r="B47" s="11" t="s">
        <v>281</v>
      </c>
      <c r="C47" s="11" t="s">
        <v>282</v>
      </c>
      <c r="D47" s="11" t="s">
        <v>283</v>
      </c>
      <c r="E47" s="11" t="s">
        <v>398</v>
      </c>
      <c r="F47" s="11" t="s">
        <v>284</v>
      </c>
      <c r="G47" s="21" t="s">
        <v>72</v>
      </c>
      <c r="H47" s="22" t="s">
        <v>279</v>
      </c>
      <c r="I47" s="22" t="s">
        <v>279</v>
      </c>
      <c r="J47" s="12"/>
      <c r="K47" s="12" t="str">
        <f>"140,0"</f>
        <v>140,0</v>
      </c>
      <c r="L47" s="12" t="str">
        <f>"82,4600"</f>
        <v>82,4600</v>
      </c>
      <c r="M47" s="11" t="s">
        <v>297</v>
      </c>
    </row>
    <row r="48" spans="1:13">
      <c r="B48" s="5" t="s">
        <v>89</v>
      </c>
    </row>
    <row r="49" spans="1:13" ht="16">
      <c r="A49" s="52" t="s">
        <v>183</v>
      </c>
      <c r="B49" s="52"/>
      <c r="C49" s="53"/>
      <c r="D49" s="53"/>
      <c r="E49" s="53"/>
      <c r="F49" s="53"/>
      <c r="G49" s="53"/>
      <c r="H49" s="53"/>
      <c r="I49" s="53"/>
      <c r="J49" s="53"/>
    </row>
    <row r="50" spans="1:13">
      <c r="A50" s="8" t="s">
        <v>87</v>
      </c>
      <c r="B50" s="7" t="s">
        <v>285</v>
      </c>
      <c r="C50" s="7" t="s">
        <v>286</v>
      </c>
      <c r="D50" s="7" t="s">
        <v>287</v>
      </c>
      <c r="E50" s="7" t="s">
        <v>398</v>
      </c>
      <c r="F50" s="7" t="s">
        <v>16</v>
      </c>
      <c r="G50" s="18" t="s">
        <v>158</v>
      </c>
      <c r="H50" s="18" t="s">
        <v>70</v>
      </c>
      <c r="I50" s="19" t="s">
        <v>288</v>
      </c>
      <c r="J50" s="8"/>
      <c r="K50" s="8" t="str">
        <f>"225,0"</f>
        <v>225,0</v>
      </c>
      <c r="L50" s="8" t="str">
        <f>"130,1175"</f>
        <v>130,1175</v>
      </c>
      <c r="M50" s="7"/>
    </row>
    <row r="51" spans="1:13">
      <c r="A51" s="10" t="s">
        <v>90</v>
      </c>
      <c r="B51" s="9" t="s">
        <v>289</v>
      </c>
      <c r="C51" s="9" t="s">
        <v>290</v>
      </c>
      <c r="D51" s="9" t="s">
        <v>291</v>
      </c>
      <c r="E51" s="9" t="s">
        <v>398</v>
      </c>
      <c r="F51" s="9" t="s">
        <v>292</v>
      </c>
      <c r="G51" s="23" t="s">
        <v>29</v>
      </c>
      <c r="H51" s="23" t="s">
        <v>71</v>
      </c>
      <c r="I51" s="20" t="s">
        <v>72</v>
      </c>
      <c r="J51" s="10"/>
      <c r="K51" s="10" t="str">
        <f>"135,0"</f>
        <v>135,0</v>
      </c>
      <c r="L51" s="10" t="str">
        <f>"78,8265"</f>
        <v>78,8265</v>
      </c>
      <c r="M51" s="9" t="s">
        <v>293</v>
      </c>
    </row>
    <row r="52" spans="1:13">
      <c r="B52" s="5" t="s">
        <v>89</v>
      </c>
    </row>
    <row r="53" spans="1:13" ht="16">
      <c r="A53" s="52" t="s">
        <v>294</v>
      </c>
      <c r="B53" s="52"/>
      <c r="C53" s="53"/>
      <c r="D53" s="53"/>
      <c r="E53" s="53"/>
      <c r="F53" s="53"/>
      <c r="G53" s="53"/>
      <c r="H53" s="53"/>
      <c r="I53" s="53"/>
      <c r="J53" s="53"/>
    </row>
    <row r="54" spans="1:13">
      <c r="A54" s="12" t="s">
        <v>87</v>
      </c>
      <c r="B54" s="11" t="s">
        <v>252</v>
      </c>
      <c r="C54" s="11" t="s">
        <v>295</v>
      </c>
      <c r="D54" s="11" t="s">
        <v>296</v>
      </c>
      <c r="E54" s="11" t="s">
        <v>398</v>
      </c>
      <c r="F54" s="11" t="s">
        <v>284</v>
      </c>
      <c r="G54" s="21" t="s">
        <v>53</v>
      </c>
      <c r="H54" s="22" t="s">
        <v>39</v>
      </c>
      <c r="I54" s="22" t="s">
        <v>39</v>
      </c>
      <c r="J54" s="12"/>
      <c r="K54" s="12" t="str">
        <f>"160,0"</f>
        <v>160,0</v>
      </c>
      <c r="L54" s="12" t="str">
        <f>"91,0560"</f>
        <v>91,0560</v>
      </c>
      <c r="M54" s="11" t="s">
        <v>297</v>
      </c>
    </row>
    <row r="55" spans="1:13">
      <c r="B55" s="5" t="s">
        <v>89</v>
      </c>
    </row>
    <row r="57" spans="1:13">
      <c r="B57" s="3"/>
      <c r="C57" s="3"/>
      <c r="D57" s="3"/>
      <c r="E57" s="3"/>
      <c r="F57" s="3"/>
    </row>
    <row r="58" spans="1:13" ht="18">
      <c r="B58" s="13" t="s">
        <v>81</v>
      </c>
      <c r="C58" s="13"/>
    </row>
    <row r="59" spans="1:13" ht="16">
      <c r="B59" s="14" t="s">
        <v>86</v>
      </c>
      <c r="C59" s="14"/>
    </row>
    <row r="60" spans="1:13" ht="14">
      <c r="B60" s="15"/>
      <c r="C60" s="16" t="s">
        <v>167</v>
      </c>
    </row>
    <row r="61" spans="1:13" ht="14">
      <c r="B61" s="17" t="s">
        <v>83</v>
      </c>
      <c r="C61" s="17" t="s">
        <v>84</v>
      </c>
      <c r="D61" s="17" t="s">
        <v>389</v>
      </c>
      <c r="E61" s="17" t="s">
        <v>212</v>
      </c>
      <c r="F61" s="17" t="s">
        <v>85</v>
      </c>
    </row>
    <row r="62" spans="1:13">
      <c r="B62" s="5" t="s">
        <v>245</v>
      </c>
      <c r="C62" s="5" t="s">
        <v>164</v>
      </c>
      <c r="D62" s="6" t="s">
        <v>166</v>
      </c>
      <c r="E62" s="6" t="s">
        <v>41</v>
      </c>
      <c r="F62" s="6" t="s">
        <v>298</v>
      </c>
    </row>
    <row r="63" spans="1:13">
      <c r="B63" s="5" t="s">
        <v>258</v>
      </c>
      <c r="C63" s="5" t="s">
        <v>164</v>
      </c>
      <c r="D63" s="6" t="s">
        <v>187</v>
      </c>
      <c r="E63" s="6" t="s">
        <v>22</v>
      </c>
      <c r="F63" s="6" t="s">
        <v>299</v>
      </c>
    </row>
    <row r="64" spans="1:13">
      <c r="B64" s="5" t="s">
        <v>242</v>
      </c>
      <c r="C64" s="5" t="s">
        <v>164</v>
      </c>
      <c r="D64" s="6" t="s">
        <v>300</v>
      </c>
      <c r="E64" s="6" t="s">
        <v>113</v>
      </c>
      <c r="F64" s="6" t="s">
        <v>301</v>
      </c>
    </row>
    <row r="66" spans="2:6" ht="14">
      <c r="B66" s="15"/>
      <c r="C66" s="16" t="s">
        <v>82</v>
      </c>
    </row>
    <row r="67" spans="2:6" ht="14">
      <c r="B67" s="17" t="s">
        <v>83</v>
      </c>
      <c r="C67" s="17" t="s">
        <v>84</v>
      </c>
      <c r="D67" s="17" t="s">
        <v>389</v>
      </c>
      <c r="E67" s="17" t="s">
        <v>212</v>
      </c>
      <c r="F67" s="17" t="s">
        <v>85</v>
      </c>
    </row>
    <row r="68" spans="2:6">
      <c r="B68" s="5" t="s">
        <v>285</v>
      </c>
      <c r="C68" s="5" t="s">
        <v>82</v>
      </c>
      <c r="D68" s="6" t="s">
        <v>186</v>
      </c>
      <c r="E68" s="6" t="s">
        <v>70</v>
      </c>
      <c r="F68" s="6" t="s">
        <v>302</v>
      </c>
    </row>
    <row r="69" spans="2:6">
      <c r="B69" s="5" t="s">
        <v>266</v>
      </c>
      <c r="C69" s="5" t="s">
        <v>82</v>
      </c>
      <c r="D69" s="6" t="s">
        <v>168</v>
      </c>
      <c r="E69" s="6" t="s">
        <v>39</v>
      </c>
      <c r="F69" s="6" t="s">
        <v>303</v>
      </c>
    </row>
    <row r="70" spans="2:6">
      <c r="B70" s="5" t="s">
        <v>269</v>
      </c>
      <c r="C70" s="5" t="s">
        <v>82</v>
      </c>
      <c r="D70" s="6" t="s">
        <v>168</v>
      </c>
      <c r="E70" s="6" t="s">
        <v>38</v>
      </c>
      <c r="F70" s="6" t="s">
        <v>304</v>
      </c>
    </row>
  </sheetData>
  <mergeCells count="25">
    <mergeCell ref="A53:J53"/>
    <mergeCell ref="B3:B4"/>
    <mergeCell ref="A27:J27"/>
    <mergeCell ref="A33:J33"/>
    <mergeCell ref="A38:J38"/>
    <mergeCell ref="A42:J42"/>
    <mergeCell ref="A46:J46"/>
    <mergeCell ref="A49:J49"/>
    <mergeCell ref="A8:J8"/>
    <mergeCell ref="A11:J11"/>
    <mergeCell ref="A14:J14"/>
    <mergeCell ref="A17:J17"/>
    <mergeCell ref="A20:J20"/>
    <mergeCell ref="A24:J2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A644F-D96A-4761-B8FA-0F287DB91C7A}">
  <dimension ref="A1:M23"/>
  <sheetViews>
    <sheetView workbookViewId="0">
      <selection activeCell="E23" sqref="E23"/>
    </sheetView>
  </sheetViews>
  <sheetFormatPr baseColWidth="10" defaultColWidth="9.1640625" defaultRowHeight="13"/>
  <cols>
    <col min="1" max="1" width="7.1640625" style="5" bestFit="1" customWidth="1"/>
    <col min="2" max="2" width="20.3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1" style="5" bestFit="1" customWidth="1"/>
    <col min="7" max="9" width="5.5" style="6" customWidth="1"/>
    <col min="10" max="10" width="4.5" style="6" customWidth="1"/>
    <col min="11" max="11" width="10.5" style="28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41" t="s">
        <v>364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10</v>
      </c>
      <c r="H3" s="35"/>
      <c r="I3" s="35"/>
      <c r="J3" s="35"/>
      <c r="K3" s="33" t="s">
        <v>213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4"/>
      <c r="L4" s="36"/>
      <c r="M4" s="38"/>
    </row>
    <row r="5" spans="1:13" ht="16">
      <c r="A5" s="39" t="s">
        <v>12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8" t="s">
        <v>87</v>
      </c>
      <c r="B6" s="7" t="s">
        <v>13</v>
      </c>
      <c r="C6" s="7" t="s">
        <v>14</v>
      </c>
      <c r="D6" s="7" t="s">
        <v>15</v>
      </c>
      <c r="E6" s="7" t="s">
        <v>398</v>
      </c>
      <c r="F6" s="7" t="s">
        <v>16</v>
      </c>
      <c r="G6" s="18" t="s">
        <v>20</v>
      </c>
      <c r="H6" s="18" t="s">
        <v>21</v>
      </c>
      <c r="I6" s="19" t="s">
        <v>106</v>
      </c>
      <c r="J6" s="8"/>
      <c r="K6" s="30" t="str">
        <f>"70,0"</f>
        <v>70,0</v>
      </c>
      <c r="L6" s="8" t="str">
        <f>"72,7790"</f>
        <v>72,7790</v>
      </c>
      <c r="M6" s="7" t="s">
        <v>25</v>
      </c>
    </row>
    <row r="7" spans="1:13">
      <c r="A7" s="10" t="s">
        <v>87</v>
      </c>
      <c r="B7" s="9" t="s">
        <v>188</v>
      </c>
      <c r="C7" s="9" t="s">
        <v>377</v>
      </c>
      <c r="D7" s="9" t="s">
        <v>189</v>
      </c>
      <c r="E7" s="9" t="s">
        <v>402</v>
      </c>
      <c r="F7" s="9" t="s">
        <v>190</v>
      </c>
      <c r="G7" s="23" t="s">
        <v>106</v>
      </c>
      <c r="H7" s="23" t="s">
        <v>17</v>
      </c>
      <c r="I7" s="20" t="s">
        <v>18</v>
      </c>
      <c r="J7" s="10"/>
      <c r="K7" s="32" t="str">
        <f>"80,0"</f>
        <v>80,0</v>
      </c>
      <c r="L7" s="10" t="str">
        <f>"81,6480"</f>
        <v>81,6480</v>
      </c>
      <c r="M7" s="9" t="s">
        <v>346</v>
      </c>
    </row>
    <row r="8" spans="1:13">
      <c r="B8" s="5" t="s">
        <v>89</v>
      </c>
    </row>
    <row r="9" spans="1:13" ht="16">
      <c r="A9" s="52" t="s">
        <v>137</v>
      </c>
      <c r="B9" s="52"/>
      <c r="C9" s="53"/>
      <c r="D9" s="53"/>
      <c r="E9" s="53"/>
      <c r="F9" s="53"/>
      <c r="G9" s="53"/>
      <c r="H9" s="53"/>
      <c r="I9" s="53"/>
      <c r="J9" s="53"/>
    </row>
    <row r="10" spans="1:13">
      <c r="A10" s="12" t="s">
        <v>88</v>
      </c>
      <c r="B10" s="11" t="s">
        <v>191</v>
      </c>
      <c r="C10" s="11" t="s">
        <v>378</v>
      </c>
      <c r="D10" s="11" t="s">
        <v>192</v>
      </c>
      <c r="E10" s="11" t="s">
        <v>403</v>
      </c>
      <c r="F10" s="11" t="s">
        <v>193</v>
      </c>
      <c r="G10" s="22" t="s">
        <v>62</v>
      </c>
      <c r="H10" s="22" t="s">
        <v>31</v>
      </c>
      <c r="I10" s="22" t="s">
        <v>31</v>
      </c>
      <c r="J10" s="12"/>
      <c r="K10" s="29">
        <v>0</v>
      </c>
      <c r="L10" s="12" t="str">
        <f>"0,0000"</f>
        <v>0,0000</v>
      </c>
      <c r="M10" s="11"/>
    </row>
    <row r="11" spans="1:13">
      <c r="B11" s="5" t="s">
        <v>89</v>
      </c>
    </row>
    <row r="12" spans="1:13" ht="16">
      <c r="A12" s="52" t="s">
        <v>33</v>
      </c>
      <c r="B12" s="52"/>
      <c r="C12" s="53"/>
      <c r="D12" s="53"/>
      <c r="E12" s="53"/>
      <c r="F12" s="53"/>
      <c r="G12" s="53"/>
      <c r="H12" s="53"/>
      <c r="I12" s="53"/>
      <c r="J12" s="53"/>
    </row>
    <row r="13" spans="1:13">
      <c r="A13" s="12" t="s">
        <v>87</v>
      </c>
      <c r="B13" s="11" t="s">
        <v>194</v>
      </c>
      <c r="C13" s="11" t="s">
        <v>195</v>
      </c>
      <c r="D13" s="11" t="s">
        <v>196</v>
      </c>
      <c r="E13" s="11" t="s">
        <v>398</v>
      </c>
      <c r="F13" s="11" t="s">
        <v>16</v>
      </c>
      <c r="G13" s="22" t="s">
        <v>78</v>
      </c>
      <c r="H13" s="21" t="s">
        <v>78</v>
      </c>
      <c r="I13" s="22" t="s">
        <v>197</v>
      </c>
      <c r="J13" s="12"/>
      <c r="K13" s="29" t="str">
        <f>"195,0"</f>
        <v>195,0</v>
      </c>
      <c r="L13" s="12" t="str">
        <f>"125,2095"</f>
        <v>125,2095</v>
      </c>
      <c r="M13" s="11"/>
    </row>
    <row r="14" spans="1:13">
      <c r="B14" s="5" t="s">
        <v>89</v>
      </c>
    </row>
    <row r="15" spans="1:13" ht="16">
      <c r="A15" s="52" t="s">
        <v>45</v>
      </c>
      <c r="B15" s="52"/>
      <c r="C15" s="53"/>
      <c r="D15" s="53"/>
      <c r="E15" s="53"/>
      <c r="F15" s="53"/>
      <c r="G15" s="53"/>
      <c r="H15" s="53"/>
      <c r="I15" s="53"/>
      <c r="J15" s="53"/>
    </row>
    <row r="16" spans="1:13">
      <c r="A16" s="8" t="s">
        <v>87</v>
      </c>
      <c r="B16" s="7" t="s">
        <v>198</v>
      </c>
      <c r="C16" s="7" t="s">
        <v>199</v>
      </c>
      <c r="D16" s="7" t="s">
        <v>200</v>
      </c>
      <c r="E16" s="7" t="s">
        <v>398</v>
      </c>
      <c r="F16" s="7" t="s">
        <v>16</v>
      </c>
      <c r="G16" s="18" t="s">
        <v>61</v>
      </c>
      <c r="H16" s="18" t="s">
        <v>31</v>
      </c>
      <c r="I16" s="19" t="s">
        <v>53</v>
      </c>
      <c r="J16" s="8"/>
      <c r="K16" s="30" t="str">
        <f>"155,0"</f>
        <v>155,0</v>
      </c>
      <c r="L16" s="8" t="str">
        <f>"97,7275"</f>
        <v>97,7275</v>
      </c>
      <c r="M16" s="7"/>
    </row>
    <row r="17" spans="1:13">
      <c r="A17" s="10" t="s">
        <v>87</v>
      </c>
      <c r="B17" s="9" t="s">
        <v>201</v>
      </c>
      <c r="C17" s="9" t="s">
        <v>379</v>
      </c>
      <c r="D17" s="9" t="s">
        <v>202</v>
      </c>
      <c r="E17" s="9" t="s">
        <v>401</v>
      </c>
      <c r="F17" s="9" t="s">
        <v>121</v>
      </c>
      <c r="G17" s="23" t="s">
        <v>24</v>
      </c>
      <c r="H17" s="20" t="s">
        <v>71</v>
      </c>
      <c r="I17" s="23" t="s">
        <v>71</v>
      </c>
      <c r="J17" s="10"/>
      <c r="K17" s="32" t="str">
        <f>"135,0"</f>
        <v>135,0</v>
      </c>
      <c r="L17" s="10" t="str">
        <f>"93,8133"</f>
        <v>93,8133</v>
      </c>
      <c r="M17" s="9"/>
    </row>
    <row r="18" spans="1:13">
      <c r="B18" s="5" t="s">
        <v>89</v>
      </c>
    </row>
    <row r="19" spans="1:13" ht="16">
      <c r="A19" s="52" t="s">
        <v>66</v>
      </c>
      <c r="B19" s="52"/>
      <c r="C19" s="53"/>
      <c r="D19" s="53"/>
      <c r="E19" s="53"/>
      <c r="F19" s="53"/>
      <c r="G19" s="53"/>
      <c r="H19" s="53"/>
      <c r="I19" s="53"/>
      <c r="J19" s="53"/>
    </row>
    <row r="20" spans="1:13">
      <c r="A20" s="8" t="s">
        <v>87</v>
      </c>
      <c r="B20" s="7" t="s">
        <v>203</v>
      </c>
      <c r="C20" s="7" t="s">
        <v>380</v>
      </c>
      <c r="D20" s="7" t="s">
        <v>204</v>
      </c>
      <c r="E20" s="7" t="s">
        <v>400</v>
      </c>
      <c r="F20" s="7" t="s">
        <v>392</v>
      </c>
      <c r="G20" s="18" t="s">
        <v>43</v>
      </c>
      <c r="H20" s="18" t="s">
        <v>78</v>
      </c>
      <c r="I20" s="19" t="s">
        <v>205</v>
      </c>
      <c r="J20" s="8"/>
      <c r="K20" s="30" t="str">
        <f>"195,0"</f>
        <v>195,0</v>
      </c>
      <c r="L20" s="8" t="str">
        <f>"114,7965"</f>
        <v>114,7965</v>
      </c>
      <c r="M20" s="7"/>
    </row>
    <row r="21" spans="1:13">
      <c r="A21" s="25" t="s">
        <v>87</v>
      </c>
      <c r="B21" s="24" t="s">
        <v>206</v>
      </c>
      <c r="C21" s="24" t="s">
        <v>381</v>
      </c>
      <c r="D21" s="24" t="s">
        <v>207</v>
      </c>
      <c r="E21" s="24" t="s">
        <v>402</v>
      </c>
      <c r="F21" s="24" t="s">
        <v>208</v>
      </c>
      <c r="G21" s="26" t="s">
        <v>60</v>
      </c>
      <c r="H21" s="27" t="s">
        <v>63</v>
      </c>
      <c r="I21" s="27" t="s">
        <v>63</v>
      </c>
      <c r="J21" s="25"/>
      <c r="K21" s="31" t="str">
        <f>"190,0"</f>
        <v>190,0</v>
      </c>
      <c r="L21" s="25" t="str">
        <f>"113,4816"</f>
        <v>113,4816</v>
      </c>
      <c r="M21" s="24" t="s">
        <v>347</v>
      </c>
    </row>
    <row r="22" spans="1:13">
      <c r="A22" s="10" t="s">
        <v>87</v>
      </c>
      <c r="B22" s="9" t="s">
        <v>209</v>
      </c>
      <c r="C22" s="9" t="s">
        <v>382</v>
      </c>
      <c r="D22" s="9" t="s">
        <v>210</v>
      </c>
      <c r="E22" s="9" t="s">
        <v>403</v>
      </c>
      <c r="F22" s="9" t="s">
        <v>208</v>
      </c>
      <c r="G22" s="23" t="s">
        <v>211</v>
      </c>
      <c r="H22" s="23" t="s">
        <v>197</v>
      </c>
      <c r="I22" s="20" t="s">
        <v>165</v>
      </c>
      <c r="J22" s="10"/>
      <c r="K22" s="32" t="str">
        <f>"202,5"</f>
        <v>202,5</v>
      </c>
      <c r="L22" s="10" t="str">
        <f>"138,4675"</f>
        <v>138,4675</v>
      </c>
      <c r="M22" s="9" t="s">
        <v>348</v>
      </c>
    </row>
    <row r="23" spans="1:13">
      <c r="B23" s="5" t="s">
        <v>89</v>
      </c>
    </row>
  </sheetData>
  <mergeCells count="16">
    <mergeCell ref="A9:J9"/>
    <mergeCell ref="A12:J12"/>
    <mergeCell ref="A15:J15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786A7-E015-4CB0-BD5F-63AE0608B850}">
  <dimension ref="A1:M24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1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31" style="5" bestFit="1" customWidth="1"/>
    <col min="14" max="16384" width="9.1640625" style="3"/>
  </cols>
  <sheetData>
    <row r="1" spans="1:13" s="2" customFormat="1" ht="29" customHeight="1">
      <c r="A1" s="41" t="s">
        <v>365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394</v>
      </c>
      <c r="B3" s="54" t="s">
        <v>0</v>
      </c>
      <c r="C3" s="51" t="s">
        <v>396</v>
      </c>
      <c r="D3" s="51" t="s">
        <v>8</v>
      </c>
      <c r="E3" s="35" t="s">
        <v>397</v>
      </c>
      <c r="F3" s="35" t="s">
        <v>5</v>
      </c>
      <c r="G3" s="35" t="s">
        <v>11</v>
      </c>
      <c r="H3" s="35"/>
      <c r="I3" s="35"/>
      <c r="J3" s="35"/>
      <c r="K3" s="35" t="s">
        <v>213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102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12" t="s">
        <v>87</v>
      </c>
      <c r="B6" s="11" t="s">
        <v>118</v>
      </c>
      <c r="C6" s="11" t="s">
        <v>119</v>
      </c>
      <c r="D6" s="11" t="s">
        <v>120</v>
      </c>
      <c r="E6" s="11" t="s">
        <v>398</v>
      </c>
      <c r="F6" s="11" t="s">
        <v>121</v>
      </c>
      <c r="G6" s="21" t="s">
        <v>17</v>
      </c>
      <c r="H6" s="21" t="s">
        <v>19</v>
      </c>
      <c r="I6" s="22" t="s">
        <v>124</v>
      </c>
      <c r="J6" s="12"/>
      <c r="K6" s="12" t="str">
        <f>"90,0"</f>
        <v>90,0</v>
      </c>
      <c r="L6" s="12" t="str">
        <f>"114,9210"</f>
        <v>114,9210</v>
      </c>
      <c r="M6" s="11" t="s">
        <v>117</v>
      </c>
    </row>
    <row r="7" spans="1:13">
      <c r="B7" s="5" t="s">
        <v>89</v>
      </c>
    </row>
    <row r="8" spans="1:13" ht="16">
      <c r="A8" s="52" t="s">
        <v>12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8" t="s">
        <v>87</v>
      </c>
      <c r="B9" s="7" t="s">
        <v>132</v>
      </c>
      <c r="C9" s="7" t="s">
        <v>133</v>
      </c>
      <c r="D9" s="7" t="s">
        <v>134</v>
      </c>
      <c r="E9" s="7" t="s">
        <v>399</v>
      </c>
      <c r="F9" s="7" t="s">
        <v>342</v>
      </c>
      <c r="G9" s="18" t="s">
        <v>135</v>
      </c>
      <c r="H9" s="18" t="s">
        <v>41</v>
      </c>
      <c r="I9" s="18" t="s">
        <v>313</v>
      </c>
      <c r="J9" s="8"/>
      <c r="K9" s="8" t="str">
        <f>"112,5"</f>
        <v>112,5</v>
      </c>
      <c r="L9" s="8" t="str">
        <f>"116,7075"</f>
        <v>116,7075</v>
      </c>
      <c r="M9" s="7" t="s">
        <v>343</v>
      </c>
    </row>
    <row r="10" spans="1:13">
      <c r="A10" s="10" t="s">
        <v>87</v>
      </c>
      <c r="B10" s="9" t="s">
        <v>132</v>
      </c>
      <c r="C10" s="9" t="s">
        <v>136</v>
      </c>
      <c r="D10" s="9" t="s">
        <v>134</v>
      </c>
      <c r="E10" s="9" t="s">
        <v>398</v>
      </c>
      <c r="F10" s="9" t="s">
        <v>342</v>
      </c>
      <c r="G10" s="23" t="s">
        <v>135</v>
      </c>
      <c r="H10" s="23" t="s">
        <v>41</v>
      </c>
      <c r="I10" s="23" t="s">
        <v>313</v>
      </c>
      <c r="J10" s="10"/>
      <c r="K10" s="10" t="str">
        <f>"112,5"</f>
        <v>112,5</v>
      </c>
      <c r="L10" s="10" t="str">
        <f>"116,7075"</f>
        <v>116,7075</v>
      </c>
      <c r="M10" s="9" t="s">
        <v>343</v>
      </c>
    </row>
    <row r="11" spans="1:13">
      <c r="B11" s="5" t="s">
        <v>89</v>
      </c>
    </row>
    <row r="12" spans="1:13" ht="16">
      <c r="A12" s="52" t="s">
        <v>33</v>
      </c>
      <c r="B12" s="52"/>
      <c r="C12" s="53"/>
      <c r="D12" s="53"/>
      <c r="E12" s="53"/>
      <c r="F12" s="53"/>
      <c r="G12" s="53"/>
      <c r="H12" s="53"/>
      <c r="I12" s="53"/>
      <c r="J12" s="53"/>
    </row>
    <row r="13" spans="1:13">
      <c r="A13" s="12" t="s">
        <v>87</v>
      </c>
      <c r="B13" s="11" t="s">
        <v>231</v>
      </c>
      <c r="C13" s="11" t="s">
        <v>232</v>
      </c>
      <c r="D13" s="11" t="s">
        <v>233</v>
      </c>
      <c r="E13" s="11" t="s">
        <v>398</v>
      </c>
      <c r="F13" s="11" t="s">
        <v>234</v>
      </c>
      <c r="G13" s="21" t="s">
        <v>131</v>
      </c>
      <c r="H13" s="21" t="s">
        <v>29</v>
      </c>
      <c r="I13" s="21" t="s">
        <v>71</v>
      </c>
      <c r="J13" s="12"/>
      <c r="K13" s="12" t="str">
        <f>"135,0"</f>
        <v>135,0</v>
      </c>
      <c r="L13" s="12" t="str">
        <f>"116,8155"</f>
        <v>116,8155</v>
      </c>
      <c r="M13" s="11" t="s">
        <v>350</v>
      </c>
    </row>
    <row r="14" spans="1:13">
      <c r="B14" s="5" t="s">
        <v>89</v>
      </c>
    </row>
    <row r="15" spans="1:13" ht="16">
      <c r="A15" s="52" t="s">
        <v>176</v>
      </c>
      <c r="B15" s="52"/>
      <c r="C15" s="53"/>
      <c r="D15" s="53"/>
      <c r="E15" s="53"/>
      <c r="F15" s="53"/>
      <c r="G15" s="53"/>
      <c r="H15" s="53"/>
      <c r="I15" s="53"/>
      <c r="J15" s="53"/>
    </row>
    <row r="16" spans="1:13">
      <c r="A16" s="12" t="s">
        <v>87</v>
      </c>
      <c r="B16" s="11" t="s">
        <v>263</v>
      </c>
      <c r="C16" s="11" t="s">
        <v>264</v>
      </c>
      <c r="D16" s="11" t="s">
        <v>265</v>
      </c>
      <c r="E16" s="11" t="s">
        <v>398</v>
      </c>
      <c r="F16" s="11" t="s">
        <v>95</v>
      </c>
      <c r="G16" s="21" t="s">
        <v>185</v>
      </c>
      <c r="H16" s="21" t="s">
        <v>51</v>
      </c>
      <c r="I16" s="21" t="s">
        <v>314</v>
      </c>
      <c r="J16" s="12"/>
      <c r="K16" s="12" t="str">
        <f>"265,0"</f>
        <v>265,0</v>
      </c>
      <c r="L16" s="12" t="str">
        <f>"178,1860"</f>
        <v>178,1860</v>
      </c>
      <c r="M16" s="11"/>
    </row>
    <row r="17" spans="1:13">
      <c r="B17" s="5" t="s">
        <v>89</v>
      </c>
    </row>
    <row r="18" spans="1:13" ht="16">
      <c r="A18" s="52" t="s">
        <v>33</v>
      </c>
      <c r="B18" s="52"/>
      <c r="C18" s="53"/>
      <c r="D18" s="53"/>
      <c r="E18" s="53"/>
      <c r="F18" s="53"/>
      <c r="G18" s="53"/>
      <c r="H18" s="53"/>
      <c r="I18" s="53"/>
      <c r="J18" s="53"/>
    </row>
    <row r="19" spans="1:13">
      <c r="A19" s="8" t="s">
        <v>87</v>
      </c>
      <c r="B19" s="7" t="s">
        <v>315</v>
      </c>
      <c r="C19" s="7" t="s">
        <v>316</v>
      </c>
      <c r="D19" s="7" t="s">
        <v>317</v>
      </c>
      <c r="E19" s="7" t="s">
        <v>398</v>
      </c>
      <c r="F19" s="7" t="s">
        <v>274</v>
      </c>
      <c r="G19" s="18" t="s">
        <v>288</v>
      </c>
      <c r="H19" s="18" t="s">
        <v>73</v>
      </c>
      <c r="I19" s="19" t="s">
        <v>50</v>
      </c>
      <c r="J19" s="8"/>
      <c r="K19" s="8" t="str">
        <f>"235,0"</f>
        <v>235,0</v>
      </c>
      <c r="L19" s="8" t="str">
        <f>"150,7055"</f>
        <v>150,7055</v>
      </c>
      <c r="M19" s="7"/>
    </row>
    <row r="20" spans="1:13">
      <c r="A20" s="10" t="s">
        <v>90</v>
      </c>
      <c r="B20" s="9" t="s">
        <v>318</v>
      </c>
      <c r="C20" s="9" t="s">
        <v>319</v>
      </c>
      <c r="D20" s="9" t="s">
        <v>320</v>
      </c>
      <c r="E20" s="9" t="s">
        <v>398</v>
      </c>
      <c r="F20" s="9" t="s">
        <v>16</v>
      </c>
      <c r="G20" s="23" t="s">
        <v>197</v>
      </c>
      <c r="H20" s="23" t="s">
        <v>65</v>
      </c>
      <c r="I20" s="23" t="s">
        <v>288</v>
      </c>
      <c r="J20" s="10"/>
      <c r="K20" s="10" t="str">
        <f>"230,0"</f>
        <v>230,0</v>
      </c>
      <c r="L20" s="10" t="str">
        <f>"148,2120"</f>
        <v>148,2120</v>
      </c>
      <c r="M20" s="9"/>
    </row>
    <row r="21" spans="1:13">
      <c r="B21" s="5" t="s">
        <v>89</v>
      </c>
    </row>
    <row r="22" spans="1:13" ht="16">
      <c r="A22" s="52" t="s">
        <v>45</v>
      </c>
      <c r="B22" s="52"/>
      <c r="C22" s="53"/>
      <c r="D22" s="53"/>
      <c r="E22" s="53"/>
      <c r="F22" s="53"/>
      <c r="G22" s="53"/>
      <c r="H22" s="53"/>
      <c r="I22" s="53"/>
      <c r="J22" s="53"/>
    </row>
    <row r="23" spans="1:13">
      <c r="A23" s="12" t="s">
        <v>87</v>
      </c>
      <c r="B23" s="11" t="s">
        <v>155</v>
      </c>
      <c r="C23" s="11" t="s">
        <v>372</v>
      </c>
      <c r="D23" s="11" t="s">
        <v>157</v>
      </c>
      <c r="E23" s="11" t="s">
        <v>401</v>
      </c>
      <c r="F23" s="11" t="s">
        <v>143</v>
      </c>
      <c r="G23" s="21" t="s">
        <v>73</v>
      </c>
      <c r="H23" s="21" t="s">
        <v>74</v>
      </c>
      <c r="I23" s="12"/>
      <c r="J23" s="12"/>
      <c r="K23" s="12" t="str">
        <f>"245,0"</f>
        <v>245,0</v>
      </c>
      <c r="L23" s="12" t="str">
        <f>"163,5555"</f>
        <v>163,5555</v>
      </c>
      <c r="M23" s="11"/>
    </row>
    <row r="24" spans="1:13">
      <c r="B24" s="5" t="s">
        <v>89</v>
      </c>
    </row>
  </sheetData>
  <mergeCells count="17">
    <mergeCell ref="A22:J22"/>
    <mergeCell ref="A5:J5"/>
    <mergeCell ref="A8:J8"/>
    <mergeCell ref="A12:J12"/>
    <mergeCell ref="A15:J15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</vt:lpstr>
      <vt:lpstr>IPL Присед без экипировки ДК</vt:lpstr>
      <vt:lpstr>IPL Жим без экипировки ДК</vt:lpstr>
      <vt:lpstr>IPL Жим без экипировки</vt:lpstr>
      <vt:lpstr>IPL Тяга без экипировки ДК</vt:lpstr>
      <vt:lpstr>IPL Тяга без экипировки</vt:lpstr>
      <vt:lpstr>СПР Пауэрспорт ДК</vt:lpstr>
      <vt:lpstr>СПР Подъем на бицепс ДК</vt:lpstr>
      <vt:lpstr>СПР Подъем на бицепс</vt:lpstr>
      <vt:lpstr>ФЖД ЖД Софт однослой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2021-09-20T14:27:23Z</dcterms:modified>
</cp:coreProperties>
</file>