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Апрель/"/>
    </mc:Choice>
  </mc:AlternateContent>
  <xr:revisionPtr revIDLastSave="0" documentId="13_ncr:1_{EF312751-F0E8-3143-B857-78722C173BB5}" xr6:coauthVersionLast="45" xr6:coauthVersionMax="45" xr10:uidLastSave="{00000000-0000-0000-0000-000000000000}"/>
  <bookViews>
    <workbookView xWindow="0" yWindow="460" windowWidth="28800" windowHeight="16120" tabRatio="854" xr2:uid="{00000000-000D-0000-FFFF-FFFF00000000}"/>
  </bookViews>
  <sheets>
    <sheet name="WRPF ПЛ без экипировки ДК" sheetId="9" r:id="rId1"/>
    <sheet name="WRPF ПЛ без экипировки" sheetId="8" r:id="rId2"/>
    <sheet name="WRPF ПЛ в бинтах ДК" sheetId="6" r:id="rId3"/>
    <sheet name="WRPF ПЛ в бинтах" sheetId="5" r:id="rId4"/>
    <sheet name="WRPF Двоеборье без экип ДК" sheetId="22" r:id="rId5"/>
    <sheet name="WRPF Двоеборье без экип" sheetId="21" r:id="rId6"/>
    <sheet name="WRPF Жим лежа без экип ДК" sheetId="12" r:id="rId7"/>
    <sheet name="WRPF Жим лежа без экип" sheetId="11" r:id="rId8"/>
    <sheet name="WEPF Жим софт однопетельная ДК" sheetId="13" r:id="rId9"/>
    <sheet name="WEPF Жим софт однопетельная" sheetId="10" r:id="rId10"/>
    <sheet name="WEPF Жим софт многопетельнаяДК" sheetId="17" r:id="rId11"/>
    <sheet name="WEPF Жим софт многопетельная" sheetId="16" r:id="rId12"/>
    <sheet name="WRPF Тяга без экипировки ДК" sheetId="19" r:id="rId13"/>
    <sheet name="WRPF Тяга без экипировки" sheetId="18" r:id="rId14"/>
    <sheet name="WEPF Тяга экип" sheetId="20" r:id="rId15"/>
    <sheet name="WRPF Подъем на бицепс" sheetId="23" r:id="rId16"/>
  </sheets>
  <definedNames>
    <definedName name="_FilterDatabase" localSheetId="3" hidden="1">'WRPF ПЛ в бинтах'!$A$1:$S$3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3" i="23" l="1"/>
  <c r="K23" i="23"/>
  <c r="L20" i="23"/>
  <c r="K20" i="23"/>
  <c r="L19" i="23"/>
  <c r="K19" i="23"/>
  <c r="L16" i="23"/>
  <c r="K16" i="23"/>
  <c r="L15" i="23"/>
  <c r="K15" i="23"/>
  <c r="L12" i="23"/>
  <c r="K12" i="23"/>
  <c r="L11" i="23"/>
  <c r="K11" i="23"/>
  <c r="L8" i="23"/>
  <c r="K8" i="23"/>
  <c r="L7" i="23"/>
  <c r="K7" i="23"/>
  <c r="L6" i="23"/>
  <c r="K6" i="23"/>
  <c r="P10" i="22"/>
  <c r="O10" i="22"/>
  <c r="P9" i="22"/>
  <c r="O9" i="22"/>
  <c r="P6" i="22"/>
  <c r="O6" i="22"/>
  <c r="P10" i="21"/>
  <c r="O10" i="21"/>
  <c r="P7" i="21"/>
  <c r="O7" i="21"/>
  <c r="P6" i="21"/>
  <c r="O6" i="21"/>
  <c r="L7" i="20"/>
  <c r="K7" i="20"/>
  <c r="L6" i="20"/>
  <c r="K6" i="20"/>
  <c r="L48" i="19"/>
  <c r="K48" i="19"/>
  <c r="L45" i="19"/>
  <c r="K45" i="19"/>
  <c r="L44" i="19"/>
  <c r="K44" i="19"/>
  <c r="L43" i="19"/>
  <c r="K43" i="19"/>
  <c r="L42" i="19"/>
  <c r="K42" i="19"/>
  <c r="L39" i="19"/>
  <c r="K39" i="19"/>
  <c r="L38" i="19"/>
  <c r="K38" i="19"/>
  <c r="L37" i="19"/>
  <c r="K37" i="19"/>
  <c r="L36" i="19"/>
  <c r="K36" i="19"/>
  <c r="L33" i="19"/>
  <c r="K33" i="19"/>
  <c r="L32" i="19"/>
  <c r="K32" i="19"/>
  <c r="L31" i="19"/>
  <c r="K31" i="19"/>
  <c r="L28" i="19"/>
  <c r="K28" i="19"/>
  <c r="L27" i="19"/>
  <c r="K27" i="19"/>
  <c r="L24" i="19"/>
  <c r="K24" i="19"/>
  <c r="L23" i="19"/>
  <c r="K23" i="19"/>
  <c r="L20" i="19"/>
  <c r="K20" i="19"/>
  <c r="L17" i="19"/>
  <c r="K17" i="19"/>
  <c r="L16" i="19"/>
  <c r="K16" i="19"/>
  <c r="L15" i="19"/>
  <c r="K15" i="19"/>
  <c r="L14" i="19"/>
  <c r="K14" i="19"/>
  <c r="L13" i="19"/>
  <c r="K13" i="19"/>
  <c r="L12" i="19"/>
  <c r="K12" i="19"/>
  <c r="L11" i="19"/>
  <c r="K11" i="19"/>
  <c r="L10" i="19"/>
  <c r="K10" i="19"/>
  <c r="L9" i="19"/>
  <c r="K9" i="19"/>
  <c r="L6" i="19"/>
  <c r="K6" i="19"/>
  <c r="L27" i="18"/>
  <c r="K27" i="18"/>
  <c r="L24" i="18"/>
  <c r="K24" i="18"/>
  <c r="L21" i="18"/>
  <c r="K21" i="18"/>
  <c r="L20" i="18"/>
  <c r="K20" i="18"/>
  <c r="L19" i="18"/>
  <c r="K19" i="18"/>
  <c r="L16" i="18"/>
  <c r="K16" i="18"/>
  <c r="L15" i="18"/>
  <c r="K15" i="18"/>
  <c r="L12" i="18"/>
  <c r="L9" i="18"/>
  <c r="K9" i="18"/>
  <c r="L6" i="18"/>
  <c r="K6" i="18"/>
  <c r="L6" i="17"/>
  <c r="K6" i="17"/>
  <c r="L12" i="16"/>
  <c r="K12" i="16"/>
  <c r="L9" i="16"/>
  <c r="L6" i="16"/>
  <c r="K6" i="16"/>
  <c r="L9" i="13"/>
  <c r="K9" i="13"/>
  <c r="L6" i="13"/>
  <c r="K6" i="13"/>
  <c r="L78" i="12"/>
  <c r="K78" i="12"/>
  <c r="L77" i="12"/>
  <c r="K77" i="12"/>
  <c r="L76" i="12"/>
  <c r="K76" i="12"/>
  <c r="L73" i="12"/>
  <c r="K73" i="12"/>
  <c r="L72" i="12"/>
  <c r="K72" i="12"/>
  <c r="L71" i="12"/>
  <c r="K71" i="12"/>
  <c r="L70" i="12"/>
  <c r="K70" i="12"/>
  <c r="L69" i="12"/>
  <c r="K69" i="12"/>
  <c r="L68" i="12"/>
  <c r="K68" i="12"/>
  <c r="L65" i="12"/>
  <c r="K65" i="12"/>
  <c r="L64" i="12"/>
  <c r="K64" i="12"/>
  <c r="L63" i="12"/>
  <c r="K63" i="12"/>
  <c r="L62" i="12"/>
  <c r="K62" i="12"/>
  <c r="L61" i="12"/>
  <c r="K61" i="12"/>
  <c r="L60" i="12"/>
  <c r="K60" i="12"/>
  <c r="L59" i="12"/>
  <c r="K59" i="12"/>
  <c r="L58" i="12"/>
  <c r="K58" i="12"/>
  <c r="L57" i="12"/>
  <c r="K57" i="12"/>
  <c r="L56" i="12"/>
  <c r="K56" i="12"/>
  <c r="L53" i="12"/>
  <c r="K53" i="12"/>
  <c r="L52" i="12"/>
  <c r="K52" i="12"/>
  <c r="L51" i="12"/>
  <c r="K51" i="12"/>
  <c r="L50" i="12"/>
  <c r="K50" i="12"/>
  <c r="L49" i="12"/>
  <c r="L48" i="12"/>
  <c r="L47" i="12"/>
  <c r="L46" i="12"/>
  <c r="K46" i="12"/>
  <c r="L45" i="12"/>
  <c r="K45" i="12"/>
  <c r="L44" i="12"/>
  <c r="K44" i="12"/>
  <c r="L43" i="12"/>
  <c r="K43" i="12"/>
  <c r="L42" i="12"/>
  <c r="K42" i="12"/>
  <c r="L39" i="12"/>
  <c r="K39" i="12"/>
  <c r="L38" i="12"/>
  <c r="K38" i="12"/>
  <c r="L37" i="12"/>
  <c r="K37" i="12"/>
  <c r="L36" i="12"/>
  <c r="K36" i="12"/>
  <c r="L33" i="12"/>
  <c r="K33" i="12"/>
  <c r="L30" i="12"/>
  <c r="K30" i="12"/>
  <c r="L27" i="12"/>
  <c r="K27" i="12"/>
  <c r="L24" i="12"/>
  <c r="K24" i="12"/>
  <c r="L23" i="12"/>
  <c r="K23" i="12"/>
  <c r="L20" i="12"/>
  <c r="K20" i="12"/>
  <c r="L19" i="12"/>
  <c r="K19" i="12"/>
  <c r="L16" i="12"/>
  <c r="K16" i="12"/>
  <c r="L15" i="12"/>
  <c r="K15" i="12"/>
  <c r="L14" i="12"/>
  <c r="K14" i="12"/>
  <c r="L11" i="12"/>
  <c r="K11" i="12"/>
  <c r="L10" i="12"/>
  <c r="K10" i="12"/>
  <c r="L9" i="12"/>
  <c r="K9" i="12"/>
  <c r="L6" i="12"/>
  <c r="K6" i="12"/>
  <c r="L57" i="11"/>
  <c r="K57" i="11"/>
  <c r="L54" i="11"/>
  <c r="K54" i="11"/>
  <c r="L51" i="11"/>
  <c r="K51" i="11"/>
  <c r="L50" i="11"/>
  <c r="K50" i="11"/>
  <c r="L49" i="11"/>
  <c r="K49" i="11"/>
  <c r="L48" i="11"/>
  <c r="K48" i="11"/>
  <c r="L47" i="11"/>
  <c r="K47" i="11"/>
  <c r="L46" i="11"/>
  <c r="K46" i="11"/>
  <c r="L43" i="11"/>
  <c r="K43" i="11"/>
  <c r="L42" i="11"/>
  <c r="K42" i="11"/>
  <c r="L41" i="11"/>
  <c r="K41" i="11"/>
  <c r="L40" i="11"/>
  <c r="K40" i="11"/>
  <c r="L37" i="11"/>
  <c r="K37" i="11"/>
  <c r="L36" i="11"/>
  <c r="K36" i="11"/>
  <c r="L35" i="11"/>
  <c r="K35" i="11"/>
  <c r="L34" i="11"/>
  <c r="K34" i="11"/>
  <c r="L33" i="11"/>
  <c r="K33" i="11"/>
  <c r="L30" i="11"/>
  <c r="K30" i="11"/>
  <c r="L29" i="11"/>
  <c r="K29" i="11"/>
  <c r="L28" i="11"/>
  <c r="K28" i="11"/>
  <c r="L27" i="11"/>
  <c r="K27" i="11"/>
  <c r="L26" i="11"/>
  <c r="K26" i="11"/>
  <c r="L23" i="11"/>
  <c r="K23" i="11"/>
  <c r="L20" i="11"/>
  <c r="K20" i="11"/>
  <c r="L19" i="11"/>
  <c r="K19" i="11"/>
  <c r="L16" i="11"/>
  <c r="K16" i="11"/>
  <c r="L15" i="11"/>
  <c r="K15" i="11"/>
  <c r="L14" i="11"/>
  <c r="K14" i="11"/>
  <c r="L11" i="11"/>
  <c r="K11" i="11"/>
  <c r="L10" i="11"/>
  <c r="K10" i="11"/>
  <c r="L9" i="11"/>
  <c r="K9" i="11"/>
  <c r="L6" i="11"/>
  <c r="K6" i="11"/>
  <c r="L17" i="10"/>
  <c r="K17" i="10"/>
  <c r="L14" i="10"/>
  <c r="K14" i="10"/>
  <c r="L13" i="10"/>
  <c r="K13" i="10"/>
  <c r="L12" i="10"/>
  <c r="K12" i="10"/>
  <c r="L9" i="10"/>
  <c r="K9" i="10"/>
  <c r="L6" i="10"/>
  <c r="K6" i="10"/>
  <c r="T69" i="9"/>
  <c r="S69" i="9"/>
  <c r="T68" i="9"/>
  <c r="S68" i="9"/>
  <c r="T65" i="9"/>
  <c r="S65" i="9"/>
  <c r="T64" i="9"/>
  <c r="S64" i="9"/>
  <c r="T63" i="9"/>
  <c r="S63" i="9"/>
  <c r="T62" i="9"/>
  <c r="S62" i="9"/>
  <c r="T59" i="9"/>
  <c r="S59" i="9"/>
  <c r="T58" i="9"/>
  <c r="T57" i="9"/>
  <c r="T56" i="9"/>
  <c r="S56" i="9"/>
  <c r="T55" i="9"/>
  <c r="S55" i="9"/>
  <c r="T54" i="9"/>
  <c r="S54" i="9"/>
  <c r="T53" i="9"/>
  <c r="S53" i="9"/>
  <c r="T52" i="9"/>
  <c r="S52" i="9"/>
  <c r="T51" i="9"/>
  <c r="S51" i="9"/>
  <c r="T50" i="9"/>
  <c r="S50" i="9"/>
  <c r="T47" i="9"/>
  <c r="T46" i="9"/>
  <c r="S46" i="9"/>
  <c r="T45" i="9"/>
  <c r="S45" i="9"/>
  <c r="T44" i="9"/>
  <c r="S44" i="9"/>
  <c r="T41" i="9"/>
  <c r="S41" i="9"/>
  <c r="T40" i="9"/>
  <c r="S40" i="9"/>
  <c r="T39" i="9"/>
  <c r="S39" i="9"/>
  <c r="T38" i="9"/>
  <c r="S38" i="9"/>
  <c r="T35" i="9"/>
  <c r="S35" i="9"/>
  <c r="T34" i="9"/>
  <c r="S34" i="9"/>
  <c r="T31" i="9"/>
  <c r="S31" i="9"/>
  <c r="T28" i="9"/>
  <c r="S28" i="9"/>
  <c r="T25" i="9"/>
  <c r="S25" i="9"/>
  <c r="T24" i="9"/>
  <c r="S24" i="9"/>
  <c r="T23" i="9"/>
  <c r="S23" i="9"/>
  <c r="T20" i="9"/>
  <c r="T19" i="9"/>
  <c r="S19" i="9"/>
  <c r="T18" i="9"/>
  <c r="S18" i="9"/>
  <c r="T15" i="9"/>
  <c r="S15" i="9"/>
  <c r="T14" i="9"/>
  <c r="S14" i="9"/>
  <c r="T13" i="9"/>
  <c r="S13" i="9"/>
  <c r="T12" i="9"/>
  <c r="S12" i="9"/>
  <c r="T9" i="9"/>
  <c r="S9" i="9"/>
  <c r="T8" i="9"/>
  <c r="S8" i="9"/>
  <c r="T7" i="9"/>
  <c r="S7" i="9"/>
  <c r="T6" i="9"/>
  <c r="S6" i="9"/>
  <c r="T42" i="8"/>
  <c r="S42" i="8"/>
  <c r="T41" i="8"/>
  <c r="S41" i="8"/>
  <c r="T38" i="8"/>
  <c r="S38" i="8"/>
  <c r="T37" i="8"/>
  <c r="S37" i="8"/>
  <c r="T34" i="8"/>
  <c r="S34" i="8"/>
  <c r="T33" i="8"/>
  <c r="S33" i="8"/>
  <c r="T32" i="8"/>
  <c r="S32" i="8"/>
  <c r="T29" i="8"/>
  <c r="S29" i="8"/>
  <c r="T28" i="8"/>
  <c r="S28" i="8"/>
  <c r="T25" i="8"/>
  <c r="S25" i="8"/>
  <c r="T24" i="8"/>
  <c r="S24" i="8"/>
  <c r="T21" i="8"/>
  <c r="S21" i="8"/>
  <c r="T20" i="8"/>
  <c r="S20" i="8"/>
  <c r="T17" i="8"/>
  <c r="S17" i="8"/>
  <c r="T14" i="8"/>
  <c r="T11" i="8"/>
  <c r="S11" i="8"/>
  <c r="T10" i="8"/>
  <c r="S10" i="8"/>
  <c r="T9" i="8"/>
  <c r="S9" i="8"/>
  <c r="T6" i="8"/>
  <c r="S6" i="8"/>
  <c r="T12" i="6"/>
  <c r="S12" i="6"/>
  <c r="T9" i="6"/>
  <c r="S9" i="6"/>
  <c r="T6" i="6"/>
  <c r="S6" i="6"/>
  <c r="T17" i="5"/>
  <c r="S17" i="5"/>
  <c r="T16" i="5"/>
  <c r="S16" i="5"/>
  <c r="T13" i="5"/>
  <c r="S13" i="5"/>
  <c r="T12" i="5"/>
  <c r="S12" i="5"/>
  <c r="T9" i="5"/>
  <c r="S9" i="5"/>
  <c r="T6" i="5"/>
  <c r="S6" i="5"/>
</calcChain>
</file>

<file path=xl/sharedStrings.xml><?xml version="1.0" encoding="utf-8"?>
<sst xmlns="http://schemas.openxmlformats.org/spreadsheetml/2006/main" count="3099" uniqueCount="910">
  <si>
    <t>ФИО</t>
  </si>
  <si>
    <t>Сумма</t>
  </si>
  <si>
    <t>Тренер</t>
  </si>
  <si>
    <t>Очки</t>
  </si>
  <si>
    <t>Рек</t>
  </si>
  <si>
    <t>Собственный 
вес</t>
  </si>
  <si>
    <t>Город/Страна</t>
  </si>
  <si>
    <t>Приседание</t>
  </si>
  <si>
    <t>Жим лёжа</t>
  </si>
  <si>
    <t>Становая тяга</t>
  </si>
  <si>
    <t>ВЕСОВАЯ КАТЕГОРИЯ   60</t>
  </si>
  <si>
    <t>Яловой Станислав</t>
  </si>
  <si>
    <t>Открытая (23.07.2002)/18</t>
  </si>
  <si>
    <t>57,90</t>
  </si>
  <si>
    <t xml:space="preserve">KAZ/Тараз </t>
  </si>
  <si>
    <t>130,0</t>
  </si>
  <si>
    <t>140,0</t>
  </si>
  <si>
    <t>90,0</t>
  </si>
  <si>
    <t>95,0</t>
  </si>
  <si>
    <t>170,0</t>
  </si>
  <si>
    <t>180,0</t>
  </si>
  <si>
    <t>ВЕСОВАЯ КАТЕГОРИЯ   90</t>
  </si>
  <si>
    <t>Лаптев Евгений</t>
  </si>
  <si>
    <t>Открытая (17.05.2002)/18</t>
  </si>
  <si>
    <t>82,90</t>
  </si>
  <si>
    <t>200,0</t>
  </si>
  <si>
    <t>230,0</t>
  </si>
  <si>
    <t>120,0</t>
  </si>
  <si>
    <t>135,0</t>
  </si>
  <si>
    <t>ВЕСОВАЯ КАТЕГОРИЯ   110</t>
  </si>
  <si>
    <t>Меньщиков Станислав</t>
  </si>
  <si>
    <t>Открытая (31.03.1989)/32</t>
  </si>
  <si>
    <t>109,50</t>
  </si>
  <si>
    <t>260,0</t>
  </si>
  <si>
    <t>275,0</t>
  </si>
  <si>
    <t>290,0</t>
  </si>
  <si>
    <t>192,5</t>
  </si>
  <si>
    <t>207,5</t>
  </si>
  <si>
    <t>270,0</t>
  </si>
  <si>
    <t>285,0</t>
  </si>
  <si>
    <t>300,0</t>
  </si>
  <si>
    <t>Мельниченко Илья</t>
  </si>
  <si>
    <t>Открытая (12.09.1990)/30</t>
  </si>
  <si>
    <t>106,60</t>
  </si>
  <si>
    <t>240,0</t>
  </si>
  <si>
    <t>250,0</t>
  </si>
  <si>
    <t>175,0</t>
  </si>
  <si>
    <t>185,0</t>
  </si>
  <si>
    <t>187,5</t>
  </si>
  <si>
    <t>235,0</t>
  </si>
  <si>
    <t>245,0</t>
  </si>
  <si>
    <t xml:space="preserve">Михайлов Д. </t>
  </si>
  <si>
    <t>ВЕСОВАЯ КАТЕГОРИЯ   125</t>
  </si>
  <si>
    <t>Комков Александр</t>
  </si>
  <si>
    <t>Открытая (26.11.1983)/37</t>
  </si>
  <si>
    <t>122,00</t>
  </si>
  <si>
    <t>315,0</t>
  </si>
  <si>
    <t>335,0</t>
  </si>
  <si>
    <t>360,0</t>
  </si>
  <si>
    <t>202,5</t>
  </si>
  <si>
    <t>212,5</t>
  </si>
  <si>
    <t>Сидоренко Сергей</t>
  </si>
  <si>
    <t>Открытая (25.03.1982)/39</t>
  </si>
  <si>
    <t>113,50</t>
  </si>
  <si>
    <t>295,0</t>
  </si>
  <si>
    <t xml:space="preserve">Кобелев В. 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</si>
  <si>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</si>
  <si>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</si>
  <si>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</si>
  <si>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</si>
  <si>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</si>
  <si>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Сумма </t>
  </si>
  <si>
    <t xml:space="preserve">Wilks </t>
  </si>
  <si>
    <t>125</t>
  </si>
  <si>
    <t>1</t>
  </si>
  <si>
    <t/>
  </si>
  <si>
    <t>2</t>
  </si>
  <si>
    <t>ВЕСОВАЯ КАТЕГОРИЯ   48</t>
  </si>
  <si>
    <t>Гусева Ксения</t>
  </si>
  <si>
    <t>Открытая (26.06.2000)/20</t>
  </si>
  <si>
    <t>47,50</t>
  </si>
  <si>
    <t>80,0</t>
  </si>
  <si>
    <t>87,5</t>
  </si>
  <si>
    <t>92,5</t>
  </si>
  <si>
    <t>40,0</t>
  </si>
  <si>
    <t>45,0</t>
  </si>
  <si>
    <t>47,5</t>
  </si>
  <si>
    <t>82,5</t>
  </si>
  <si>
    <t>Михайлова Светлана</t>
  </si>
  <si>
    <t>Открытая (24.10.1981)/39</t>
  </si>
  <si>
    <t>59,90</t>
  </si>
  <si>
    <t>100,0</t>
  </si>
  <si>
    <t>52,5</t>
  </si>
  <si>
    <t>55,0</t>
  </si>
  <si>
    <t>150,0</t>
  </si>
  <si>
    <t>155,0</t>
  </si>
  <si>
    <t>Золотов Сергей</t>
  </si>
  <si>
    <t>Открытая (13.11.1991)/29</t>
  </si>
  <si>
    <t>88,70</t>
  </si>
  <si>
    <t>195,0</t>
  </si>
  <si>
    <t>205,0</t>
  </si>
  <si>
    <t>210,0</t>
  </si>
  <si>
    <t>125,0</t>
  </si>
  <si>
    <t>220,0</t>
  </si>
  <si>
    <t>225,0</t>
  </si>
  <si>
    <t xml:space="preserve">Женщины </t>
  </si>
  <si>
    <t>60</t>
  </si>
  <si>
    <t>90</t>
  </si>
  <si>
    <t>Жук Юлия</t>
  </si>
  <si>
    <t>Открытая (01.04.1986)/35</t>
  </si>
  <si>
    <t>47,90</t>
  </si>
  <si>
    <t>102,5</t>
  </si>
  <si>
    <t>108,0</t>
  </si>
  <si>
    <t>110,0</t>
  </si>
  <si>
    <t>50,0</t>
  </si>
  <si>
    <t>127,5</t>
  </si>
  <si>
    <t>136,0</t>
  </si>
  <si>
    <t xml:space="preserve">Таранухин Г. </t>
  </si>
  <si>
    <t>ВЕСОВАЯ КАТЕГОРИЯ   56</t>
  </si>
  <si>
    <t>Абрамова Юлия</t>
  </si>
  <si>
    <t>Открытая (29.06.1982)/38</t>
  </si>
  <si>
    <t>55,70</t>
  </si>
  <si>
    <t>137,5</t>
  </si>
  <si>
    <t>145,0</t>
  </si>
  <si>
    <t>75,0</t>
  </si>
  <si>
    <t>193,0</t>
  </si>
  <si>
    <t>Юсупова Роза</t>
  </si>
  <si>
    <t>Открытая (01.04.1981)/40</t>
  </si>
  <si>
    <t>55,50</t>
  </si>
  <si>
    <t>107,5</t>
  </si>
  <si>
    <t>112,5</t>
  </si>
  <si>
    <t>117,5</t>
  </si>
  <si>
    <t>65,0</t>
  </si>
  <si>
    <t>70,0</t>
  </si>
  <si>
    <t>72,5</t>
  </si>
  <si>
    <t xml:space="preserve">Горбачев Г. </t>
  </si>
  <si>
    <t>Мастера 40-49 (01.04.1981)/40</t>
  </si>
  <si>
    <t>ВЕСОВАЯ КАТЕГОРИЯ   75</t>
  </si>
  <si>
    <t>Парджиани Анна</t>
  </si>
  <si>
    <t>Открытая (06.11.1996)/24</t>
  </si>
  <si>
    <t>75,00</t>
  </si>
  <si>
    <t>215,0</t>
  </si>
  <si>
    <t xml:space="preserve">Непотюк А. </t>
  </si>
  <si>
    <t>Смирнов Виталий</t>
  </si>
  <si>
    <t>Открытая (17.11.1987)/33</t>
  </si>
  <si>
    <t>74,30</t>
  </si>
  <si>
    <t>160,0</t>
  </si>
  <si>
    <t>177,5</t>
  </si>
  <si>
    <t>105,0</t>
  </si>
  <si>
    <t>115,0</t>
  </si>
  <si>
    <t>190,0</t>
  </si>
  <si>
    <t>ВЕСОВАЯ КАТЕГОРИЯ   82.5</t>
  </si>
  <si>
    <t>Буров Виталий</t>
  </si>
  <si>
    <t>Открытая (22.05.1986)/34</t>
  </si>
  <si>
    <t>80,30</t>
  </si>
  <si>
    <t>Филиппов Андрей</t>
  </si>
  <si>
    <t>Открытая (10.06.1989)/31</t>
  </si>
  <si>
    <t>82,10</t>
  </si>
  <si>
    <t>217,5</t>
  </si>
  <si>
    <t>267,5</t>
  </si>
  <si>
    <t>Кульпин Никита</t>
  </si>
  <si>
    <t>Открытая (11.10.1993)/27</t>
  </si>
  <si>
    <t>87,60</t>
  </si>
  <si>
    <t>165,0</t>
  </si>
  <si>
    <t>227,5</t>
  </si>
  <si>
    <t>Дубков Дмитрий</t>
  </si>
  <si>
    <t>Мастера 40-49 (29.01.1980)/41</t>
  </si>
  <si>
    <t>87,50</t>
  </si>
  <si>
    <t xml:space="preserve">Василенко А </t>
  </si>
  <si>
    <t>ВЕСОВАЯ КАТЕГОРИЯ   100</t>
  </si>
  <si>
    <t>Комисаров Михаил</t>
  </si>
  <si>
    <t>Открытая (23.08.1995)/25</t>
  </si>
  <si>
    <t>99,00</t>
  </si>
  <si>
    <t>310,0</t>
  </si>
  <si>
    <t>Бодряков Александр</t>
  </si>
  <si>
    <t>Открытая (10.04.1990)/31</t>
  </si>
  <si>
    <t>98,70</t>
  </si>
  <si>
    <t>147,5</t>
  </si>
  <si>
    <t>242,5</t>
  </si>
  <si>
    <t xml:space="preserve">Тимофеев Д. </t>
  </si>
  <si>
    <t>Попов Денис</t>
  </si>
  <si>
    <t>Открытая (18.05.1989)/31</t>
  </si>
  <si>
    <t>109,80</t>
  </si>
  <si>
    <t>Еремеев Иван</t>
  </si>
  <si>
    <t>Открытая (21.08.1984)/36</t>
  </si>
  <si>
    <t>108,10</t>
  </si>
  <si>
    <t>Лепешенков Владимир</t>
  </si>
  <si>
    <t>Открытая (05.03.1982)/39</t>
  </si>
  <si>
    <t>107,80</t>
  </si>
  <si>
    <t>152,5</t>
  </si>
  <si>
    <t>157,5</t>
  </si>
  <si>
    <t xml:space="preserve">Москвичев А. </t>
  </si>
  <si>
    <t>Дондуков Андрей</t>
  </si>
  <si>
    <t>Открытая (05.11.1986)/34</t>
  </si>
  <si>
    <t>117,10</t>
  </si>
  <si>
    <t>Мыськив Андрей</t>
  </si>
  <si>
    <t>Открытая (02.04.1986)/35</t>
  </si>
  <si>
    <t>123,60</t>
  </si>
  <si>
    <t>255,0</t>
  </si>
  <si>
    <t>ВЕСОВАЯ КАТЕГОРИЯ   140</t>
  </si>
  <si>
    <t>Безинских Максим</t>
  </si>
  <si>
    <t>Открытая (18.05.1986)/34</t>
  </si>
  <si>
    <t>138,30</t>
  </si>
  <si>
    <t>272,5</t>
  </si>
  <si>
    <t>277,5</t>
  </si>
  <si>
    <t>292,5</t>
  </si>
  <si>
    <t>Хоружин Николай</t>
  </si>
  <si>
    <t>Открытая (11.07.1994)/26</t>
  </si>
  <si>
    <t>130,90</t>
  </si>
  <si>
    <t>56</t>
  </si>
  <si>
    <t>325,0</t>
  </si>
  <si>
    <t xml:space="preserve">Мастера </t>
  </si>
  <si>
    <t>82.5</t>
  </si>
  <si>
    <t>675,0</t>
  </si>
  <si>
    <t>459,7425</t>
  </si>
  <si>
    <t>100</t>
  </si>
  <si>
    <t>745,0</t>
  </si>
  <si>
    <t>455,2695</t>
  </si>
  <si>
    <t>765,0</t>
  </si>
  <si>
    <t>442,3995</t>
  </si>
  <si>
    <t>-</t>
  </si>
  <si>
    <t>3</t>
  </si>
  <si>
    <t>ВЕСОВАЯ КАТЕГОРИЯ   52</t>
  </si>
  <si>
    <t>Коркина Рената</t>
  </si>
  <si>
    <t>Открытая (24.06.1986)/34</t>
  </si>
  <si>
    <t>50,00</t>
  </si>
  <si>
    <t>57,5</t>
  </si>
  <si>
    <t>62,5</t>
  </si>
  <si>
    <t>67,5</t>
  </si>
  <si>
    <t>Осинкина Ксения</t>
  </si>
  <si>
    <t>Открытая (19.09.1990)/30</t>
  </si>
  <si>
    <t>49,90</t>
  </si>
  <si>
    <t>85,0</t>
  </si>
  <si>
    <t>Зульфугарова Сабина</t>
  </si>
  <si>
    <t>Открытая (22.03.1996)/25</t>
  </si>
  <si>
    <t>50,90</t>
  </si>
  <si>
    <t>97,5</t>
  </si>
  <si>
    <t>Семенова Анна</t>
  </si>
  <si>
    <t>Открытая (05.09.1990)/30</t>
  </si>
  <si>
    <t>51,80</t>
  </si>
  <si>
    <t>Чусовская Елизавета</t>
  </si>
  <si>
    <t>Юниорки (29.08.1998)/22</t>
  </si>
  <si>
    <t>60,0</t>
  </si>
  <si>
    <t>132,5</t>
  </si>
  <si>
    <t>142,5</t>
  </si>
  <si>
    <t xml:space="preserve">Дробиков А. </t>
  </si>
  <si>
    <t>Хоружина Татьяна</t>
  </si>
  <si>
    <t>Открытая (22.06.1994)/26</t>
  </si>
  <si>
    <t>55,30</t>
  </si>
  <si>
    <t>42,5</t>
  </si>
  <si>
    <t>Андилахай Людмила</t>
  </si>
  <si>
    <t>Открытая (01.07.1988)/32</t>
  </si>
  <si>
    <t>54,80</t>
  </si>
  <si>
    <t>30,0</t>
  </si>
  <si>
    <t>32,5</t>
  </si>
  <si>
    <t xml:space="preserve">Авдеева А. </t>
  </si>
  <si>
    <t>Чурилова Ольга</t>
  </si>
  <si>
    <t>Мастера 50-59 (27.01.1971)/50</t>
  </si>
  <si>
    <t>55,00</t>
  </si>
  <si>
    <t>35,0</t>
  </si>
  <si>
    <t>Авдеева Анастасия</t>
  </si>
  <si>
    <t>Открытая (18.09.1978)/42</t>
  </si>
  <si>
    <t>60,00</t>
  </si>
  <si>
    <t>Здобникова Алена</t>
  </si>
  <si>
    <t>Открытая (10.01.1985)/36</t>
  </si>
  <si>
    <t>56,70</t>
  </si>
  <si>
    <t>Иванова Александра</t>
  </si>
  <si>
    <t>Открытая (12.05.1991)/29</t>
  </si>
  <si>
    <t>58,90</t>
  </si>
  <si>
    <t>122,5</t>
  </si>
  <si>
    <t>ВЕСОВАЯ КАТЕГОРИЯ   67.5</t>
  </si>
  <si>
    <t>Фирсова Анастасия</t>
  </si>
  <si>
    <t>Открытая (14.09.1983)/37</t>
  </si>
  <si>
    <t>64,10</t>
  </si>
  <si>
    <t xml:space="preserve">Матвеев С. </t>
  </si>
  <si>
    <t>Гурьева Евгения</t>
  </si>
  <si>
    <t>Открытая (05.05.1995)/25</t>
  </si>
  <si>
    <t>64,20</t>
  </si>
  <si>
    <t xml:space="preserve">Грицаев Д. </t>
  </si>
  <si>
    <t>Зализко Светлана</t>
  </si>
  <si>
    <t>Мастера 40-49 (20.10.1977)/43</t>
  </si>
  <si>
    <t>66,90</t>
  </si>
  <si>
    <t xml:space="preserve">Волков А. </t>
  </si>
  <si>
    <t>Юнусова Маргарита</t>
  </si>
  <si>
    <t>Открытая (13.04.1988)/33</t>
  </si>
  <si>
    <t>73,50</t>
  </si>
  <si>
    <t>Молчанов Андрей</t>
  </si>
  <si>
    <t>Открытая (10.04.1995)/26</t>
  </si>
  <si>
    <t>Сюсин Иван</t>
  </si>
  <si>
    <t>Открытая (18.01.1996)/25</t>
  </si>
  <si>
    <t>67,40</t>
  </si>
  <si>
    <t xml:space="preserve">Луговой А. </t>
  </si>
  <si>
    <t>Савельев Никита</t>
  </si>
  <si>
    <t>Открытая (30.11.2001)/19</t>
  </si>
  <si>
    <t>Кондрашов Арсений</t>
  </si>
  <si>
    <t>Юноши 14-16 (21.05.2006)/14</t>
  </si>
  <si>
    <t>72,50</t>
  </si>
  <si>
    <t>Баштаров Максим</t>
  </si>
  <si>
    <t>Юноши 17-19 (25.06.2002)/18</t>
  </si>
  <si>
    <t>74,00</t>
  </si>
  <si>
    <t>Сергейчук Сергей</t>
  </si>
  <si>
    <t>Юниоры (10.04.1998)/23</t>
  </si>
  <si>
    <t>72,20</t>
  </si>
  <si>
    <t>Терещенко Илья</t>
  </si>
  <si>
    <t>Открытая (06.02.2003)/18</t>
  </si>
  <si>
    <t>71,30</t>
  </si>
  <si>
    <t>162,5</t>
  </si>
  <si>
    <t xml:space="preserve">Лузанов А. </t>
  </si>
  <si>
    <t>Ан Сергей</t>
  </si>
  <si>
    <t>Открытая (09.11.1987)/33</t>
  </si>
  <si>
    <t>82,20</t>
  </si>
  <si>
    <t>252,5</t>
  </si>
  <si>
    <t>Усов Александр</t>
  </si>
  <si>
    <t>Открытая (19.04.1988)/33</t>
  </si>
  <si>
    <t>81,50</t>
  </si>
  <si>
    <t>Фирсов Игорь</t>
  </si>
  <si>
    <t>Открытая (25.12.1983)/37</t>
  </si>
  <si>
    <t>80,20</t>
  </si>
  <si>
    <t>Платонов Максим</t>
  </si>
  <si>
    <t>Открытая (07.04.1995)/26</t>
  </si>
  <si>
    <t>78,90</t>
  </si>
  <si>
    <t>Мамедов Фарид</t>
  </si>
  <si>
    <t>Юноши 17-19 (18.10.2001)/19</t>
  </si>
  <si>
    <t>86,30</t>
  </si>
  <si>
    <t>Ройхка Андрей</t>
  </si>
  <si>
    <t>Юноши 17-19 (22.06.2001)/19</t>
  </si>
  <si>
    <t>87,40</t>
  </si>
  <si>
    <t xml:space="preserve">Либина В. </t>
  </si>
  <si>
    <t>Марков Эдуард</t>
  </si>
  <si>
    <t>Юниоры (17.03.1998)/23</t>
  </si>
  <si>
    <t>89,00</t>
  </si>
  <si>
    <t>Открытая (17.03.1998)/23</t>
  </si>
  <si>
    <t>Евмушков Максим</t>
  </si>
  <si>
    <t>Открытая (15.05.1983)/37</t>
  </si>
  <si>
    <t>89,80</t>
  </si>
  <si>
    <t xml:space="preserve">Гулевский </t>
  </si>
  <si>
    <t>Решетников Вячеслав</t>
  </si>
  <si>
    <t>Открытая (17.01.1994)/27</t>
  </si>
  <si>
    <t>89,50</t>
  </si>
  <si>
    <t>Литун Кирилл</t>
  </si>
  <si>
    <t>Открытая (31.03.1994)/27</t>
  </si>
  <si>
    <t>88,90</t>
  </si>
  <si>
    <t xml:space="preserve">Кудачкин К. </t>
  </si>
  <si>
    <t>Егоров Дмитрий</t>
  </si>
  <si>
    <t>Открытая (07.01.1989)/32</t>
  </si>
  <si>
    <t>88,00</t>
  </si>
  <si>
    <t>Бирюков Дмитрий</t>
  </si>
  <si>
    <t>Открытая (04.09.1996)/24</t>
  </si>
  <si>
    <t>88,10</t>
  </si>
  <si>
    <t>Клюквин Дмитрий</t>
  </si>
  <si>
    <t>Мастера 40-49 (08.06.1977)/43</t>
  </si>
  <si>
    <t>89,40</t>
  </si>
  <si>
    <t>Юроев Андрей</t>
  </si>
  <si>
    <t>Открытая (30.10.1980)/40</t>
  </si>
  <si>
    <t>97,90</t>
  </si>
  <si>
    <t>172,5</t>
  </si>
  <si>
    <t>280,0</t>
  </si>
  <si>
    <t>Холунин Алексей</t>
  </si>
  <si>
    <t>Открытая (15.04.1982)/39</t>
  </si>
  <si>
    <t>93,30</t>
  </si>
  <si>
    <t>Кормаков Виктор</t>
  </si>
  <si>
    <t>Открытая (09.06.1984)/36</t>
  </si>
  <si>
    <t>99,10</t>
  </si>
  <si>
    <t>197,5</t>
  </si>
  <si>
    <t xml:space="preserve">Боровков С. </t>
  </si>
  <si>
    <t>Силаев Владислав</t>
  </si>
  <si>
    <t>Открытая (24.04.1995)/26</t>
  </si>
  <si>
    <t>93,50</t>
  </si>
  <si>
    <t>Гнабро Элизе</t>
  </si>
  <si>
    <t>Открытая (11.07.1998)/22</t>
  </si>
  <si>
    <t>123,40</t>
  </si>
  <si>
    <t>Софронов Антон</t>
  </si>
  <si>
    <t>Открытая (05.07.1988)/32</t>
  </si>
  <si>
    <t>110,80</t>
  </si>
  <si>
    <t>222,5</t>
  </si>
  <si>
    <t xml:space="preserve">Беляев В. </t>
  </si>
  <si>
    <t>52</t>
  </si>
  <si>
    <t>356,4765</t>
  </si>
  <si>
    <t>326,1082</t>
  </si>
  <si>
    <t>308,7840</t>
  </si>
  <si>
    <t xml:space="preserve">Мастера 50-59 </t>
  </si>
  <si>
    <t>75</t>
  </si>
  <si>
    <t>607,5</t>
  </si>
  <si>
    <t>390,0757</t>
  </si>
  <si>
    <t>660,0</t>
  </si>
  <si>
    <t>405,1740</t>
  </si>
  <si>
    <t>685,0</t>
  </si>
  <si>
    <t>391,4090</t>
  </si>
  <si>
    <t>4</t>
  </si>
  <si>
    <t>Антропов Александр</t>
  </si>
  <si>
    <t>Открытая (14.03.1969)/52</t>
  </si>
  <si>
    <t>72,90</t>
  </si>
  <si>
    <t xml:space="preserve">Фомичев К. </t>
  </si>
  <si>
    <t>Курбатов Владимир</t>
  </si>
  <si>
    <t>Открытая (01.08.1980)/40</t>
  </si>
  <si>
    <t>Боев Виталий</t>
  </si>
  <si>
    <t>Открытая (27.06.1984)/36</t>
  </si>
  <si>
    <t>97,70</t>
  </si>
  <si>
    <t>Волков Вячеслав</t>
  </si>
  <si>
    <t>Открытая (10.04.1979)/42</t>
  </si>
  <si>
    <t>92,70</t>
  </si>
  <si>
    <t>Мастера 40-49 (10.04.1979)/42</t>
  </si>
  <si>
    <t>Лучинский Сергей</t>
  </si>
  <si>
    <t>Открытая (12.11.1981)/39</t>
  </si>
  <si>
    <t>106,30</t>
  </si>
  <si>
    <t xml:space="preserve">Результат </t>
  </si>
  <si>
    <t>Результат</t>
  </si>
  <si>
    <t>Гулина Татьяна</t>
  </si>
  <si>
    <t>Мастера 40-49 (28.04.1973)/47</t>
  </si>
  <si>
    <t>Ударова Янина</t>
  </si>
  <si>
    <t>Открытая (25.06.1988)/32</t>
  </si>
  <si>
    <t>54,90</t>
  </si>
  <si>
    <t>Галич Инга</t>
  </si>
  <si>
    <t>Открытая (18.01.1970)/51</t>
  </si>
  <si>
    <t>67,00</t>
  </si>
  <si>
    <t>111,0</t>
  </si>
  <si>
    <t>176,0</t>
  </si>
  <si>
    <t xml:space="preserve">Суслов Н. </t>
  </si>
  <si>
    <t>Румянцева Светлана</t>
  </si>
  <si>
    <t>Открытая (16.05.1988)/32</t>
  </si>
  <si>
    <t>67,50</t>
  </si>
  <si>
    <t>Мастера 50-59 (18.01.1970)/51</t>
  </si>
  <si>
    <t>Струве Дмитрий</t>
  </si>
  <si>
    <t>Открытая (18.10.1987)/33</t>
  </si>
  <si>
    <t>73,20</t>
  </si>
  <si>
    <t>Мастера 50-59 (14.03.1969)/52</t>
  </si>
  <si>
    <t>181,0</t>
  </si>
  <si>
    <t>Меркулов Михаил</t>
  </si>
  <si>
    <t>Открытая (03.11.1987)/33</t>
  </si>
  <si>
    <t>82,00</t>
  </si>
  <si>
    <t xml:space="preserve">Коробов И. </t>
  </si>
  <si>
    <t>Александров Александр</t>
  </si>
  <si>
    <t>Открытая (19.07.1979)/41</t>
  </si>
  <si>
    <t>87,90</t>
  </si>
  <si>
    <t>Клищ Роман</t>
  </si>
  <si>
    <t>Открытая (29.03.1992)/29</t>
  </si>
  <si>
    <t>89,90</t>
  </si>
  <si>
    <t>Белов Станислав</t>
  </si>
  <si>
    <t>Открытая (11.11.1990)/30</t>
  </si>
  <si>
    <t>89,10</t>
  </si>
  <si>
    <t xml:space="preserve">Андреанов С. </t>
  </si>
  <si>
    <t>Кармальков Сергей</t>
  </si>
  <si>
    <t>Открытая (01.06.1981)/39</t>
  </si>
  <si>
    <t>88,60</t>
  </si>
  <si>
    <t xml:space="preserve">Криволап Ф. </t>
  </si>
  <si>
    <t>Мастера 40-49 (19.07.1979)/41</t>
  </si>
  <si>
    <t>Кандауров Станислав</t>
  </si>
  <si>
    <t>Открытая (26.05.1990)/30</t>
  </si>
  <si>
    <t>95,60</t>
  </si>
  <si>
    <t>Солнцев Иван</t>
  </si>
  <si>
    <t>Открытая (25.03.1974)/47</t>
  </si>
  <si>
    <t>99,80</t>
  </si>
  <si>
    <t>Мутелимов Абдурагим</t>
  </si>
  <si>
    <t>Открытая (15.07.1995)/25</t>
  </si>
  <si>
    <t>Мастера 40-49 (25.03.1974)/47</t>
  </si>
  <si>
    <t>Бантов Леонил</t>
  </si>
  <si>
    <t>Мастера 70-79 (27.08.1942)/78</t>
  </si>
  <si>
    <t>Подторжнов Алексей</t>
  </si>
  <si>
    <t>Открытая (06.04.1979)/42</t>
  </si>
  <si>
    <t>107,50</t>
  </si>
  <si>
    <t>Кожемякин Евгений</t>
  </si>
  <si>
    <t>Открытая (30.09.1982)/38</t>
  </si>
  <si>
    <t>106,90</t>
  </si>
  <si>
    <t>Мастера 40-49 (06.04.1979)/42</t>
  </si>
  <si>
    <t>Черненко Дмитрий</t>
  </si>
  <si>
    <t>Мастера 40-49 (17.02.1973)/48</t>
  </si>
  <si>
    <t>104,80</t>
  </si>
  <si>
    <t>Пухов Алексей</t>
  </si>
  <si>
    <t>Открытая (08.02.1974)/47</t>
  </si>
  <si>
    <t>112,10</t>
  </si>
  <si>
    <t>Чулин Сергей</t>
  </si>
  <si>
    <t>Открытая (18.04.1987)/34</t>
  </si>
  <si>
    <t>123,00</t>
  </si>
  <si>
    <t>Петров Лев</t>
  </si>
  <si>
    <t>Открытая (07.01.1974)/47</t>
  </si>
  <si>
    <t>120,60</t>
  </si>
  <si>
    <t>Мастера 40-49 (07.01.1974)/47</t>
  </si>
  <si>
    <t>Пешков Андрей</t>
  </si>
  <si>
    <t>Мастера 50-59 (05.11.1963)/57</t>
  </si>
  <si>
    <t>Ефименков Александр</t>
  </si>
  <si>
    <t>Мастера 60-69 (09.09.1958)/62</t>
  </si>
  <si>
    <t>116,80</t>
  </si>
  <si>
    <t>Зубарев Андрей</t>
  </si>
  <si>
    <t>Мастера 40-49 (01.02.1981)/40</t>
  </si>
  <si>
    <t>132,60</t>
  </si>
  <si>
    <t>ВЕСОВАЯ КАТЕГОРИЯ   140+</t>
  </si>
  <si>
    <t>Гогуев Расул</t>
  </si>
  <si>
    <t>Открытая (26.08.1987)/33</t>
  </si>
  <si>
    <t>161,00</t>
  </si>
  <si>
    <t xml:space="preserve">Гаджиев Р. </t>
  </si>
  <si>
    <t>138,9545</t>
  </si>
  <si>
    <t>131,6700</t>
  </si>
  <si>
    <t>125,7960</t>
  </si>
  <si>
    <t xml:space="preserve">Мастера 60-69 </t>
  </si>
  <si>
    <t>166,6656</t>
  </si>
  <si>
    <t>157,5952</t>
  </si>
  <si>
    <t xml:space="preserve">Мастера 70-79 </t>
  </si>
  <si>
    <t>157,5691</t>
  </si>
  <si>
    <t>ВЕСОВАЯ КАТЕГОРИЯ   44</t>
  </si>
  <si>
    <t>Татаренко Анастасия</t>
  </si>
  <si>
    <t>Открытая (11.05.1991)/29</t>
  </si>
  <si>
    <t>43,50</t>
  </si>
  <si>
    <t xml:space="preserve">Александров А. </t>
  </si>
  <si>
    <t>Бурова Злата</t>
  </si>
  <si>
    <t>Открытая (13.12.1994)/26</t>
  </si>
  <si>
    <t>51,60</t>
  </si>
  <si>
    <t xml:space="preserve">Буров В. </t>
  </si>
  <si>
    <t>Ходакова Василиса</t>
  </si>
  <si>
    <t>Открытая (25.09.1998)/22</t>
  </si>
  <si>
    <t>51,90</t>
  </si>
  <si>
    <t>Гоголева Мария</t>
  </si>
  <si>
    <t>Открытая (08.11.1975)/45</t>
  </si>
  <si>
    <t>77,5</t>
  </si>
  <si>
    <t>Томарева Мария</t>
  </si>
  <si>
    <t>Открытая (04.05.1985)/35</t>
  </si>
  <si>
    <t>Мастера 40-49 (08.11.1975)/45</t>
  </si>
  <si>
    <t>Бучнева Валерия</t>
  </si>
  <si>
    <t>Девушки 17-19 (10.05.2001)/19</t>
  </si>
  <si>
    <t>58,30</t>
  </si>
  <si>
    <t>Лукашова Татьяна</t>
  </si>
  <si>
    <t>Открытая (11.03.1984)/37</t>
  </si>
  <si>
    <t>58,10</t>
  </si>
  <si>
    <t>Матвеева Наталия</t>
  </si>
  <si>
    <t>Открытая (06.10.1961)/59</t>
  </si>
  <si>
    <t>73,00</t>
  </si>
  <si>
    <t>Мастера 50-59 (06.10.1961)/59</t>
  </si>
  <si>
    <t>Нефедова Алена</t>
  </si>
  <si>
    <t>Открытая (14.07.1984)/36</t>
  </si>
  <si>
    <t>79,80</t>
  </si>
  <si>
    <t>Николаев Игорь</t>
  </si>
  <si>
    <t>Открытая (24.07.1990)/30</t>
  </si>
  <si>
    <t>Титюк Олег</t>
  </si>
  <si>
    <t>Юноши 17-19 (20.10.2001)/19</t>
  </si>
  <si>
    <t>73,30</t>
  </si>
  <si>
    <t>Елисеев Андрей</t>
  </si>
  <si>
    <t>Открытая (29.09.1985)/35</t>
  </si>
  <si>
    <t>71,70</t>
  </si>
  <si>
    <t xml:space="preserve">Беспалов А. </t>
  </si>
  <si>
    <t>Мухарьямов Артем</t>
  </si>
  <si>
    <t>Открытая (03.08.1989)/31</t>
  </si>
  <si>
    <t>74,90</t>
  </si>
  <si>
    <t>Смирнов Сергей</t>
  </si>
  <si>
    <t>Открытая (11.08.1987)/33</t>
  </si>
  <si>
    <t>74,80</t>
  </si>
  <si>
    <t>Глазков Вячеслав</t>
  </si>
  <si>
    <t>Юноши 17-19 (10.01.2003)/18</t>
  </si>
  <si>
    <t>78,20</t>
  </si>
  <si>
    <t xml:space="preserve">Новосной С. </t>
  </si>
  <si>
    <t>Ошков Александр</t>
  </si>
  <si>
    <t>Юноши 17-19 (26.11.2003)/17</t>
  </si>
  <si>
    <t>Ядрышников Владислав</t>
  </si>
  <si>
    <t>Юниоры (21.01.2000)/21</t>
  </si>
  <si>
    <t>80,70</t>
  </si>
  <si>
    <t>Минин Павел</t>
  </si>
  <si>
    <t>Открытая (14.08.1983)/37</t>
  </si>
  <si>
    <t>Костылев Александр</t>
  </si>
  <si>
    <t>Открытая (28.04.1987)/33</t>
  </si>
  <si>
    <t>81,10</t>
  </si>
  <si>
    <t>Горбатко Сергей</t>
  </si>
  <si>
    <t>Открытая (26.10.1992)/28</t>
  </si>
  <si>
    <t>79,90</t>
  </si>
  <si>
    <t xml:space="preserve">BLR/Минск </t>
  </si>
  <si>
    <t>Андреев Андрей</t>
  </si>
  <si>
    <t>Открытая (04.09.1985)/35</t>
  </si>
  <si>
    <t>81,80</t>
  </si>
  <si>
    <t>Петров Михаил</t>
  </si>
  <si>
    <t>Мастера 40-49 (27.05.1973)/47</t>
  </si>
  <si>
    <t>82,40</t>
  </si>
  <si>
    <t>Петросян Армен</t>
  </si>
  <si>
    <t>Мастера 40-49 (08.09.1978)/42</t>
  </si>
  <si>
    <t>81,40</t>
  </si>
  <si>
    <t>Воронов Александр</t>
  </si>
  <si>
    <t>Мастера 40-49 (25.12.1979)/41</t>
  </si>
  <si>
    <t>80,40</t>
  </si>
  <si>
    <t>Ефимов Сергей</t>
  </si>
  <si>
    <t>Мастера 50-59 (16.12.1967)/53</t>
  </si>
  <si>
    <t>80,60</t>
  </si>
  <si>
    <t>Колесников Артём</t>
  </si>
  <si>
    <t>Юноши 17-19 (04.06.2002)/18</t>
  </si>
  <si>
    <t>Росляков Сергей</t>
  </si>
  <si>
    <t>Открытая (08.12.1986)/34</t>
  </si>
  <si>
    <t>90,00</t>
  </si>
  <si>
    <t xml:space="preserve">Гришечко Р. </t>
  </si>
  <si>
    <t>Петров Александр</t>
  </si>
  <si>
    <t>Открытая (03.03.1984)/37</t>
  </si>
  <si>
    <t>Торопов Артем</t>
  </si>
  <si>
    <t>Открытая (05.10.1992)/28</t>
  </si>
  <si>
    <t>86,90</t>
  </si>
  <si>
    <t>Аксельрод Дмитрий</t>
  </si>
  <si>
    <t>Открытая (21.10.1983)/37</t>
  </si>
  <si>
    <t xml:space="preserve">Калашник Е. </t>
  </si>
  <si>
    <t>Хорошилов Виталий</t>
  </si>
  <si>
    <t>Открытая (28.01.1983)/38</t>
  </si>
  <si>
    <t>88,30</t>
  </si>
  <si>
    <t xml:space="preserve">Мухаметшин Р. </t>
  </si>
  <si>
    <t>Киселёв Артём</t>
  </si>
  <si>
    <t>Открытая (18.05.1990)/30</t>
  </si>
  <si>
    <t>88,50</t>
  </si>
  <si>
    <t>Егоров Вячеслав</t>
  </si>
  <si>
    <t>Открытая (26.09.1996)/24</t>
  </si>
  <si>
    <t>89,30</t>
  </si>
  <si>
    <t>Череповецкий Виктор</t>
  </si>
  <si>
    <t>Мастера 40-49 (09.02.1981)/40</t>
  </si>
  <si>
    <t>85,10</t>
  </si>
  <si>
    <t xml:space="preserve">Ярошко Е. </t>
  </si>
  <si>
    <t>Паншин Константин</t>
  </si>
  <si>
    <t>Мастера 60-69 (22.01.1960)/61</t>
  </si>
  <si>
    <t>88,40</t>
  </si>
  <si>
    <t>Федоров Семён</t>
  </si>
  <si>
    <t>Юноши 17-19 (03.10.2001)/19</t>
  </si>
  <si>
    <t>96,40</t>
  </si>
  <si>
    <t>Соколов Алексей</t>
  </si>
  <si>
    <t>Открытая (10.10.1984)/36</t>
  </si>
  <si>
    <t>96,00</t>
  </si>
  <si>
    <t>Кочуров Павел</t>
  </si>
  <si>
    <t>Открытая (04.06.1996)/24</t>
  </si>
  <si>
    <t>98,90</t>
  </si>
  <si>
    <t>Мельник Антон</t>
  </si>
  <si>
    <t>Открытая (16.04.1988)/33</t>
  </si>
  <si>
    <t>Иванов Тимофей</t>
  </si>
  <si>
    <t>Открытая (20.09.1985)/35</t>
  </si>
  <si>
    <t>Егоров Георгий</t>
  </si>
  <si>
    <t>Мастера 40-49 (17.03.1972)/49</t>
  </si>
  <si>
    <t>98,80</t>
  </si>
  <si>
    <t>Новохоцкий Александр</t>
  </si>
  <si>
    <t>Открытая (29.09.1988)/32</t>
  </si>
  <si>
    <t>106,70</t>
  </si>
  <si>
    <t>167,5</t>
  </si>
  <si>
    <t>Вежов Михаил</t>
  </si>
  <si>
    <t>Открытая (31.05.1988)/32</t>
  </si>
  <si>
    <t>102,30</t>
  </si>
  <si>
    <t>Щелоков Павел</t>
  </si>
  <si>
    <t>Открытая (29.10.1993)/27</t>
  </si>
  <si>
    <t>105,10</t>
  </si>
  <si>
    <t>98,4473</t>
  </si>
  <si>
    <t>80,2875</t>
  </si>
  <si>
    <t>72,1107</t>
  </si>
  <si>
    <t>129,2760</t>
  </si>
  <si>
    <t>117,6290</t>
  </si>
  <si>
    <t>116,1470</t>
  </si>
  <si>
    <t>5</t>
  </si>
  <si>
    <t>6</t>
  </si>
  <si>
    <t>7</t>
  </si>
  <si>
    <t>Морозова Екатерина</t>
  </si>
  <si>
    <t>Открытая (23.07.1978)/42</t>
  </si>
  <si>
    <t>67,30</t>
  </si>
  <si>
    <t>Удачин Сергей</t>
  </si>
  <si>
    <t>Открытая (19.06.1987)/33</t>
  </si>
  <si>
    <t>98,00</t>
  </si>
  <si>
    <t>Медведева Юлия</t>
  </si>
  <si>
    <t>Открытая (08.07.1979)/41</t>
  </si>
  <si>
    <t>85,40</t>
  </si>
  <si>
    <t>Петренко Александр</t>
  </si>
  <si>
    <t>Открытая (27.05.1990)/30</t>
  </si>
  <si>
    <t>82,50</t>
  </si>
  <si>
    <t>342,5</t>
  </si>
  <si>
    <t>Обрывченко Юрий</t>
  </si>
  <si>
    <t>Открытая (19.01.1987)/34</t>
  </si>
  <si>
    <t>119,60</t>
  </si>
  <si>
    <t>350,0</t>
  </si>
  <si>
    <t xml:space="preserve">Васильев Е. </t>
  </si>
  <si>
    <t>Никитин Анатолий</t>
  </si>
  <si>
    <t>Открытая (25.12.1990)/30</t>
  </si>
  <si>
    <t>262,5</t>
  </si>
  <si>
    <t xml:space="preserve">Иванов И. </t>
  </si>
  <si>
    <t>Ударов Павел</t>
  </si>
  <si>
    <t>Мастера 40-49 (27.10.1978)/42</t>
  </si>
  <si>
    <t>Михайлов Александр</t>
  </si>
  <si>
    <t>Мастера 60-69 (09.12.1958)/62</t>
  </si>
  <si>
    <t>Комраков Владислав</t>
  </si>
  <si>
    <t>Юниоры (25.09.1998)/22</t>
  </si>
  <si>
    <t>91,00</t>
  </si>
  <si>
    <t>Чернышев Дмитрий</t>
  </si>
  <si>
    <t>Открытая (22.01.1974)/47</t>
  </si>
  <si>
    <t>97,60</t>
  </si>
  <si>
    <t>330,0</t>
  </si>
  <si>
    <t>370,0</t>
  </si>
  <si>
    <t>Пинясов Сергей</t>
  </si>
  <si>
    <t>Открытая (14.11.1994)/26</t>
  </si>
  <si>
    <t>96,90</t>
  </si>
  <si>
    <t>320,0</t>
  </si>
  <si>
    <t>Салахетдинов Эльдар</t>
  </si>
  <si>
    <t>Юниоры (22.08.1998)/22</t>
  </si>
  <si>
    <t>108,20</t>
  </si>
  <si>
    <t>Черепанов Николай</t>
  </si>
  <si>
    <t>Юниоры (18.09.1997)/23</t>
  </si>
  <si>
    <t>114,10</t>
  </si>
  <si>
    <t>380,0</t>
  </si>
  <si>
    <t>400,0</t>
  </si>
  <si>
    <t>Углова Ольга</t>
  </si>
  <si>
    <t>Юниорки (17.12.1999)/21</t>
  </si>
  <si>
    <t>48,00</t>
  </si>
  <si>
    <t>130,5</t>
  </si>
  <si>
    <t>Балабатько Оксана</t>
  </si>
  <si>
    <t>Девушки 14-16 (24.01.2005)/16</t>
  </si>
  <si>
    <t>Лесниченко Ирина</t>
  </si>
  <si>
    <t>Открытая (08.10.1984)/36</t>
  </si>
  <si>
    <t>59,30</t>
  </si>
  <si>
    <t>Чурко Анастасия</t>
  </si>
  <si>
    <t>Открытая (13.10.1989)/31</t>
  </si>
  <si>
    <t xml:space="preserve">Долотов Д. </t>
  </si>
  <si>
    <t>Кремлева Анна</t>
  </si>
  <si>
    <t>Открытая (22.06.1990)/30</t>
  </si>
  <si>
    <t>59,00</t>
  </si>
  <si>
    <t>Субботина Наталья</t>
  </si>
  <si>
    <t>Открытая (02.07.1984)/36</t>
  </si>
  <si>
    <t xml:space="preserve">Усков Н. </t>
  </si>
  <si>
    <t>Мастера 40-49 (18.09.1978)/42</t>
  </si>
  <si>
    <t>Дьяченко Елена</t>
  </si>
  <si>
    <t>Мастера 40-49 (30.12.1978)/42</t>
  </si>
  <si>
    <t>59,50</t>
  </si>
  <si>
    <t>Соколова Дарья</t>
  </si>
  <si>
    <t>Открытая (11.05.1994)/26</t>
  </si>
  <si>
    <t>65,40</t>
  </si>
  <si>
    <t xml:space="preserve">Дмитрий Д. </t>
  </si>
  <si>
    <t>Гаврилова Виктория</t>
  </si>
  <si>
    <t>Мастера 50-59 (30.01.1969)/52</t>
  </si>
  <si>
    <t>72,60</t>
  </si>
  <si>
    <t>Севастов Александр</t>
  </si>
  <si>
    <t>Открытая (28.06.1989)/31</t>
  </si>
  <si>
    <t xml:space="preserve">Егоров Я. </t>
  </si>
  <si>
    <t>Лашутн Илья</t>
  </si>
  <si>
    <t>Открытая (27.07.1986)/34</t>
  </si>
  <si>
    <t>71,00</t>
  </si>
  <si>
    <t>Мансуров Вадуд</t>
  </si>
  <si>
    <t>Открытая (16.11.1993)/27</t>
  </si>
  <si>
    <t>78,80</t>
  </si>
  <si>
    <t>Юсупов Адам</t>
  </si>
  <si>
    <t>Юниоры (13.03.1999)/22</t>
  </si>
  <si>
    <t xml:space="preserve">Лукашевич Е. </t>
  </si>
  <si>
    <t>Городник Андрей</t>
  </si>
  <si>
    <t>Открытая (23.11.1994)/26</t>
  </si>
  <si>
    <t>Большаков Владимир</t>
  </si>
  <si>
    <t>Открытая (27.06.1988)/32</t>
  </si>
  <si>
    <t>87,70</t>
  </si>
  <si>
    <t>Сальников Валентин</t>
  </si>
  <si>
    <t>Открытая (11.05.1978)/42</t>
  </si>
  <si>
    <t>Бендер Алексей</t>
  </si>
  <si>
    <t>Юниоры (27.04.1997)/23</t>
  </si>
  <si>
    <t>95,80</t>
  </si>
  <si>
    <t>Тимофеев Дмитрий</t>
  </si>
  <si>
    <t>Открытая (29.07.1979)/41</t>
  </si>
  <si>
    <t>95,30</t>
  </si>
  <si>
    <t>Мастера 40-49 (29.07.1979)/41</t>
  </si>
  <si>
    <t>Андреев Даниил</t>
  </si>
  <si>
    <t>Юниоры (13.10.2000)/20</t>
  </si>
  <si>
    <t>100,40</t>
  </si>
  <si>
    <t>247,5</t>
  </si>
  <si>
    <t>158,8732</t>
  </si>
  <si>
    <t>142,0277</t>
  </si>
  <si>
    <t>140,6375</t>
  </si>
  <si>
    <t>196,4505</t>
  </si>
  <si>
    <t>155,2750</t>
  </si>
  <si>
    <t>140,2635</t>
  </si>
  <si>
    <t>Куликов Станислав</t>
  </si>
  <si>
    <t>Открытая (29.11.1978)/42</t>
  </si>
  <si>
    <t>305,0</t>
  </si>
  <si>
    <t>Мастера 40-49 (29.11.1978)/42</t>
  </si>
  <si>
    <t>Малахов Игорь</t>
  </si>
  <si>
    <t>Открытая (11.07.1982)/38</t>
  </si>
  <si>
    <t>Бельская Анна</t>
  </si>
  <si>
    <t>Открытая (16.02.1983)/38</t>
  </si>
  <si>
    <t>64,60</t>
  </si>
  <si>
    <t>Батраков Сергей</t>
  </si>
  <si>
    <t>Мастера 60-69 (06.07.1956)/64</t>
  </si>
  <si>
    <t xml:space="preserve">Колпиков Н. </t>
  </si>
  <si>
    <t>Крищук Олег</t>
  </si>
  <si>
    <t>Открытая (29.05.1975)/45</t>
  </si>
  <si>
    <t>59,20</t>
  </si>
  <si>
    <t>Иванятов Роман</t>
  </si>
  <si>
    <t>Открытая (24.12.1991)/29</t>
  </si>
  <si>
    <t>58,20</t>
  </si>
  <si>
    <t>Алейников Павел</t>
  </si>
  <si>
    <t>66,70</t>
  </si>
  <si>
    <t xml:space="preserve">Меженский Н. </t>
  </si>
  <si>
    <t>Открытая (15.06.2002)/18</t>
  </si>
  <si>
    <t>79,00</t>
  </si>
  <si>
    <t>Тарасенко Иван</t>
  </si>
  <si>
    <t>Открытая (10.11.1985)/35</t>
  </si>
  <si>
    <t>79,60</t>
  </si>
  <si>
    <t>Старовыборный Антон</t>
  </si>
  <si>
    <t>Осипов Константин</t>
  </si>
  <si>
    <t>87,20</t>
  </si>
  <si>
    <t>Старцев Ефим</t>
  </si>
  <si>
    <t>Открытая (21.05.1976)/44</t>
  </si>
  <si>
    <t>101,20</t>
  </si>
  <si>
    <t>Мастера 40-49 (29.05.1975)/45</t>
  </si>
  <si>
    <t>Юноши 13-19 (15.06.2002)/18</t>
  </si>
  <si>
    <t>Юноши 13-19 (26.11.2003)/17</t>
  </si>
  <si>
    <t>Юниоры 20-23 (06.10.1998)/22</t>
  </si>
  <si>
    <t>Мастера 40-49 (07.05.1978)/42</t>
  </si>
  <si>
    <t>Международный турнир “Мемориал памяти Константина Константинова”
WRPF любители Пауэрлифтинг без экипировки ДК
Санкт-Петербург, 24-25 апреля 2021 года</t>
  </si>
  <si>
    <t>Международный турнир “Мемориал памяти Константина Константинова”
WRPF любители Пауэрлифтинг без экипировки
Санкт-Петербург, 24-25 апреля 2021 года</t>
  </si>
  <si>
    <t>Международный турнир “Мемориал памяти Константина Константинова”
WRPF любители Пауэрлифтинг классический в бинтах ДК
Санкт-Петербург, 24-25 апреля 2021 года</t>
  </si>
  <si>
    <t>Международный турнир “Мемориал памяти Константина Константинова”
WRPF любители Пауэрлифтинг классический в бинтах
Санкт-Петербург, 24-25 апреля 2021 года</t>
  </si>
  <si>
    <t>Международный турнир “Мемориал памяти Константина Константинова”
WRPF любители Силовое двоеборье без экипировки ДК
Санкт-Петербург, 24-25 апреля 2021 года</t>
  </si>
  <si>
    <t>Международный турнир “Мемориал памяти Константина Константинова”
WRPF любители Силовое двоеборье без экипировки
Санкт-Петербург, 24-25 апреля 2021 года</t>
  </si>
  <si>
    <t>Международный турнир “Мемориал памяти Константина Константинова”
WRPF любители Жим лежа без экипировки ДК
Санкт-Петербург, 24-25 апреля 2021 года</t>
  </si>
  <si>
    <t>Международный турнир “Мемориал памяти Константина Константинова”
WRPF любители Жим лежа без экипировки
Санкт-Петербург, 24-25 апреля 2021 года</t>
  </si>
  <si>
    <t>Международный турнир “Мемориал памяти Константина Константинова”
WEPF Жим лежа в однопетельной софт экипировке ДК
Санкт-Петербург, 24-25 апреля 2021 года</t>
  </si>
  <si>
    <t>Международный турнир “Мемориал памяти Константина Константинова”
WEPF Жим лежа в однопетельной софт экипировке
Санкт-Петербург, 24-25 апреля 2021 года</t>
  </si>
  <si>
    <t>Международный турнир “Мемориал памяти Константина Константинова”
WEPF Жим лежа в многопетельной софт экипировке ДК
Санкт-Петербург, 24-25 апреля 2021 года</t>
  </si>
  <si>
    <t>Международный турнир “Мемориал памяти Константина Константинова”
WEPF Жим лежа в многопетельной софт экипировке
Санкт-Петербург, 24-25 апреля 2021 года</t>
  </si>
  <si>
    <t>Международный турнир “Мемориал памяти Константина Константинова”
WRPF любители Становая тяга без экипировки ДК
Санкт-Петербург, 24-25 апреля 2021 года</t>
  </si>
  <si>
    <t>Международный турнир “Мемориал памяти Константина Константинова”
WRPF любители Становая тяга без экипировки
Санкт-Петербург, 24-25 апреля 2021 года</t>
  </si>
  <si>
    <t>Международный турнир “Мемориал памяти Константина Константинова”
WEPF любители Становая тяга в экипировке
Санкт-Петербург, 24-25 апреля 2021 года</t>
  </si>
  <si>
    <t>Международный турнир “Мемориал памяти Константина Константинова”
WRPF Строгий подъем штанги на бицепс
Санкт-Петербург, 24-25 апреля 2021 года</t>
  </si>
  <si>
    <t>Ошков С.</t>
  </si>
  <si>
    <t>Мансуров В.</t>
  </si>
  <si>
    <t>Лепешенков В.</t>
  </si>
  <si>
    <t>Василенко А.</t>
  </si>
  <si>
    <t>Салахетдинов Э.</t>
  </si>
  <si>
    <t>Балабатько И.</t>
  </si>
  <si>
    <t>Ярошко Е.</t>
  </si>
  <si>
    <t>Филиппов А.</t>
  </si>
  <si>
    <t>Хламков А.</t>
  </si>
  <si>
    <t>Абиджба Р.</t>
  </si>
  <si>
    <t>Весовая категория</t>
  </si>
  <si>
    <t>Ослоповских Л.</t>
  </si>
  <si>
    <t>Лялин М.</t>
  </si>
  <si>
    <t>Васильев Е.</t>
  </si>
  <si>
    <t>Коробов И.</t>
  </si>
  <si>
    <t>Румянцев С.</t>
  </si>
  <si>
    <t>Александров А.</t>
  </si>
  <si>
    <t>Кульпин Н.</t>
  </si>
  <si>
    <t>Желтенко Е.</t>
  </si>
  <si>
    <t>Дроздов А.</t>
  </si>
  <si>
    <t>Грахов Ю.</t>
  </si>
  <si>
    <t>Солнцев И.</t>
  </si>
  <si>
    <t>Нечай А.</t>
  </si>
  <si>
    <t>Лукашевич Е.</t>
  </si>
  <si>
    <t>Грицаев Д.</t>
  </si>
  <si>
    <t>Соколов А.</t>
  </si>
  <si>
    <t>Качусов И.</t>
  </si>
  <si>
    <t>Матвеев С.</t>
  </si>
  <si>
    <t>Огрызько Н.</t>
  </si>
  <si>
    <t>Видякин С.</t>
  </si>
  <si>
    <t>Долгушин Е.</t>
  </si>
  <si>
    <t>Яскевич Д.</t>
  </si>
  <si>
    <t>Никифоров С.</t>
  </si>
  <si>
    <t>Кукарцев И.</t>
  </si>
  <si>
    <t>Здобников Н.</t>
  </si>
  <si>
    <t>Рябенков И.</t>
  </si>
  <si>
    <t>Куликов В.</t>
  </si>
  <si>
    <t>Астахов Д.</t>
  </si>
  <si>
    <t>Румянцева С.</t>
  </si>
  <si>
    <t xml:space="preserve">Иваново </t>
  </si>
  <si>
    <t xml:space="preserve">Санкт-Петербург </t>
  </si>
  <si>
    <t xml:space="preserve">Колпино </t>
  </si>
  <si>
    <t xml:space="preserve">Москва </t>
  </si>
  <si>
    <t xml:space="preserve">Выборг </t>
  </si>
  <si>
    <t xml:space="preserve">Баймак </t>
  </si>
  <si>
    <t xml:space="preserve">Тольятти </t>
  </si>
  <si>
    <t xml:space="preserve">Саратов </t>
  </si>
  <si>
    <t xml:space="preserve">Гатчина </t>
  </si>
  <si>
    <t xml:space="preserve">Кингисепп </t>
  </si>
  <si>
    <t xml:space="preserve">Тверь </t>
  </si>
  <si>
    <t xml:space="preserve">Красногорск </t>
  </si>
  <si>
    <t xml:space="preserve">Кириши </t>
  </si>
  <si>
    <t xml:space="preserve">Всеволожск </t>
  </si>
  <si>
    <t xml:space="preserve">Сортавала </t>
  </si>
  <si>
    <t xml:space="preserve"> Санкт-Петербург </t>
  </si>
  <si>
    <t xml:space="preserve">Рыбинск </t>
  </si>
  <si>
    <t xml:space="preserve">Рязань </t>
  </si>
  <si>
    <t xml:space="preserve">Хвалынск </t>
  </si>
  <si>
    <t xml:space="preserve">Тосно </t>
  </si>
  <si>
    <t xml:space="preserve">Пушкин </t>
  </si>
  <si>
    <t xml:space="preserve">Мурманск </t>
  </si>
  <si>
    <t>Краснодар</t>
  </si>
  <si>
    <t xml:space="preserve">Хабаровск </t>
  </si>
  <si>
    <t xml:space="preserve">Ноябрьск </t>
  </si>
  <si>
    <t xml:space="preserve">Кулебаки </t>
  </si>
  <si>
    <t xml:space="preserve">Златоуст </t>
  </si>
  <si>
    <t xml:space="preserve">Сосновый Бор </t>
  </si>
  <si>
    <t xml:space="preserve">Волжск </t>
  </si>
  <si>
    <t xml:space="preserve">Нижневартовск </t>
  </si>
  <si>
    <t xml:space="preserve">Тихвин </t>
  </si>
  <si>
    <t xml:space="preserve">Красноярск </t>
  </si>
  <si>
    <t xml:space="preserve">Пикалёво </t>
  </si>
  <si>
    <t xml:space="preserve">Осташков </t>
  </si>
  <si>
    <t xml:space="preserve">Котельнич </t>
  </si>
  <si>
    <t xml:space="preserve">Змеиногорск </t>
  </si>
  <si>
    <t xml:space="preserve">Бийск </t>
  </si>
  <si>
    <t xml:space="preserve">Тула </t>
  </si>
  <si>
    <t xml:space="preserve">Боровичи </t>
  </si>
  <si>
    <t xml:space="preserve">Орёл </t>
  </si>
  <si>
    <t xml:space="preserve">Орск </t>
  </si>
  <si>
    <t xml:space="preserve">Новосибирск </t>
  </si>
  <si>
    <t xml:space="preserve">Шали </t>
  </si>
  <si>
    <t xml:space="preserve">Краснодар </t>
  </si>
  <si>
    <t xml:space="preserve">Воскресенск </t>
  </si>
  <si>
    <t xml:space="preserve">Дзержинск </t>
  </si>
  <si>
    <t xml:space="preserve">Шлиссельбург </t>
  </si>
  <si>
    <t xml:space="preserve">Дзержинский </t>
  </si>
  <si>
    <t xml:space="preserve">Томск </t>
  </si>
  <si>
    <t xml:space="preserve">Брянск </t>
  </si>
  <si>
    <t xml:space="preserve">Вологда </t>
  </si>
  <si>
    <t>Жим</t>
  </si>
  <si>
    <t>№</t>
  </si>
  <si>
    <t xml:space="preserve">
Дата рождения/Возраст</t>
  </si>
  <si>
    <t>Возрастная группа</t>
  </si>
  <si>
    <t>O</t>
  </si>
  <si>
    <t>M1</t>
  </si>
  <si>
    <t>T</t>
  </si>
  <si>
    <t>J</t>
  </si>
  <si>
    <t>M2</t>
  </si>
  <si>
    <t>M3</t>
  </si>
  <si>
    <t>T1</t>
  </si>
  <si>
    <t>M4</t>
  </si>
  <si>
    <t>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</si>
</sst>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DD01D-0829-4D6B-AB84-F2CF84BC42F9}">
  <dimension ref="A1:U86"/>
  <sheetViews>
    <sheetView tabSelected="1" workbookViewId="0">
      <selection activeCell="E70" sqref="E70"/>
    </sheetView>
  </sheetViews>
  <sheetFormatPr baseColWidth="10" defaultColWidth="9.1640625" defaultRowHeight="13"/>
  <cols>
    <col min="1" max="1" width="7.1640625" style="5" bestFit="1" customWidth="1"/>
    <col min="2" max="2" width="20.5" style="5" bestFit="1" customWidth="1"/>
    <col min="3" max="3" width="27.5" style="5" bestFit="1" customWidth="1"/>
    <col min="4" max="4" width="20.83203125" style="5" bestFit="1" customWidth="1"/>
    <col min="5" max="5" width="10.1640625" style="5" bestFit="1" customWidth="1"/>
    <col min="6" max="6" width="20.5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29" bestFit="1" customWidth="1"/>
    <col min="20" max="20" width="8.5" style="6" bestFit="1" customWidth="1"/>
    <col min="21" max="21" width="31.33203125" style="5" bestFit="1" customWidth="1"/>
    <col min="22" max="16384" width="9.1640625" style="3"/>
  </cols>
  <sheetData>
    <row r="1" spans="1:21" s="2" customFormat="1" ht="29" customHeight="1">
      <c r="A1" s="45" t="s">
        <v>791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8"/>
    </row>
    <row r="2" spans="1:21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/>
    </row>
    <row r="3" spans="1:21" s="1" customFormat="1" ht="12.75" customHeight="1">
      <c r="A3" s="53" t="s">
        <v>898</v>
      </c>
      <c r="B3" s="43" t="s">
        <v>0</v>
      </c>
      <c r="C3" s="55" t="s">
        <v>899</v>
      </c>
      <c r="D3" s="55" t="s">
        <v>5</v>
      </c>
      <c r="E3" s="37" t="s">
        <v>900</v>
      </c>
      <c r="F3" s="37" t="s">
        <v>6</v>
      </c>
      <c r="G3" s="37" t="s">
        <v>7</v>
      </c>
      <c r="H3" s="37"/>
      <c r="I3" s="37"/>
      <c r="J3" s="37"/>
      <c r="K3" s="37" t="s">
        <v>8</v>
      </c>
      <c r="L3" s="37"/>
      <c r="M3" s="37"/>
      <c r="N3" s="37"/>
      <c r="O3" s="37" t="s">
        <v>9</v>
      </c>
      <c r="P3" s="37"/>
      <c r="Q3" s="37"/>
      <c r="R3" s="37"/>
      <c r="S3" s="35" t="s">
        <v>1</v>
      </c>
      <c r="T3" s="37" t="s">
        <v>3</v>
      </c>
      <c r="U3" s="39" t="s">
        <v>2</v>
      </c>
    </row>
    <row r="4" spans="1:21" s="1" customFormat="1" ht="21" customHeight="1" thickBot="1">
      <c r="A4" s="54"/>
      <c r="B4" s="44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6"/>
      <c r="T4" s="38"/>
      <c r="U4" s="40"/>
    </row>
    <row r="5" spans="1:21" ht="16">
      <c r="A5" s="41" t="s">
        <v>222</v>
      </c>
      <c r="B5" s="4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1:21">
      <c r="A6" s="10" t="s">
        <v>74</v>
      </c>
      <c r="B6" s="9" t="s">
        <v>223</v>
      </c>
      <c r="C6" s="9" t="s">
        <v>224</v>
      </c>
      <c r="D6" s="9" t="s">
        <v>225</v>
      </c>
      <c r="E6" s="9" t="s">
        <v>901</v>
      </c>
      <c r="F6" s="9" t="s">
        <v>846</v>
      </c>
      <c r="G6" s="21" t="s">
        <v>17</v>
      </c>
      <c r="H6" s="21" t="s">
        <v>18</v>
      </c>
      <c r="I6" s="21" t="s">
        <v>91</v>
      </c>
      <c r="J6" s="10"/>
      <c r="K6" s="21" t="s">
        <v>226</v>
      </c>
      <c r="L6" s="21" t="s">
        <v>227</v>
      </c>
      <c r="M6" s="20" t="s">
        <v>228</v>
      </c>
      <c r="N6" s="10"/>
      <c r="O6" s="21" t="s">
        <v>91</v>
      </c>
      <c r="P6" s="21" t="s">
        <v>149</v>
      </c>
      <c r="Q6" s="20" t="s">
        <v>102</v>
      </c>
      <c r="R6" s="10"/>
      <c r="S6" s="30" t="str">
        <f>"277,5"</f>
        <v>277,5</v>
      </c>
      <c r="T6" s="10" t="str">
        <f>"356,4765"</f>
        <v>356,4765</v>
      </c>
      <c r="U6" s="9"/>
    </row>
    <row r="7" spans="1:21">
      <c r="A7" s="25" t="s">
        <v>76</v>
      </c>
      <c r="B7" s="24" t="s">
        <v>229</v>
      </c>
      <c r="C7" s="24" t="s">
        <v>230</v>
      </c>
      <c r="D7" s="24" t="s">
        <v>231</v>
      </c>
      <c r="E7" s="24" t="s">
        <v>901</v>
      </c>
      <c r="F7" s="24" t="s">
        <v>847</v>
      </c>
      <c r="G7" s="26" t="s">
        <v>81</v>
      </c>
      <c r="H7" s="26" t="s">
        <v>82</v>
      </c>
      <c r="I7" s="27" t="s">
        <v>83</v>
      </c>
      <c r="J7" s="25"/>
      <c r="K7" s="26" t="s">
        <v>85</v>
      </c>
      <c r="L7" s="26" t="s">
        <v>114</v>
      </c>
      <c r="M7" s="27" t="s">
        <v>93</v>
      </c>
      <c r="N7" s="25"/>
      <c r="O7" s="26" t="s">
        <v>232</v>
      </c>
      <c r="P7" s="26" t="s">
        <v>18</v>
      </c>
      <c r="Q7" s="26" t="s">
        <v>111</v>
      </c>
      <c r="R7" s="25"/>
      <c r="S7" s="32" t="str">
        <f>"240,0"</f>
        <v>240,0</v>
      </c>
      <c r="T7" s="25" t="str">
        <f>"308,7840"</f>
        <v>308,7840</v>
      </c>
      <c r="U7" s="24" t="s">
        <v>838</v>
      </c>
    </row>
    <row r="8" spans="1:21">
      <c r="A8" s="25" t="s">
        <v>221</v>
      </c>
      <c r="B8" s="24" t="s">
        <v>233</v>
      </c>
      <c r="C8" s="24" t="s">
        <v>234</v>
      </c>
      <c r="D8" s="24" t="s">
        <v>235</v>
      </c>
      <c r="E8" s="24" t="s">
        <v>901</v>
      </c>
      <c r="F8" s="24" t="s">
        <v>847</v>
      </c>
      <c r="G8" s="27" t="s">
        <v>17</v>
      </c>
      <c r="H8" s="26" t="s">
        <v>17</v>
      </c>
      <c r="I8" s="27" t="s">
        <v>18</v>
      </c>
      <c r="J8" s="25"/>
      <c r="K8" s="27" t="s">
        <v>114</v>
      </c>
      <c r="L8" s="27" t="s">
        <v>114</v>
      </c>
      <c r="M8" s="26" t="s">
        <v>114</v>
      </c>
      <c r="N8" s="25"/>
      <c r="O8" s="26" t="s">
        <v>17</v>
      </c>
      <c r="P8" s="26" t="s">
        <v>18</v>
      </c>
      <c r="Q8" s="27" t="s">
        <v>236</v>
      </c>
      <c r="R8" s="25"/>
      <c r="S8" s="32" t="str">
        <f>"235,0"</f>
        <v>235,0</v>
      </c>
      <c r="T8" s="25" t="str">
        <f>"297,8155"</f>
        <v>297,8155</v>
      </c>
      <c r="U8" s="24" t="s">
        <v>839</v>
      </c>
    </row>
    <row r="9" spans="1:21">
      <c r="A9" s="12" t="s">
        <v>388</v>
      </c>
      <c r="B9" s="11" t="s">
        <v>237</v>
      </c>
      <c r="C9" s="11" t="s">
        <v>238</v>
      </c>
      <c r="D9" s="11" t="s">
        <v>239</v>
      </c>
      <c r="E9" s="11" t="s">
        <v>901</v>
      </c>
      <c r="F9" s="11" t="s">
        <v>847</v>
      </c>
      <c r="G9" s="22" t="s">
        <v>124</v>
      </c>
      <c r="H9" s="23" t="s">
        <v>81</v>
      </c>
      <c r="I9" s="22" t="s">
        <v>81</v>
      </c>
      <c r="J9" s="12"/>
      <c r="K9" s="22" t="s">
        <v>85</v>
      </c>
      <c r="L9" s="22" t="s">
        <v>114</v>
      </c>
      <c r="M9" s="22" t="s">
        <v>92</v>
      </c>
      <c r="N9" s="12"/>
      <c r="O9" s="22" t="s">
        <v>17</v>
      </c>
      <c r="P9" s="22" t="s">
        <v>91</v>
      </c>
      <c r="Q9" s="23" t="s">
        <v>113</v>
      </c>
      <c r="R9" s="12"/>
      <c r="S9" s="31" t="str">
        <f>"232,5"</f>
        <v>232,5</v>
      </c>
      <c r="T9" s="12" t="str">
        <f>"290,7180"</f>
        <v>290,7180</v>
      </c>
      <c r="U9" s="11" t="s">
        <v>840</v>
      </c>
    </row>
    <row r="10" spans="1:21">
      <c r="B10" s="5" t="s">
        <v>75</v>
      </c>
    </row>
    <row r="11" spans="1:21" ht="16">
      <c r="A11" s="33" t="s">
        <v>118</v>
      </c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</row>
    <row r="12" spans="1:21">
      <c r="A12" s="10" t="s">
        <v>74</v>
      </c>
      <c r="B12" s="9" t="s">
        <v>240</v>
      </c>
      <c r="C12" s="9" t="s">
        <v>241</v>
      </c>
      <c r="D12" s="9" t="s">
        <v>121</v>
      </c>
      <c r="E12" s="9" t="s">
        <v>904</v>
      </c>
      <c r="F12" s="9" t="s">
        <v>847</v>
      </c>
      <c r="G12" s="21" t="s">
        <v>236</v>
      </c>
      <c r="H12" s="21" t="s">
        <v>111</v>
      </c>
      <c r="I12" s="21" t="s">
        <v>148</v>
      </c>
      <c r="J12" s="10"/>
      <c r="K12" s="21" t="s">
        <v>242</v>
      </c>
      <c r="L12" s="21" t="s">
        <v>132</v>
      </c>
      <c r="M12" s="20" t="s">
        <v>228</v>
      </c>
      <c r="N12" s="10"/>
      <c r="O12" s="21" t="s">
        <v>102</v>
      </c>
      <c r="P12" s="21" t="s">
        <v>243</v>
      </c>
      <c r="Q12" s="21" t="s">
        <v>244</v>
      </c>
      <c r="R12" s="10"/>
      <c r="S12" s="30" t="str">
        <f>"312,5"</f>
        <v>312,5</v>
      </c>
      <c r="T12" s="10" t="str">
        <f>"369,2500"</f>
        <v>369,2500</v>
      </c>
      <c r="U12" s="9" t="s">
        <v>245</v>
      </c>
    </row>
    <row r="13" spans="1:21">
      <c r="A13" s="25" t="s">
        <v>74</v>
      </c>
      <c r="B13" s="24" t="s">
        <v>246</v>
      </c>
      <c r="C13" s="24" t="s">
        <v>247</v>
      </c>
      <c r="D13" s="24" t="s">
        <v>248</v>
      </c>
      <c r="E13" s="24" t="s">
        <v>901</v>
      </c>
      <c r="F13" s="24" t="s">
        <v>848</v>
      </c>
      <c r="G13" s="27" t="s">
        <v>81</v>
      </c>
      <c r="H13" s="26" t="s">
        <v>87</v>
      </c>
      <c r="I13" s="26" t="s">
        <v>82</v>
      </c>
      <c r="J13" s="25"/>
      <c r="K13" s="26" t="s">
        <v>84</v>
      </c>
      <c r="L13" s="26" t="s">
        <v>249</v>
      </c>
      <c r="M13" s="26" t="s">
        <v>85</v>
      </c>
      <c r="N13" s="25"/>
      <c r="O13" s="26" t="s">
        <v>148</v>
      </c>
      <c r="P13" s="26" t="s">
        <v>113</v>
      </c>
      <c r="Q13" s="26" t="s">
        <v>130</v>
      </c>
      <c r="R13" s="25"/>
      <c r="S13" s="32" t="str">
        <f>"245,0"</f>
        <v>245,0</v>
      </c>
      <c r="T13" s="25" t="str">
        <f>"291,1335"</f>
        <v>291,1335</v>
      </c>
      <c r="U13" s="24" t="s">
        <v>179</v>
      </c>
    </row>
    <row r="14" spans="1:21">
      <c r="A14" s="25" t="s">
        <v>76</v>
      </c>
      <c r="B14" s="24" t="s">
        <v>250</v>
      </c>
      <c r="C14" s="24" t="s">
        <v>251</v>
      </c>
      <c r="D14" s="24" t="s">
        <v>252</v>
      </c>
      <c r="E14" s="24" t="s">
        <v>901</v>
      </c>
      <c r="F14" s="24" t="s">
        <v>847</v>
      </c>
      <c r="G14" s="26" t="s">
        <v>132</v>
      </c>
      <c r="H14" s="27" t="s">
        <v>228</v>
      </c>
      <c r="I14" s="26" t="s">
        <v>228</v>
      </c>
      <c r="J14" s="25"/>
      <c r="K14" s="26" t="s">
        <v>253</v>
      </c>
      <c r="L14" s="27" t="s">
        <v>254</v>
      </c>
      <c r="M14" s="27" t="s">
        <v>254</v>
      </c>
      <c r="N14" s="25"/>
      <c r="O14" s="26" t="s">
        <v>236</v>
      </c>
      <c r="P14" s="26" t="s">
        <v>91</v>
      </c>
      <c r="Q14" s="27" t="s">
        <v>148</v>
      </c>
      <c r="R14" s="25"/>
      <c r="S14" s="32" t="str">
        <f>"197,5"</f>
        <v>197,5</v>
      </c>
      <c r="T14" s="25" t="str">
        <f>"236,3482"</f>
        <v>236,3482</v>
      </c>
      <c r="U14" s="24" t="s">
        <v>255</v>
      </c>
    </row>
    <row r="15" spans="1:21">
      <c r="A15" s="12" t="s">
        <v>74</v>
      </c>
      <c r="B15" s="11" t="s">
        <v>256</v>
      </c>
      <c r="C15" s="11" t="s">
        <v>257</v>
      </c>
      <c r="D15" s="11" t="s">
        <v>258</v>
      </c>
      <c r="E15" s="11" t="s">
        <v>905</v>
      </c>
      <c r="F15" s="11" t="s">
        <v>847</v>
      </c>
      <c r="G15" s="22" t="s">
        <v>259</v>
      </c>
      <c r="H15" s="22" t="s">
        <v>84</v>
      </c>
      <c r="I15" s="23" t="s">
        <v>85</v>
      </c>
      <c r="J15" s="12"/>
      <c r="K15" s="22" t="s">
        <v>254</v>
      </c>
      <c r="L15" s="23" t="s">
        <v>259</v>
      </c>
      <c r="M15" s="23" t="s">
        <v>259</v>
      </c>
      <c r="N15" s="12"/>
      <c r="O15" s="22" t="s">
        <v>132</v>
      </c>
      <c r="P15" s="22" t="s">
        <v>133</v>
      </c>
      <c r="Q15" s="22" t="s">
        <v>81</v>
      </c>
      <c r="R15" s="12"/>
      <c r="S15" s="31" t="str">
        <f>"152,5"</f>
        <v>152,5</v>
      </c>
      <c r="T15" s="12" t="str">
        <f>"209,2750"</f>
        <v>209,2750</v>
      </c>
      <c r="U15" s="11" t="s">
        <v>255</v>
      </c>
    </row>
    <row r="16" spans="1:21">
      <c r="B16" s="5" t="s">
        <v>75</v>
      </c>
    </row>
    <row r="17" spans="1:21" ht="16">
      <c r="A17" s="33" t="s">
        <v>10</v>
      </c>
      <c r="B17" s="33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</row>
    <row r="18" spans="1:21">
      <c r="A18" s="10" t="s">
        <v>74</v>
      </c>
      <c r="B18" s="9" t="s">
        <v>260</v>
      </c>
      <c r="C18" s="9" t="s">
        <v>261</v>
      </c>
      <c r="D18" s="9" t="s">
        <v>262</v>
      </c>
      <c r="E18" s="9" t="s">
        <v>901</v>
      </c>
      <c r="F18" s="9" t="s">
        <v>847</v>
      </c>
      <c r="G18" s="20" t="s">
        <v>83</v>
      </c>
      <c r="H18" s="21" t="s">
        <v>236</v>
      </c>
      <c r="I18" s="20" t="s">
        <v>111</v>
      </c>
      <c r="J18" s="10"/>
      <c r="K18" s="21" t="s">
        <v>114</v>
      </c>
      <c r="L18" s="21" t="s">
        <v>92</v>
      </c>
      <c r="M18" s="20" t="s">
        <v>93</v>
      </c>
      <c r="N18" s="10"/>
      <c r="O18" s="21" t="s">
        <v>243</v>
      </c>
      <c r="P18" s="21" t="s">
        <v>122</v>
      </c>
      <c r="Q18" s="21" t="s">
        <v>244</v>
      </c>
      <c r="R18" s="10"/>
      <c r="S18" s="30" t="str">
        <f>"292,5"</f>
        <v>292,5</v>
      </c>
      <c r="T18" s="10" t="str">
        <f>"326,1082"</f>
        <v>326,1082</v>
      </c>
      <c r="U18" s="9"/>
    </row>
    <row r="19" spans="1:21">
      <c r="A19" s="25" t="s">
        <v>76</v>
      </c>
      <c r="B19" s="24" t="s">
        <v>263</v>
      </c>
      <c r="C19" s="24" t="s">
        <v>264</v>
      </c>
      <c r="D19" s="24" t="s">
        <v>265</v>
      </c>
      <c r="E19" s="24" t="s">
        <v>901</v>
      </c>
      <c r="F19" s="24" t="s">
        <v>849</v>
      </c>
      <c r="G19" s="26" t="s">
        <v>81</v>
      </c>
      <c r="H19" s="26" t="s">
        <v>82</v>
      </c>
      <c r="I19" s="26" t="s">
        <v>17</v>
      </c>
      <c r="J19" s="25"/>
      <c r="K19" s="27" t="s">
        <v>114</v>
      </c>
      <c r="L19" s="26" t="s">
        <v>114</v>
      </c>
      <c r="M19" s="27" t="s">
        <v>93</v>
      </c>
      <c r="N19" s="25"/>
      <c r="O19" s="26" t="s">
        <v>148</v>
      </c>
      <c r="P19" s="26" t="s">
        <v>149</v>
      </c>
      <c r="Q19" s="26" t="s">
        <v>27</v>
      </c>
      <c r="R19" s="25"/>
      <c r="S19" s="32" t="str">
        <f>"260,0"</f>
        <v>260,0</v>
      </c>
      <c r="T19" s="25" t="str">
        <f>"302,9520"</f>
        <v>302,9520</v>
      </c>
      <c r="U19" s="24" t="s">
        <v>841</v>
      </c>
    </row>
    <row r="20" spans="1:21">
      <c r="A20" s="12" t="s">
        <v>220</v>
      </c>
      <c r="B20" s="11" t="s">
        <v>266</v>
      </c>
      <c r="C20" s="11" t="s">
        <v>267</v>
      </c>
      <c r="D20" s="11" t="s">
        <v>268</v>
      </c>
      <c r="E20" s="11" t="s">
        <v>901</v>
      </c>
      <c r="F20" s="11" t="s">
        <v>847</v>
      </c>
      <c r="G20" s="23" t="s">
        <v>113</v>
      </c>
      <c r="H20" s="22" t="s">
        <v>113</v>
      </c>
      <c r="I20" s="23" t="s">
        <v>149</v>
      </c>
      <c r="J20" s="12"/>
      <c r="K20" s="23" t="s">
        <v>227</v>
      </c>
      <c r="L20" s="23" t="s">
        <v>227</v>
      </c>
      <c r="M20" s="23" t="s">
        <v>227</v>
      </c>
      <c r="N20" s="12"/>
      <c r="O20" s="23"/>
      <c r="P20" s="12"/>
      <c r="Q20" s="12"/>
      <c r="R20" s="12"/>
      <c r="S20" s="31">
        <v>0</v>
      </c>
      <c r="T20" s="12" t="str">
        <f>"0,0000"</f>
        <v>0,0000</v>
      </c>
      <c r="U20" s="11"/>
    </row>
    <row r="21" spans="1:21">
      <c r="B21" s="5" t="s">
        <v>75</v>
      </c>
    </row>
    <row r="22" spans="1:21" ht="16">
      <c r="A22" s="33" t="s">
        <v>270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</row>
    <row r="23" spans="1:21">
      <c r="A23" s="10" t="s">
        <v>74</v>
      </c>
      <c r="B23" s="9" t="s">
        <v>271</v>
      </c>
      <c r="C23" s="9" t="s">
        <v>272</v>
      </c>
      <c r="D23" s="9" t="s">
        <v>273</v>
      </c>
      <c r="E23" s="9" t="s">
        <v>901</v>
      </c>
      <c r="F23" s="9" t="s">
        <v>847</v>
      </c>
      <c r="G23" s="21" t="s">
        <v>232</v>
      </c>
      <c r="H23" s="21" t="s">
        <v>17</v>
      </c>
      <c r="I23" s="21" t="s">
        <v>83</v>
      </c>
      <c r="J23" s="10"/>
      <c r="K23" s="20" t="s">
        <v>226</v>
      </c>
      <c r="L23" s="21" t="s">
        <v>226</v>
      </c>
      <c r="M23" s="21" t="s">
        <v>242</v>
      </c>
      <c r="N23" s="20" t="s">
        <v>227</v>
      </c>
      <c r="O23" s="21" t="s">
        <v>27</v>
      </c>
      <c r="P23" s="21" t="s">
        <v>102</v>
      </c>
      <c r="Q23" s="21" t="s">
        <v>115</v>
      </c>
      <c r="R23" s="10"/>
      <c r="S23" s="30" t="str">
        <f>"280,0"</f>
        <v>280,0</v>
      </c>
      <c r="T23" s="10" t="str">
        <f>"296,8280"</f>
        <v>296,8280</v>
      </c>
      <c r="U23" s="9" t="s">
        <v>274</v>
      </c>
    </row>
    <row r="24" spans="1:21">
      <c r="A24" s="25" t="s">
        <v>76</v>
      </c>
      <c r="B24" s="24" t="s">
        <v>275</v>
      </c>
      <c r="C24" s="24" t="s">
        <v>276</v>
      </c>
      <c r="D24" s="24" t="s">
        <v>277</v>
      </c>
      <c r="E24" s="24" t="s">
        <v>901</v>
      </c>
      <c r="F24" s="24" t="s">
        <v>850</v>
      </c>
      <c r="G24" s="26" t="s">
        <v>81</v>
      </c>
      <c r="H24" s="26" t="s">
        <v>17</v>
      </c>
      <c r="I24" s="27" t="s">
        <v>18</v>
      </c>
      <c r="J24" s="25"/>
      <c r="K24" s="26" t="s">
        <v>93</v>
      </c>
      <c r="L24" s="27" t="s">
        <v>242</v>
      </c>
      <c r="M24" s="27" t="s">
        <v>242</v>
      </c>
      <c r="N24" s="25"/>
      <c r="O24" s="26" t="s">
        <v>91</v>
      </c>
      <c r="P24" s="26" t="s">
        <v>113</v>
      </c>
      <c r="Q24" s="26" t="s">
        <v>149</v>
      </c>
      <c r="R24" s="25"/>
      <c r="S24" s="32" t="str">
        <f>"260,0"</f>
        <v>260,0</v>
      </c>
      <c r="T24" s="25" t="str">
        <f>"275,2880"</f>
        <v>275,2880</v>
      </c>
      <c r="U24" s="24" t="s">
        <v>278</v>
      </c>
    </row>
    <row r="25" spans="1:21">
      <c r="A25" s="12" t="s">
        <v>74</v>
      </c>
      <c r="B25" s="11" t="s">
        <v>279</v>
      </c>
      <c r="C25" s="11" t="s">
        <v>280</v>
      </c>
      <c r="D25" s="11" t="s">
        <v>281</v>
      </c>
      <c r="E25" s="11" t="s">
        <v>902</v>
      </c>
      <c r="F25" s="11" t="s">
        <v>847</v>
      </c>
      <c r="G25" s="22" t="s">
        <v>227</v>
      </c>
      <c r="H25" s="23" t="s">
        <v>228</v>
      </c>
      <c r="I25" s="23" t="s">
        <v>228</v>
      </c>
      <c r="J25" s="12"/>
      <c r="K25" s="22" t="s">
        <v>85</v>
      </c>
      <c r="L25" s="22" t="s">
        <v>86</v>
      </c>
      <c r="M25" s="23" t="s">
        <v>114</v>
      </c>
      <c r="N25" s="12"/>
      <c r="O25" s="22" t="s">
        <v>81</v>
      </c>
      <c r="P25" s="22" t="s">
        <v>232</v>
      </c>
      <c r="Q25" s="22" t="s">
        <v>17</v>
      </c>
      <c r="R25" s="12"/>
      <c r="S25" s="31" t="str">
        <f>"200,0"</f>
        <v>200,0</v>
      </c>
      <c r="T25" s="12" t="str">
        <f>"211,1923"</f>
        <v>211,1923</v>
      </c>
      <c r="U25" s="11" t="s">
        <v>282</v>
      </c>
    </row>
    <row r="26" spans="1:21">
      <c r="B26" s="5" t="s">
        <v>75</v>
      </c>
    </row>
    <row r="27" spans="1:21" ht="16">
      <c r="A27" s="33" t="s">
        <v>137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</row>
    <row r="28" spans="1:21">
      <c r="A28" s="8" t="s">
        <v>74</v>
      </c>
      <c r="B28" s="7" t="s">
        <v>283</v>
      </c>
      <c r="C28" s="7" t="s">
        <v>284</v>
      </c>
      <c r="D28" s="7" t="s">
        <v>285</v>
      </c>
      <c r="E28" s="7" t="s">
        <v>901</v>
      </c>
      <c r="F28" s="7" t="s">
        <v>847</v>
      </c>
      <c r="G28" s="19" t="s">
        <v>148</v>
      </c>
      <c r="H28" s="18" t="s">
        <v>148</v>
      </c>
      <c r="I28" s="18" t="s">
        <v>129</v>
      </c>
      <c r="J28" s="8"/>
      <c r="K28" s="18" t="s">
        <v>242</v>
      </c>
      <c r="L28" s="19" t="s">
        <v>227</v>
      </c>
      <c r="M28" s="19" t="s">
        <v>227</v>
      </c>
      <c r="N28" s="8"/>
      <c r="O28" s="18" t="s">
        <v>28</v>
      </c>
      <c r="P28" s="18" t="s">
        <v>244</v>
      </c>
      <c r="Q28" s="18" t="s">
        <v>177</v>
      </c>
      <c r="R28" s="8"/>
      <c r="S28" s="28" t="str">
        <f>"315,0"</f>
        <v>315,0</v>
      </c>
      <c r="T28" s="8" t="str">
        <f>"303,3135"</f>
        <v>303,3135</v>
      </c>
      <c r="U28" s="7" t="s">
        <v>179</v>
      </c>
    </row>
    <row r="29" spans="1:21">
      <c r="B29" s="5" t="s">
        <v>75</v>
      </c>
    </row>
    <row r="30" spans="1:21" ht="16">
      <c r="A30" s="33" t="s">
        <v>10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</row>
    <row r="31" spans="1:21">
      <c r="A31" s="8" t="s">
        <v>74</v>
      </c>
      <c r="B31" s="7" t="s">
        <v>286</v>
      </c>
      <c r="C31" s="7" t="s">
        <v>287</v>
      </c>
      <c r="D31" s="7" t="s">
        <v>268</v>
      </c>
      <c r="E31" s="7" t="s">
        <v>901</v>
      </c>
      <c r="F31" s="7" t="s">
        <v>851</v>
      </c>
      <c r="G31" s="18" t="s">
        <v>102</v>
      </c>
      <c r="H31" s="18" t="s">
        <v>28</v>
      </c>
      <c r="I31" s="18" t="s">
        <v>244</v>
      </c>
      <c r="J31" s="8"/>
      <c r="K31" s="18" t="s">
        <v>111</v>
      </c>
      <c r="L31" s="18" t="s">
        <v>130</v>
      </c>
      <c r="M31" s="19" t="s">
        <v>131</v>
      </c>
      <c r="N31" s="8"/>
      <c r="O31" s="18" t="s">
        <v>15</v>
      </c>
      <c r="P31" s="18" t="s">
        <v>123</v>
      </c>
      <c r="Q31" s="19" t="s">
        <v>189</v>
      </c>
      <c r="R31" s="8"/>
      <c r="S31" s="28" t="str">
        <f>"400,0"</f>
        <v>400,0</v>
      </c>
      <c r="T31" s="8" t="str">
        <f>"347,0000"</f>
        <v>347,0000</v>
      </c>
      <c r="U31" s="7" t="s">
        <v>814</v>
      </c>
    </row>
    <row r="32" spans="1:21">
      <c r="B32" s="5" t="s">
        <v>75</v>
      </c>
    </row>
    <row r="33" spans="1:21" ht="16">
      <c r="A33" s="33" t="s">
        <v>270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21">
      <c r="A34" s="10" t="s">
        <v>74</v>
      </c>
      <c r="B34" s="9" t="s">
        <v>288</v>
      </c>
      <c r="C34" s="9" t="s">
        <v>289</v>
      </c>
      <c r="D34" s="9" t="s">
        <v>290</v>
      </c>
      <c r="E34" s="9" t="s">
        <v>901</v>
      </c>
      <c r="F34" s="9" t="s">
        <v>852</v>
      </c>
      <c r="G34" s="21" t="s">
        <v>149</v>
      </c>
      <c r="H34" s="21" t="s">
        <v>15</v>
      </c>
      <c r="I34" s="21" t="s">
        <v>16</v>
      </c>
      <c r="J34" s="10"/>
      <c r="K34" s="21" t="s">
        <v>131</v>
      </c>
      <c r="L34" s="21" t="s">
        <v>102</v>
      </c>
      <c r="M34" s="21" t="s">
        <v>15</v>
      </c>
      <c r="N34" s="10"/>
      <c r="O34" s="21" t="s">
        <v>19</v>
      </c>
      <c r="P34" s="21" t="s">
        <v>47</v>
      </c>
      <c r="Q34" s="21" t="s">
        <v>25</v>
      </c>
      <c r="R34" s="10"/>
      <c r="S34" s="30" t="str">
        <f>"470,0"</f>
        <v>470,0</v>
      </c>
      <c r="T34" s="10" t="str">
        <f>"362,7930"</f>
        <v>362,7930</v>
      </c>
      <c r="U34" s="9" t="s">
        <v>291</v>
      </c>
    </row>
    <row r="35" spans="1:21">
      <c r="A35" s="12" t="s">
        <v>76</v>
      </c>
      <c r="B35" s="11" t="s">
        <v>292</v>
      </c>
      <c r="C35" s="11" t="s">
        <v>293</v>
      </c>
      <c r="D35" s="11" t="s">
        <v>281</v>
      </c>
      <c r="E35" s="11" t="s">
        <v>901</v>
      </c>
      <c r="F35" s="11" t="s">
        <v>849</v>
      </c>
      <c r="G35" s="22" t="s">
        <v>16</v>
      </c>
      <c r="H35" s="22" t="s">
        <v>94</v>
      </c>
      <c r="I35" s="23" t="s">
        <v>95</v>
      </c>
      <c r="J35" s="12"/>
      <c r="K35" s="22" t="s">
        <v>113</v>
      </c>
      <c r="L35" s="22" t="s">
        <v>149</v>
      </c>
      <c r="M35" s="22" t="s">
        <v>27</v>
      </c>
      <c r="N35" s="12"/>
      <c r="O35" s="22" t="s">
        <v>163</v>
      </c>
      <c r="P35" s="22" t="s">
        <v>46</v>
      </c>
      <c r="Q35" s="23" t="s">
        <v>20</v>
      </c>
      <c r="R35" s="12"/>
      <c r="S35" s="31" t="str">
        <f>"445,0"</f>
        <v>445,0</v>
      </c>
      <c r="T35" s="12" t="str">
        <f>"345,5870"</f>
        <v>345,5870</v>
      </c>
      <c r="U35" s="11" t="s">
        <v>822</v>
      </c>
    </row>
    <row r="36" spans="1:21">
      <c r="B36" s="5" t="s">
        <v>75</v>
      </c>
    </row>
    <row r="37" spans="1:21" ht="16">
      <c r="A37" s="33" t="s">
        <v>137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</row>
    <row r="38" spans="1:21">
      <c r="A38" s="10" t="s">
        <v>74</v>
      </c>
      <c r="B38" s="9" t="s">
        <v>294</v>
      </c>
      <c r="C38" s="9" t="s">
        <v>295</v>
      </c>
      <c r="D38" s="9" t="s">
        <v>296</v>
      </c>
      <c r="E38" s="9" t="s">
        <v>907</v>
      </c>
      <c r="F38" s="9" t="s">
        <v>848</v>
      </c>
      <c r="G38" s="21" t="s">
        <v>81</v>
      </c>
      <c r="H38" s="21" t="s">
        <v>18</v>
      </c>
      <c r="I38" s="21" t="s">
        <v>148</v>
      </c>
      <c r="J38" s="10"/>
      <c r="K38" s="21" t="s">
        <v>114</v>
      </c>
      <c r="L38" s="21" t="s">
        <v>93</v>
      </c>
      <c r="M38" s="21" t="s">
        <v>242</v>
      </c>
      <c r="N38" s="10"/>
      <c r="O38" s="21" t="s">
        <v>148</v>
      </c>
      <c r="P38" s="21" t="s">
        <v>27</v>
      </c>
      <c r="Q38" s="21" t="s">
        <v>15</v>
      </c>
      <c r="R38" s="10"/>
      <c r="S38" s="30" t="str">
        <f>"295,0"</f>
        <v>295,0</v>
      </c>
      <c r="T38" s="10" t="str">
        <f>"215,3500"</f>
        <v>215,3500</v>
      </c>
      <c r="U38" s="9" t="s">
        <v>842</v>
      </c>
    </row>
    <row r="39" spans="1:21">
      <c r="A39" s="25" t="s">
        <v>74</v>
      </c>
      <c r="B39" s="24" t="s">
        <v>297</v>
      </c>
      <c r="C39" s="24" t="s">
        <v>298</v>
      </c>
      <c r="D39" s="24" t="s">
        <v>299</v>
      </c>
      <c r="E39" s="24" t="s">
        <v>909</v>
      </c>
      <c r="F39" s="24" t="s">
        <v>853</v>
      </c>
      <c r="G39" s="26" t="s">
        <v>19</v>
      </c>
      <c r="H39" s="27" t="s">
        <v>147</v>
      </c>
      <c r="I39" s="25"/>
      <c r="J39" s="25"/>
      <c r="K39" s="26" t="s">
        <v>149</v>
      </c>
      <c r="L39" s="26" t="s">
        <v>27</v>
      </c>
      <c r="M39" s="26" t="s">
        <v>102</v>
      </c>
      <c r="N39" s="25"/>
      <c r="O39" s="26" t="s">
        <v>25</v>
      </c>
      <c r="P39" s="26" t="s">
        <v>101</v>
      </c>
      <c r="Q39" s="25"/>
      <c r="R39" s="25"/>
      <c r="S39" s="32" t="str">
        <f>"505,0"</f>
        <v>505,0</v>
      </c>
      <c r="T39" s="25" t="str">
        <f>"363,2465"</f>
        <v>363,2465</v>
      </c>
      <c r="U39" s="24" t="s">
        <v>135</v>
      </c>
    </row>
    <row r="40" spans="1:21">
      <c r="A40" s="25" t="s">
        <v>74</v>
      </c>
      <c r="B40" s="24" t="s">
        <v>300</v>
      </c>
      <c r="C40" s="24" t="s">
        <v>301</v>
      </c>
      <c r="D40" s="24" t="s">
        <v>302</v>
      </c>
      <c r="E40" s="24" t="s">
        <v>904</v>
      </c>
      <c r="F40" s="24" t="s">
        <v>854</v>
      </c>
      <c r="G40" s="26" t="s">
        <v>123</v>
      </c>
      <c r="H40" s="26" t="s">
        <v>94</v>
      </c>
      <c r="I40" s="27" t="s">
        <v>146</v>
      </c>
      <c r="J40" s="25"/>
      <c r="K40" s="26" t="s">
        <v>91</v>
      </c>
      <c r="L40" s="26" t="s">
        <v>113</v>
      </c>
      <c r="M40" s="27" t="s">
        <v>149</v>
      </c>
      <c r="N40" s="25"/>
      <c r="O40" s="26" t="s">
        <v>163</v>
      </c>
      <c r="P40" s="26" t="s">
        <v>46</v>
      </c>
      <c r="Q40" s="26" t="s">
        <v>47</v>
      </c>
      <c r="R40" s="25"/>
      <c r="S40" s="32" t="str">
        <f>"445,0"</f>
        <v>445,0</v>
      </c>
      <c r="T40" s="25" t="str">
        <f>"325,8290"</f>
        <v>325,8290</v>
      </c>
      <c r="U40" s="24" t="s">
        <v>843</v>
      </c>
    </row>
    <row r="41" spans="1:21">
      <c r="A41" s="12" t="s">
        <v>74</v>
      </c>
      <c r="B41" s="11" t="s">
        <v>303</v>
      </c>
      <c r="C41" s="11" t="s">
        <v>304</v>
      </c>
      <c r="D41" s="11" t="s">
        <v>305</v>
      </c>
      <c r="E41" s="11" t="s">
        <v>901</v>
      </c>
      <c r="F41" s="11" t="s">
        <v>855</v>
      </c>
      <c r="G41" s="22" t="s">
        <v>102</v>
      </c>
      <c r="H41" s="22" t="s">
        <v>243</v>
      </c>
      <c r="I41" s="23" t="s">
        <v>16</v>
      </c>
      <c r="J41" s="12"/>
      <c r="K41" s="22" t="s">
        <v>232</v>
      </c>
      <c r="L41" s="22" t="s">
        <v>17</v>
      </c>
      <c r="M41" s="23" t="s">
        <v>83</v>
      </c>
      <c r="N41" s="12"/>
      <c r="O41" s="22" t="s">
        <v>189</v>
      </c>
      <c r="P41" s="23" t="s">
        <v>306</v>
      </c>
      <c r="Q41" s="12"/>
      <c r="R41" s="12"/>
      <c r="S41" s="31" t="str">
        <f>"375,0"</f>
        <v>375,0</v>
      </c>
      <c r="T41" s="12" t="str">
        <f>"277,1250"</f>
        <v>277,1250</v>
      </c>
      <c r="U41" s="11" t="s">
        <v>307</v>
      </c>
    </row>
    <row r="42" spans="1:21">
      <c r="B42" s="5" t="s">
        <v>75</v>
      </c>
    </row>
    <row r="43" spans="1:21" ht="16">
      <c r="A43" s="33" t="s">
        <v>151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</row>
    <row r="44" spans="1:21">
      <c r="A44" s="10" t="s">
        <v>74</v>
      </c>
      <c r="B44" s="9" t="s">
        <v>308</v>
      </c>
      <c r="C44" s="9" t="s">
        <v>309</v>
      </c>
      <c r="D44" s="9" t="s">
        <v>310</v>
      </c>
      <c r="E44" s="9" t="s">
        <v>901</v>
      </c>
      <c r="F44" s="9" t="s">
        <v>850</v>
      </c>
      <c r="G44" s="21" t="s">
        <v>146</v>
      </c>
      <c r="H44" s="21" t="s">
        <v>46</v>
      </c>
      <c r="I44" s="20" t="s">
        <v>20</v>
      </c>
      <c r="J44" s="10"/>
      <c r="K44" s="21" t="s">
        <v>28</v>
      </c>
      <c r="L44" s="21" t="s">
        <v>94</v>
      </c>
      <c r="M44" s="20" t="s">
        <v>95</v>
      </c>
      <c r="N44" s="10"/>
      <c r="O44" s="21" t="s">
        <v>103</v>
      </c>
      <c r="P44" s="20" t="s">
        <v>49</v>
      </c>
      <c r="Q44" s="20" t="s">
        <v>311</v>
      </c>
      <c r="R44" s="10"/>
      <c r="S44" s="30" t="str">
        <f>"545,0"</f>
        <v>545,0</v>
      </c>
      <c r="T44" s="10" t="str">
        <f>"365,9130"</f>
        <v>365,9130</v>
      </c>
      <c r="U44" s="9"/>
    </row>
    <row r="45" spans="1:21">
      <c r="A45" s="25" t="s">
        <v>76</v>
      </c>
      <c r="B45" s="24" t="s">
        <v>312</v>
      </c>
      <c r="C45" s="24" t="s">
        <v>313</v>
      </c>
      <c r="D45" s="24" t="s">
        <v>314</v>
      </c>
      <c r="E45" s="24" t="s">
        <v>901</v>
      </c>
      <c r="F45" s="24" t="s">
        <v>856</v>
      </c>
      <c r="G45" s="26" t="s">
        <v>146</v>
      </c>
      <c r="H45" s="26" t="s">
        <v>19</v>
      </c>
      <c r="I45" s="26" t="s">
        <v>20</v>
      </c>
      <c r="J45" s="25"/>
      <c r="K45" s="27" t="s">
        <v>91</v>
      </c>
      <c r="L45" s="26" t="s">
        <v>91</v>
      </c>
      <c r="M45" s="27" t="s">
        <v>113</v>
      </c>
      <c r="N45" s="25"/>
      <c r="O45" s="26" t="s">
        <v>20</v>
      </c>
      <c r="P45" s="26" t="s">
        <v>150</v>
      </c>
      <c r="Q45" s="26" t="s">
        <v>25</v>
      </c>
      <c r="R45" s="25"/>
      <c r="S45" s="32" t="str">
        <f>"480,0"</f>
        <v>480,0</v>
      </c>
      <c r="T45" s="25" t="str">
        <f>"323,9520"</f>
        <v>323,9520</v>
      </c>
      <c r="U45" s="24"/>
    </row>
    <row r="46" spans="1:21">
      <c r="A46" s="25" t="s">
        <v>221</v>
      </c>
      <c r="B46" s="24" t="s">
        <v>315</v>
      </c>
      <c r="C46" s="24" t="s">
        <v>316</v>
      </c>
      <c r="D46" s="24" t="s">
        <v>317</v>
      </c>
      <c r="E46" s="24" t="s">
        <v>901</v>
      </c>
      <c r="F46" s="24" t="s">
        <v>849</v>
      </c>
      <c r="G46" s="26" t="s">
        <v>15</v>
      </c>
      <c r="H46" s="26" t="s">
        <v>123</v>
      </c>
      <c r="I46" s="27" t="s">
        <v>95</v>
      </c>
      <c r="J46" s="25"/>
      <c r="K46" s="26" t="s">
        <v>17</v>
      </c>
      <c r="L46" s="26" t="s">
        <v>91</v>
      </c>
      <c r="M46" s="27" t="s">
        <v>113</v>
      </c>
      <c r="N46" s="25"/>
      <c r="O46" s="26" t="s">
        <v>94</v>
      </c>
      <c r="P46" s="26" t="s">
        <v>19</v>
      </c>
      <c r="Q46" s="26" t="s">
        <v>150</v>
      </c>
      <c r="R46" s="25"/>
      <c r="S46" s="32" t="str">
        <f>"435,0"</f>
        <v>435,0</v>
      </c>
      <c r="T46" s="25" t="str">
        <f>"296,4960"</f>
        <v>296,4960</v>
      </c>
      <c r="U46" s="24" t="s">
        <v>814</v>
      </c>
    </row>
    <row r="47" spans="1:21">
      <c r="A47" s="12" t="s">
        <v>220</v>
      </c>
      <c r="B47" s="11" t="s">
        <v>318</v>
      </c>
      <c r="C47" s="11" t="s">
        <v>319</v>
      </c>
      <c r="D47" s="11" t="s">
        <v>320</v>
      </c>
      <c r="E47" s="11" t="s">
        <v>901</v>
      </c>
      <c r="F47" s="11" t="s">
        <v>857</v>
      </c>
      <c r="G47" s="22" t="s">
        <v>25</v>
      </c>
      <c r="H47" s="23" t="s">
        <v>101</v>
      </c>
      <c r="I47" s="23" t="s">
        <v>101</v>
      </c>
      <c r="J47" s="12"/>
      <c r="K47" s="23" t="s">
        <v>94</v>
      </c>
      <c r="L47" s="23" t="s">
        <v>94</v>
      </c>
      <c r="M47" s="23" t="s">
        <v>94</v>
      </c>
      <c r="N47" s="12"/>
      <c r="O47" s="23"/>
      <c r="P47" s="12"/>
      <c r="Q47" s="12"/>
      <c r="R47" s="12"/>
      <c r="S47" s="31">
        <v>0</v>
      </c>
      <c r="T47" s="12" t="str">
        <f>"0,0000"</f>
        <v>0,0000</v>
      </c>
      <c r="U47" s="11"/>
    </row>
    <row r="48" spans="1:21">
      <c r="B48" s="5" t="s">
        <v>75</v>
      </c>
    </row>
    <row r="49" spans="1:21" ht="16">
      <c r="A49" s="33" t="s">
        <v>21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</row>
    <row r="50" spans="1:21">
      <c r="A50" s="10" t="s">
        <v>74</v>
      </c>
      <c r="B50" s="9" t="s">
        <v>321</v>
      </c>
      <c r="C50" s="9" t="s">
        <v>322</v>
      </c>
      <c r="D50" s="9" t="s">
        <v>323</v>
      </c>
      <c r="E50" s="9" t="s">
        <v>909</v>
      </c>
      <c r="F50" s="9" t="s">
        <v>858</v>
      </c>
      <c r="G50" s="21" t="s">
        <v>47</v>
      </c>
      <c r="H50" s="21" t="s">
        <v>99</v>
      </c>
      <c r="I50" s="21" t="s">
        <v>100</v>
      </c>
      <c r="J50" s="10"/>
      <c r="K50" s="21" t="s">
        <v>28</v>
      </c>
      <c r="L50" s="21" t="s">
        <v>244</v>
      </c>
      <c r="M50" s="20" t="s">
        <v>123</v>
      </c>
      <c r="N50" s="10"/>
      <c r="O50" s="20" t="s">
        <v>104</v>
      </c>
      <c r="P50" s="21" t="s">
        <v>26</v>
      </c>
      <c r="Q50" s="20" t="s">
        <v>49</v>
      </c>
      <c r="R50" s="10"/>
      <c r="S50" s="30" t="str">
        <f>"577,5"</f>
        <v>577,5</v>
      </c>
      <c r="T50" s="10" t="str">
        <f>"376,9920"</f>
        <v>376,9920</v>
      </c>
      <c r="U50" s="9"/>
    </row>
    <row r="51" spans="1:21">
      <c r="A51" s="25" t="s">
        <v>76</v>
      </c>
      <c r="B51" s="24" t="s">
        <v>324</v>
      </c>
      <c r="C51" s="24" t="s">
        <v>325</v>
      </c>
      <c r="D51" s="24" t="s">
        <v>326</v>
      </c>
      <c r="E51" s="24" t="s">
        <v>909</v>
      </c>
      <c r="F51" s="24" t="s">
        <v>859</v>
      </c>
      <c r="G51" s="27" t="s">
        <v>95</v>
      </c>
      <c r="H51" s="26" t="s">
        <v>146</v>
      </c>
      <c r="I51" s="26" t="s">
        <v>46</v>
      </c>
      <c r="J51" s="25"/>
      <c r="K51" s="26" t="s">
        <v>148</v>
      </c>
      <c r="L51" s="26" t="s">
        <v>149</v>
      </c>
      <c r="M51" s="27" t="s">
        <v>27</v>
      </c>
      <c r="N51" s="25"/>
      <c r="O51" s="26" t="s">
        <v>20</v>
      </c>
      <c r="P51" s="26" t="s">
        <v>99</v>
      </c>
      <c r="Q51" s="26" t="s">
        <v>100</v>
      </c>
      <c r="R51" s="25"/>
      <c r="S51" s="32" t="str">
        <f>"495,0"</f>
        <v>495,0</v>
      </c>
      <c r="T51" s="25" t="str">
        <f>"320,9085"</f>
        <v>320,9085</v>
      </c>
      <c r="U51" s="24" t="s">
        <v>327</v>
      </c>
    </row>
    <row r="52" spans="1:21">
      <c r="A52" s="25" t="s">
        <v>74</v>
      </c>
      <c r="B52" s="24" t="s">
        <v>328</v>
      </c>
      <c r="C52" s="24" t="s">
        <v>329</v>
      </c>
      <c r="D52" s="24" t="s">
        <v>330</v>
      </c>
      <c r="E52" s="24" t="s">
        <v>904</v>
      </c>
      <c r="F52" s="24" t="s">
        <v>847</v>
      </c>
      <c r="G52" s="26" t="s">
        <v>25</v>
      </c>
      <c r="H52" s="26" t="s">
        <v>101</v>
      </c>
      <c r="I52" s="27" t="s">
        <v>141</v>
      </c>
      <c r="J52" s="25"/>
      <c r="K52" s="26" t="s">
        <v>15</v>
      </c>
      <c r="L52" s="26" t="s">
        <v>122</v>
      </c>
      <c r="M52" s="27" t="s">
        <v>244</v>
      </c>
      <c r="N52" s="25"/>
      <c r="O52" s="26" t="s">
        <v>44</v>
      </c>
      <c r="P52" s="26" t="s">
        <v>311</v>
      </c>
      <c r="Q52" s="26" t="s">
        <v>33</v>
      </c>
      <c r="R52" s="25"/>
      <c r="S52" s="32" t="str">
        <f>"607,5"</f>
        <v>607,5</v>
      </c>
      <c r="T52" s="25" t="str">
        <f>"390,0757"</f>
        <v>390,0757</v>
      </c>
      <c r="U52" s="24"/>
    </row>
    <row r="53" spans="1:21">
      <c r="A53" s="25" t="s">
        <v>74</v>
      </c>
      <c r="B53" s="24" t="s">
        <v>328</v>
      </c>
      <c r="C53" s="24" t="s">
        <v>331</v>
      </c>
      <c r="D53" s="24" t="s">
        <v>330</v>
      </c>
      <c r="E53" s="24" t="s">
        <v>901</v>
      </c>
      <c r="F53" s="24" t="s">
        <v>847</v>
      </c>
      <c r="G53" s="26" t="s">
        <v>25</v>
      </c>
      <c r="H53" s="26" t="s">
        <v>101</v>
      </c>
      <c r="I53" s="27" t="s">
        <v>141</v>
      </c>
      <c r="J53" s="25"/>
      <c r="K53" s="26" t="s">
        <v>15</v>
      </c>
      <c r="L53" s="26" t="s">
        <v>122</v>
      </c>
      <c r="M53" s="27" t="s">
        <v>244</v>
      </c>
      <c r="N53" s="25"/>
      <c r="O53" s="26" t="s">
        <v>44</v>
      </c>
      <c r="P53" s="26" t="s">
        <v>311</v>
      </c>
      <c r="Q53" s="26" t="s">
        <v>33</v>
      </c>
      <c r="R53" s="25"/>
      <c r="S53" s="32" t="str">
        <f>"607,5"</f>
        <v>607,5</v>
      </c>
      <c r="T53" s="25" t="str">
        <f>"390,0757"</f>
        <v>390,0757</v>
      </c>
      <c r="U53" s="24"/>
    </row>
    <row r="54" spans="1:21">
      <c r="A54" s="25" t="s">
        <v>76</v>
      </c>
      <c r="B54" s="24" t="s">
        <v>332</v>
      </c>
      <c r="C54" s="24" t="s">
        <v>333</v>
      </c>
      <c r="D54" s="24" t="s">
        <v>334</v>
      </c>
      <c r="E54" s="24" t="s">
        <v>901</v>
      </c>
      <c r="F54" s="24" t="s">
        <v>847</v>
      </c>
      <c r="G54" s="26" t="s">
        <v>20</v>
      </c>
      <c r="H54" s="26" t="s">
        <v>150</v>
      </c>
      <c r="I54" s="26" t="s">
        <v>25</v>
      </c>
      <c r="J54" s="25"/>
      <c r="K54" s="26" t="s">
        <v>16</v>
      </c>
      <c r="L54" s="26" t="s">
        <v>94</v>
      </c>
      <c r="M54" s="27" t="s">
        <v>146</v>
      </c>
      <c r="N54" s="25"/>
      <c r="O54" s="26" t="s">
        <v>150</v>
      </c>
      <c r="P54" s="26" t="s">
        <v>25</v>
      </c>
      <c r="Q54" s="27" t="s">
        <v>101</v>
      </c>
      <c r="R54" s="25"/>
      <c r="S54" s="32" t="str">
        <f>"550,0"</f>
        <v>550,0</v>
      </c>
      <c r="T54" s="25" t="str">
        <f>"351,5050"</f>
        <v>351,5050</v>
      </c>
      <c r="U54" s="24" t="s">
        <v>335</v>
      </c>
    </row>
    <row r="55" spans="1:21">
      <c r="A55" s="25" t="s">
        <v>221</v>
      </c>
      <c r="B55" s="24" t="s">
        <v>336</v>
      </c>
      <c r="C55" s="24" t="s">
        <v>337</v>
      </c>
      <c r="D55" s="24" t="s">
        <v>338</v>
      </c>
      <c r="E55" s="24" t="s">
        <v>901</v>
      </c>
      <c r="F55" s="24" t="s">
        <v>847</v>
      </c>
      <c r="G55" s="26" t="s">
        <v>146</v>
      </c>
      <c r="H55" s="26" t="s">
        <v>46</v>
      </c>
      <c r="I55" s="26" t="s">
        <v>150</v>
      </c>
      <c r="J55" s="25"/>
      <c r="K55" s="26" t="s">
        <v>113</v>
      </c>
      <c r="L55" s="26" t="s">
        <v>27</v>
      </c>
      <c r="M55" s="26" t="s">
        <v>15</v>
      </c>
      <c r="N55" s="25"/>
      <c r="O55" s="26" t="s">
        <v>146</v>
      </c>
      <c r="P55" s="26" t="s">
        <v>20</v>
      </c>
      <c r="Q55" s="26" t="s">
        <v>25</v>
      </c>
      <c r="R55" s="25"/>
      <c r="S55" s="32" t="str">
        <f>"520,0"</f>
        <v>520,0</v>
      </c>
      <c r="T55" s="25" t="str">
        <f>"332,9040"</f>
        <v>332,9040</v>
      </c>
      <c r="U55" s="24"/>
    </row>
    <row r="56" spans="1:21">
      <c r="A56" s="25" t="s">
        <v>388</v>
      </c>
      <c r="B56" s="24" t="s">
        <v>339</v>
      </c>
      <c r="C56" s="24" t="s">
        <v>340</v>
      </c>
      <c r="D56" s="24" t="s">
        <v>341</v>
      </c>
      <c r="E56" s="24" t="s">
        <v>901</v>
      </c>
      <c r="F56" s="24" t="s">
        <v>847</v>
      </c>
      <c r="G56" s="26" t="s">
        <v>27</v>
      </c>
      <c r="H56" s="26" t="s">
        <v>15</v>
      </c>
      <c r="I56" s="26" t="s">
        <v>28</v>
      </c>
      <c r="J56" s="25"/>
      <c r="K56" s="26" t="s">
        <v>17</v>
      </c>
      <c r="L56" s="26" t="s">
        <v>91</v>
      </c>
      <c r="M56" s="26" t="s">
        <v>148</v>
      </c>
      <c r="N56" s="25"/>
      <c r="O56" s="26" t="s">
        <v>102</v>
      </c>
      <c r="P56" s="26" t="s">
        <v>28</v>
      </c>
      <c r="Q56" s="26" t="s">
        <v>123</v>
      </c>
      <c r="R56" s="25"/>
      <c r="S56" s="32" t="str">
        <f>"385,0"</f>
        <v>385,0</v>
      </c>
      <c r="T56" s="25" t="str">
        <f>"247,3240"</f>
        <v>247,3240</v>
      </c>
      <c r="U56" s="24" t="s">
        <v>342</v>
      </c>
    </row>
    <row r="57" spans="1:21">
      <c r="A57" s="25" t="s">
        <v>220</v>
      </c>
      <c r="B57" s="24" t="s">
        <v>343</v>
      </c>
      <c r="C57" s="24" t="s">
        <v>344</v>
      </c>
      <c r="D57" s="24" t="s">
        <v>345</v>
      </c>
      <c r="E57" s="24" t="s">
        <v>901</v>
      </c>
      <c r="F57" s="24" t="s">
        <v>860</v>
      </c>
      <c r="G57" s="26" t="s">
        <v>47</v>
      </c>
      <c r="H57" s="26" t="s">
        <v>99</v>
      </c>
      <c r="I57" s="27" t="s">
        <v>25</v>
      </c>
      <c r="J57" s="25"/>
      <c r="K57" s="27" t="s">
        <v>15</v>
      </c>
      <c r="L57" s="27" t="s">
        <v>15</v>
      </c>
      <c r="M57" s="27" t="s">
        <v>15</v>
      </c>
      <c r="N57" s="25"/>
      <c r="O57" s="27"/>
      <c r="P57" s="25"/>
      <c r="Q57" s="25"/>
      <c r="R57" s="25"/>
      <c r="S57" s="32">
        <v>0</v>
      </c>
      <c r="T57" s="25" t="str">
        <f>"0,0000"</f>
        <v>0,0000</v>
      </c>
      <c r="U57" s="24" t="s">
        <v>179</v>
      </c>
    </row>
    <row r="58" spans="1:21">
      <c r="A58" s="25" t="s">
        <v>220</v>
      </c>
      <c r="B58" s="24" t="s">
        <v>346</v>
      </c>
      <c r="C58" s="24" t="s">
        <v>347</v>
      </c>
      <c r="D58" s="24" t="s">
        <v>348</v>
      </c>
      <c r="E58" s="24" t="s">
        <v>901</v>
      </c>
      <c r="F58" s="24" t="s">
        <v>850</v>
      </c>
      <c r="G58" s="26" t="s">
        <v>150</v>
      </c>
      <c r="H58" s="27" t="s">
        <v>25</v>
      </c>
      <c r="I58" s="27" t="s">
        <v>25</v>
      </c>
      <c r="J58" s="25"/>
      <c r="K58" s="27" t="s">
        <v>27</v>
      </c>
      <c r="L58" s="27" t="s">
        <v>27</v>
      </c>
      <c r="M58" s="27" t="s">
        <v>27</v>
      </c>
      <c r="N58" s="25"/>
      <c r="O58" s="27"/>
      <c r="P58" s="25"/>
      <c r="Q58" s="25"/>
      <c r="R58" s="25"/>
      <c r="S58" s="32">
        <v>0</v>
      </c>
      <c r="T58" s="25" t="str">
        <f>"0,0000"</f>
        <v>0,0000</v>
      </c>
      <c r="U58" s="24" t="s">
        <v>278</v>
      </c>
    </row>
    <row r="59" spans="1:21">
      <c r="A59" s="12" t="s">
        <v>74</v>
      </c>
      <c r="B59" s="11" t="s">
        <v>349</v>
      </c>
      <c r="C59" s="11" t="s">
        <v>350</v>
      </c>
      <c r="D59" s="11" t="s">
        <v>351</v>
      </c>
      <c r="E59" s="11" t="s">
        <v>902</v>
      </c>
      <c r="F59" s="11" t="s">
        <v>847</v>
      </c>
      <c r="G59" s="23" t="s">
        <v>20</v>
      </c>
      <c r="H59" s="22" t="s">
        <v>20</v>
      </c>
      <c r="I59" s="23" t="s">
        <v>25</v>
      </c>
      <c r="J59" s="12"/>
      <c r="K59" s="22" t="s">
        <v>15</v>
      </c>
      <c r="L59" s="22" t="s">
        <v>122</v>
      </c>
      <c r="M59" s="23" t="s">
        <v>244</v>
      </c>
      <c r="N59" s="12"/>
      <c r="O59" s="22" t="s">
        <v>20</v>
      </c>
      <c r="P59" s="22" t="s">
        <v>150</v>
      </c>
      <c r="Q59" s="22" t="s">
        <v>25</v>
      </c>
      <c r="R59" s="12"/>
      <c r="S59" s="31" t="str">
        <f>"517,5"</f>
        <v>517,5</v>
      </c>
      <c r="T59" s="12" t="str">
        <f>"340,7928"</f>
        <v>340,7928</v>
      </c>
      <c r="U59" s="11" t="s">
        <v>282</v>
      </c>
    </row>
    <row r="60" spans="1:21">
      <c r="B60" s="5" t="s">
        <v>75</v>
      </c>
    </row>
    <row r="61" spans="1:21" ht="16">
      <c r="A61" s="33" t="s">
        <v>169</v>
      </c>
      <c r="B61" s="33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</row>
    <row r="62" spans="1:21">
      <c r="A62" s="10" t="s">
        <v>74</v>
      </c>
      <c r="B62" s="9" t="s">
        <v>352</v>
      </c>
      <c r="C62" s="9" t="s">
        <v>353</v>
      </c>
      <c r="D62" s="9" t="s">
        <v>354</v>
      </c>
      <c r="E62" s="9" t="s">
        <v>901</v>
      </c>
      <c r="F62" s="9" t="s">
        <v>847</v>
      </c>
      <c r="G62" s="21" t="s">
        <v>104</v>
      </c>
      <c r="H62" s="21" t="s">
        <v>49</v>
      </c>
      <c r="I62" s="20" t="s">
        <v>45</v>
      </c>
      <c r="J62" s="10"/>
      <c r="K62" s="20" t="s">
        <v>163</v>
      </c>
      <c r="L62" s="21" t="s">
        <v>163</v>
      </c>
      <c r="M62" s="20" t="s">
        <v>355</v>
      </c>
      <c r="N62" s="10"/>
      <c r="O62" s="21" t="s">
        <v>33</v>
      </c>
      <c r="P62" s="20" t="s">
        <v>203</v>
      </c>
      <c r="Q62" s="20" t="s">
        <v>356</v>
      </c>
      <c r="R62" s="10"/>
      <c r="S62" s="30" t="str">
        <f>"660,0"</f>
        <v>660,0</v>
      </c>
      <c r="T62" s="10" t="str">
        <f>"405,1740"</f>
        <v>405,1740</v>
      </c>
      <c r="U62" s="9" t="s">
        <v>844</v>
      </c>
    </row>
    <row r="63" spans="1:21">
      <c r="A63" s="25" t="s">
        <v>76</v>
      </c>
      <c r="B63" s="24" t="s">
        <v>357</v>
      </c>
      <c r="C63" s="24" t="s">
        <v>358</v>
      </c>
      <c r="D63" s="24" t="s">
        <v>359</v>
      </c>
      <c r="E63" s="24" t="s">
        <v>901</v>
      </c>
      <c r="F63" s="24" t="s">
        <v>847</v>
      </c>
      <c r="G63" s="26" t="s">
        <v>99</v>
      </c>
      <c r="H63" s="26" t="s">
        <v>37</v>
      </c>
      <c r="I63" s="26" t="s">
        <v>60</v>
      </c>
      <c r="J63" s="25"/>
      <c r="K63" s="26" t="s">
        <v>94</v>
      </c>
      <c r="L63" s="26" t="s">
        <v>190</v>
      </c>
      <c r="M63" s="26" t="s">
        <v>306</v>
      </c>
      <c r="N63" s="25"/>
      <c r="O63" s="26" t="s">
        <v>100</v>
      </c>
      <c r="P63" s="26" t="s">
        <v>158</v>
      </c>
      <c r="Q63" s="27" t="s">
        <v>26</v>
      </c>
      <c r="R63" s="25"/>
      <c r="S63" s="32" t="str">
        <f>"592,5"</f>
        <v>592,5</v>
      </c>
      <c r="T63" s="25" t="str">
        <f>"371,6160"</f>
        <v>371,6160</v>
      </c>
      <c r="U63" s="24"/>
    </row>
    <row r="64" spans="1:21">
      <c r="A64" s="25" t="s">
        <v>221</v>
      </c>
      <c r="B64" s="24" t="s">
        <v>360</v>
      </c>
      <c r="C64" s="24" t="s">
        <v>361</v>
      </c>
      <c r="D64" s="24" t="s">
        <v>362</v>
      </c>
      <c r="E64" s="24" t="s">
        <v>901</v>
      </c>
      <c r="F64" s="24" t="s">
        <v>847</v>
      </c>
      <c r="G64" s="26" t="s">
        <v>150</v>
      </c>
      <c r="H64" s="26" t="s">
        <v>363</v>
      </c>
      <c r="I64" s="27" t="s">
        <v>59</v>
      </c>
      <c r="J64" s="25"/>
      <c r="K64" s="26" t="s">
        <v>16</v>
      </c>
      <c r="L64" s="26" t="s">
        <v>123</v>
      </c>
      <c r="M64" s="27" t="s">
        <v>177</v>
      </c>
      <c r="N64" s="25"/>
      <c r="O64" s="26" t="s">
        <v>103</v>
      </c>
      <c r="P64" s="26" t="s">
        <v>26</v>
      </c>
      <c r="Q64" s="26" t="s">
        <v>44</v>
      </c>
      <c r="R64" s="25"/>
      <c r="S64" s="32" t="str">
        <f>"582,5"</f>
        <v>582,5</v>
      </c>
      <c r="T64" s="25" t="str">
        <f>"355,7910"</f>
        <v>355,7910</v>
      </c>
      <c r="U64" s="24" t="s">
        <v>364</v>
      </c>
    </row>
    <row r="65" spans="1:21">
      <c r="A65" s="12" t="s">
        <v>388</v>
      </c>
      <c r="B65" s="11" t="s">
        <v>365</v>
      </c>
      <c r="C65" s="11" t="s">
        <v>366</v>
      </c>
      <c r="D65" s="11" t="s">
        <v>367</v>
      </c>
      <c r="E65" s="11" t="s">
        <v>901</v>
      </c>
      <c r="F65" s="11" t="s">
        <v>861</v>
      </c>
      <c r="G65" s="22" t="s">
        <v>20</v>
      </c>
      <c r="H65" s="22" t="s">
        <v>150</v>
      </c>
      <c r="I65" s="22" t="s">
        <v>100</v>
      </c>
      <c r="J65" s="12"/>
      <c r="K65" s="22" t="s">
        <v>17</v>
      </c>
      <c r="L65" s="22" t="s">
        <v>113</v>
      </c>
      <c r="M65" s="22" t="s">
        <v>27</v>
      </c>
      <c r="N65" s="12"/>
      <c r="O65" s="22" t="s">
        <v>101</v>
      </c>
      <c r="P65" s="23" t="s">
        <v>44</v>
      </c>
      <c r="Q65" s="12"/>
      <c r="R65" s="12"/>
      <c r="S65" s="31" t="str">
        <f>"535,0"</f>
        <v>535,0</v>
      </c>
      <c r="T65" s="12" t="str">
        <f>"335,2310"</f>
        <v>335,2310</v>
      </c>
      <c r="U65" s="11" t="s">
        <v>811</v>
      </c>
    </row>
    <row r="66" spans="1:21">
      <c r="B66" s="5" t="s">
        <v>75</v>
      </c>
    </row>
    <row r="67" spans="1:21" ht="16">
      <c r="A67" s="33" t="s">
        <v>52</v>
      </c>
      <c r="B67" s="33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</row>
    <row r="68" spans="1:21">
      <c r="A68" s="10" t="s">
        <v>74</v>
      </c>
      <c r="B68" s="9" t="s">
        <v>368</v>
      </c>
      <c r="C68" s="9" t="s">
        <v>369</v>
      </c>
      <c r="D68" s="9" t="s">
        <v>370</v>
      </c>
      <c r="E68" s="9" t="s">
        <v>901</v>
      </c>
      <c r="F68" s="9" t="s">
        <v>849</v>
      </c>
      <c r="G68" s="20" t="s">
        <v>26</v>
      </c>
      <c r="H68" s="21" t="s">
        <v>26</v>
      </c>
      <c r="I68" s="21" t="s">
        <v>45</v>
      </c>
      <c r="J68" s="10"/>
      <c r="K68" s="21" t="s">
        <v>94</v>
      </c>
      <c r="L68" s="21" t="s">
        <v>146</v>
      </c>
      <c r="M68" s="21" t="s">
        <v>163</v>
      </c>
      <c r="N68" s="10"/>
      <c r="O68" s="21" t="s">
        <v>45</v>
      </c>
      <c r="P68" s="21" t="s">
        <v>33</v>
      </c>
      <c r="Q68" s="21" t="s">
        <v>38</v>
      </c>
      <c r="R68" s="10"/>
      <c r="S68" s="30" t="str">
        <f>"685,0"</f>
        <v>685,0</v>
      </c>
      <c r="T68" s="10" t="str">
        <f>"391,4090"</f>
        <v>391,4090</v>
      </c>
      <c r="U68" s="9" t="s">
        <v>845</v>
      </c>
    </row>
    <row r="69" spans="1:21">
      <c r="A69" s="12" t="s">
        <v>76</v>
      </c>
      <c r="B69" s="11" t="s">
        <v>371</v>
      </c>
      <c r="C69" s="11" t="s">
        <v>372</v>
      </c>
      <c r="D69" s="11" t="s">
        <v>373</v>
      </c>
      <c r="E69" s="11" t="s">
        <v>901</v>
      </c>
      <c r="F69" s="11" t="s">
        <v>847</v>
      </c>
      <c r="G69" s="22" t="s">
        <v>19</v>
      </c>
      <c r="H69" s="22" t="s">
        <v>20</v>
      </c>
      <c r="I69" s="23" t="s">
        <v>47</v>
      </c>
      <c r="J69" s="12"/>
      <c r="K69" s="22" t="s">
        <v>113</v>
      </c>
      <c r="L69" s="22" t="s">
        <v>131</v>
      </c>
      <c r="M69" s="23" t="s">
        <v>27</v>
      </c>
      <c r="N69" s="12"/>
      <c r="O69" s="22" t="s">
        <v>25</v>
      </c>
      <c r="P69" s="22" t="s">
        <v>141</v>
      </c>
      <c r="Q69" s="23" t="s">
        <v>374</v>
      </c>
      <c r="R69" s="12"/>
      <c r="S69" s="31" t="str">
        <f>"512,5"</f>
        <v>512,5</v>
      </c>
      <c r="T69" s="12" t="str">
        <f>"300,9400"</f>
        <v>300,9400</v>
      </c>
      <c r="U69" s="11" t="s">
        <v>375</v>
      </c>
    </row>
    <row r="70" spans="1:21">
      <c r="B70" s="5" t="s">
        <v>75</v>
      </c>
    </row>
    <row r="73" spans="1:21" ht="18">
      <c r="B73" s="13" t="s">
        <v>66</v>
      </c>
      <c r="C73" s="13"/>
    </row>
    <row r="74" spans="1:21" ht="16">
      <c r="B74" s="14" t="s">
        <v>105</v>
      </c>
      <c r="C74" s="14"/>
    </row>
    <row r="75" spans="1:21" ht="14">
      <c r="B75" s="15"/>
      <c r="C75" s="16" t="s">
        <v>68</v>
      </c>
    </row>
    <row r="76" spans="1:21" ht="14">
      <c r="B76" s="17" t="s">
        <v>69</v>
      </c>
      <c r="C76" s="17" t="s">
        <v>70</v>
      </c>
      <c r="D76" s="17" t="s">
        <v>817</v>
      </c>
      <c r="E76" s="17" t="s">
        <v>71</v>
      </c>
      <c r="F76" s="17" t="s">
        <v>72</v>
      </c>
    </row>
    <row r="77" spans="1:21">
      <c r="B77" s="5" t="s">
        <v>223</v>
      </c>
      <c r="C77" s="5" t="s">
        <v>68</v>
      </c>
      <c r="D77" s="6" t="s">
        <v>376</v>
      </c>
      <c r="E77" s="6" t="s">
        <v>204</v>
      </c>
      <c r="F77" s="6" t="s">
        <v>377</v>
      </c>
    </row>
    <row r="78" spans="1:21">
      <c r="B78" s="5" t="s">
        <v>260</v>
      </c>
      <c r="C78" s="5" t="s">
        <v>68</v>
      </c>
      <c r="D78" s="6" t="s">
        <v>106</v>
      </c>
      <c r="E78" s="6" t="s">
        <v>205</v>
      </c>
      <c r="F78" s="6" t="s">
        <v>378</v>
      </c>
    </row>
    <row r="79" spans="1:21">
      <c r="B79" s="5" t="s">
        <v>229</v>
      </c>
      <c r="C79" s="5" t="s">
        <v>68</v>
      </c>
      <c r="D79" s="6" t="s">
        <v>376</v>
      </c>
      <c r="E79" s="6" t="s">
        <v>44</v>
      </c>
      <c r="F79" s="6" t="s">
        <v>379</v>
      </c>
    </row>
    <row r="81" spans="2:6" ht="16">
      <c r="B81" s="14" t="s">
        <v>67</v>
      </c>
      <c r="C81" s="14"/>
    </row>
    <row r="82" spans="2:6" ht="14">
      <c r="B82" s="15"/>
      <c r="C82" s="16" t="s">
        <v>68</v>
      </c>
    </row>
    <row r="83" spans="2:6" ht="14">
      <c r="B83" s="17" t="s">
        <v>69</v>
      </c>
      <c r="C83" s="17" t="s">
        <v>70</v>
      </c>
      <c r="D83" s="17" t="s">
        <v>817</v>
      </c>
      <c r="E83" s="17" t="s">
        <v>71</v>
      </c>
      <c r="F83" s="17" t="s">
        <v>72</v>
      </c>
    </row>
    <row r="84" spans="2:6">
      <c r="B84" s="5" t="s">
        <v>352</v>
      </c>
      <c r="C84" s="5" t="s">
        <v>68</v>
      </c>
      <c r="D84" s="6" t="s">
        <v>215</v>
      </c>
      <c r="E84" s="6" t="s">
        <v>384</v>
      </c>
      <c r="F84" s="6" t="s">
        <v>385</v>
      </c>
    </row>
    <row r="85" spans="2:6">
      <c r="B85" s="5" t="s">
        <v>368</v>
      </c>
      <c r="C85" s="5" t="s">
        <v>68</v>
      </c>
      <c r="D85" s="6" t="s">
        <v>73</v>
      </c>
      <c r="E85" s="6" t="s">
        <v>386</v>
      </c>
      <c r="F85" s="6" t="s">
        <v>387</v>
      </c>
    </row>
    <row r="86" spans="2:6">
      <c r="B86" s="5" t="s">
        <v>328</v>
      </c>
      <c r="C86" s="5" t="s">
        <v>68</v>
      </c>
      <c r="D86" s="6" t="s">
        <v>107</v>
      </c>
      <c r="E86" s="6" t="s">
        <v>382</v>
      </c>
      <c r="F86" s="6" t="s">
        <v>383</v>
      </c>
    </row>
  </sheetData>
  <mergeCells count="25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30:R30"/>
    <mergeCell ref="A33:R33"/>
    <mergeCell ref="S3:S4"/>
    <mergeCell ref="T3:T4"/>
    <mergeCell ref="U3:U4"/>
    <mergeCell ref="A5:R5"/>
    <mergeCell ref="B3:B4"/>
    <mergeCell ref="A11:R11"/>
    <mergeCell ref="A17:R17"/>
    <mergeCell ref="A22:R22"/>
    <mergeCell ref="A27:R27"/>
    <mergeCell ref="A37:R37"/>
    <mergeCell ref="A43:R43"/>
    <mergeCell ref="A49:R49"/>
    <mergeCell ref="A61:R61"/>
    <mergeCell ref="A67:R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B19B0-C586-4975-A79A-A9E04759B21E}">
  <dimension ref="A1:M18"/>
  <sheetViews>
    <sheetView workbookViewId="0">
      <selection activeCell="E18" sqref="E18"/>
    </sheetView>
  </sheetViews>
  <sheetFormatPr baseColWidth="10" defaultColWidth="9.1640625" defaultRowHeight="13"/>
  <cols>
    <col min="1" max="1" width="7.1640625" style="5" bestFit="1" customWidth="1"/>
    <col min="2" max="2" width="19.1640625" style="5" bestFit="1" customWidth="1"/>
    <col min="3" max="3" width="27.5" style="5" bestFit="1" customWidth="1"/>
    <col min="4" max="4" width="20.83203125" style="5" bestFit="1" customWidth="1"/>
    <col min="5" max="5" width="10.1640625" style="5" bestFit="1" customWidth="1"/>
    <col min="6" max="6" width="20.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7.5" style="5" bestFit="1" customWidth="1"/>
    <col min="14" max="16384" width="9.1640625" style="3"/>
  </cols>
  <sheetData>
    <row r="1" spans="1:13" s="2" customFormat="1" ht="29" customHeight="1">
      <c r="A1" s="45" t="s">
        <v>800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898</v>
      </c>
      <c r="B3" s="43" t="s">
        <v>0</v>
      </c>
      <c r="C3" s="55" t="s">
        <v>899</v>
      </c>
      <c r="D3" s="55" t="s">
        <v>5</v>
      </c>
      <c r="E3" s="37" t="s">
        <v>900</v>
      </c>
      <c r="F3" s="37" t="s">
        <v>6</v>
      </c>
      <c r="G3" s="37" t="s">
        <v>8</v>
      </c>
      <c r="H3" s="37"/>
      <c r="I3" s="37"/>
      <c r="J3" s="37"/>
      <c r="K3" s="37" t="s">
        <v>406</v>
      </c>
      <c r="L3" s="37" t="s">
        <v>3</v>
      </c>
      <c r="M3" s="39" t="s">
        <v>2</v>
      </c>
    </row>
    <row r="4" spans="1:13" s="1" customFormat="1" ht="21" customHeight="1" thickBot="1">
      <c r="A4" s="54"/>
      <c r="B4" s="44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38"/>
      <c r="L4" s="38"/>
      <c r="M4" s="40"/>
    </row>
    <row r="5" spans="1:13" ht="16">
      <c r="A5" s="41" t="s">
        <v>137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8" t="s">
        <v>74</v>
      </c>
      <c r="B6" s="7" t="s">
        <v>389</v>
      </c>
      <c r="C6" s="7" t="s">
        <v>390</v>
      </c>
      <c r="D6" s="7" t="s">
        <v>391</v>
      </c>
      <c r="E6" s="7" t="s">
        <v>901</v>
      </c>
      <c r="F6" s="7" t="s">
        <v>859</v>
      </c>
      <c r="G6" s="18" t="s">
        <v>45</v>
      </c>
      <c r="H6" s="19" t="s">
        <v>33</v>
      </c>
      <c r="I6" s="19" t="s">
        <v>33</v>
      </c>
      <c r="J6" s="8"/>
      <c r="K6" s="8" t="str">
        <f>"250,0"</f>
        <v>250,0</v>
      </c>
      <c r="L6" s="8" t="str">
        <f>"175,8500"</f>
        <v>175,8500</v>
      </c>
      <c r="M6" s="7" t="s">
        <v>392</v>
      </c>
    </row>
    <row r="7" spans="1:13">
      <c r="B7" s="5" t="s">
        <v>75</v>
      </c>
    </row>
    <row r="8" spans="1:13" ht="16">
      <c r="A8" s="33" t="s">
        <v>151</v>
      </c>
      <c r="B8" s="33"/>
      <c r="C8" s="34"/>
      <c r="D8" s="34"/>
      <c r="E8" s="34"/>
      <c r="F8" s="34"/>
      <c r="G8" s="34"/>
      <c r="H8" s="34"/>
      <c r="I8" s="34"/>
      <c r="J8" s="34"/>
    </row>
    <row r="9" spans="1:13">
      <c r="A9" s="8" t="s">
        <v>74</v>
      </c>
      <c r="B9" s="7" t="s">
        <v>393</v>
      </c>
      <c r="C9" s="7" t="s">
        <v>394</v>
      </c>
      <c r="D9" s="7" t="s">
        <v>310</v>
      </c>
      <c r="E9" s="7" t="s">
        <v>901</v>
      </c>
      <c r="F9" s="7" t="s">
        <v>847</v>
      </c>
      <c r="G9" s="18" t="s">
        <v>150</v>
      </c>
      <c r="H9" s="18" t="s">
        <v>25</v>
      </c>
      <c r="I9" s="19" t="s">
        <v>37</v>
      </c>
      <c r="J9" s="8"/>
      <c r="K9" s="8" t="str">
        <f>"200,0"</f>
        <v>200,0</v>
      </c>
      <c r="L9" s="8" t="str">
        <f>"129,2300"</f>
        <v>129,2300</v>
      </c>
      <c r="M9" s="7" t="s">
        <v>820</v>
      </c>
    </row>
    <row r="10" spans="1:13">
      <c r="B10" s="5" t="s">
        <v>75</v>
      </c>
    </row>
    <row r="11" spans="1:13" ht="16">
      <c r="A11" s="33" t="s">
        <v>169</v>
      </c>
      <c r="B11" s="33"/>
      <c r="C11" s="34"/>
      <c r="D11" s="34"/>
      <c r="E11" s="34"/>
      <c r="F11" s="34"/>
      <c r="G11" s="34"/>
      <c r="H11" s="34"/>
      <c r="I11" s="34"/>
      <c r="J11" s="34"/>
    </row>
    <row r="12" spans="1:13">
      <c r="A12" s="10" t="s">
        <v>74</v>
      </c>
      <c r="B12" s="9" t="s">
        <v>395</v>
      </c>
      <c r="C12" s="9" t="s">
        <v>396</v>
      </c>
      <c r="D12" s="9" t="s">
        <v>397</v>
      </c>
      <c r="E12" s="9" t="s">
        <v>901</v>
      </c>
      <c r="F12" s="9" t="s">
        <v>885</v>
      </c>
      <c r="G12" s="21" t="s">
        <v>45</v>
      </c>
      <c r="H12" s="21" t="s">
        <v>33</v>
      </c>
      <c r="I12" s="21" t="s">
        <v>38</v>
      </c>
      <c r="J12" s="10"/>
      <c r="K12" s="10" t="str">
        <f>"270,0"</f>
        <v>270,0</v>
      </c>
      <c r="L12" s="10" t="str">
        <f>"158,5305"</f>
        <v>158,5305</v>
      </c>
      <c r="M12" s="9"/>
    </row>
    <row r="13" spans="1:13">
      <c r="A13" s="25" t="s">
        <v>76</v>
      </c>
      <c r="B13" s="24" t="s">
        <v>398</v>
      </c>
      <c r="C13" s="24" t="s">
        <v>399</v>
      </c>
      <c r="D13" s="24" t="s">
        <v>400</v>
      </c>
      <c r="E13" s="24" t="s">
        <v>901</v>
      </c>
      <c r="F13" s="24" t="s">
        <v>847</v>
      </c>
      <c r="G13" s="26" t="s">
        <v>25</v>
      </c>
      <c r="H13" s="27" t="s">
        <v>103</v>
      </c>
      <c r="I13" s="27" t="s">
        <v>103</v>
      </c>
      <c r="J13" s="25"/>
      <c r="K13" s="25" t="str">
        <f>"200,0"</f>
        <v>200,0</v>
      </c>
      <c r="L13" s="25" t="str">
        <f>"120,4600"</f>
        <v>120,4600</v>
      </c>
      <c r="M13" s="24"/>
    </row>
    <row r="14" spans="1:13">
      <c r="A14" s="12" t="s">
        <v>74</v>
      </c>
      <c r="B14" s="11" t="s">
        <v>398</v>
      </c>
      <c r="C14" s="11" t="s">
        <v>401</v>
      </c>
      <c r="D14" s="11" t="s">
        <v>400</v>
      </c>
      <c r="E14" s="11" t="s">
        <v>902</v>
      </c>
      <c r="F14" s="11" t="s">
        <v>847</v>
      </c>
      <c r="G14" s="22" t="s">
        <v>25</v>
      </c>
      <c r="H14" s="23" t="s">
        <v>103</v>
      </c>
      <c r="I14" s="23" t="s">
        <v>103</v>
      </c>
      <c r="J14" s="12"/>
      <c r="K14" s="12" t="str">
        <f>"200,0"</f>
        <v>200,0</v>
      </c>
      <c r="L14" s="12" t="str">
        <f>"122,8692"</f>
        <v>122,8692</v>
      </c>
      <c r="M14" s="11"/>
    </row>
    <row r="15" spans="1:13">
      <c r="B15" s="5" t="s">
        <v>75</v>
      </c>
    </row>
    <row r="16" spans="1:13" ht="16">
      <c r="A16" s="33" t="s">
        <v>29</v>
      </c>
      <c r="B16" s="33"/>
      <c r="C16" s="34"/>
      <c r="D16" s="34"/>
      <c r="E16" s="34"/>
      <c r="F16" s="34"/>
      <c r="G16" s="34"/>
      <c r="H16" s="34"/>
      <c r="I16" s="34"/>
      <c r="J16" s="34"/>
    </row>
    <row r="17" spans="1:13">
      <c r="A17" s="8" t="s">
        <v>74</v>
      </c>
      <c r="B17" s="7" t="s">
        <v>402</v>
      </c>
      <c r="C17" s="7" t="s">
        <v>403</v>
      </c>
      <c r="D17" s="7" t="s">
        <v>404</v>
      </c>
      <c r="E17" s="7" t="s">
        <v>901</v>
      </c>
      <c r="F17" s="7" t="s">
        <v>847</v>
      </c>
      <c r="G17" s="18" t="s">
        <v>44</v>
      </c>
      <c r="H17" s="18" t="s">
        <v>311</v>
      </c>
      <c r="I17" s="18" t="s">
        <v>33</v>
      </c>
      <c r="J17" s="8"/>
      <c r="K17" s="8" t="str">
        <f>"260,0"</f>
        <v>260,0</v>
      </c>
      <c r="L17" s="8" t="str">
        <f>"147,7580"</f>
        <v>147,7580</v>
      </c>
      <c r="M17" s="7"/>
    </row>
    <row r="18" spans="1:13">
      <c r="B18" s="5" t="s">
        <v>75</v>
      </c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6:J16"/>
    <mergeCell ref="B3:B4"/>
    <mergeCell ref="K3:K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FC701-DF23-4295-930C-710144270CD9}">
  <dimension ref="A1:M7"/>
  <sheetViews>
    <sheetView workbookViewId="0">
      <selection activeCell="E7" sqref="E7"/>
    </sheetView>
  </sheetViews>
  <sheetFormatPr baseColWidth="10" defaultColWidth="9.1640625" defaultRowHeight="13"/>
  <cols>
    <col min="1" max="1" width="7.1640625" style="5" bestFit="1" customWidth="1"/>
    <col min="2" max="2" width="16.83203125" style="5" bestFit="1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14.8320312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6.33203125" style="5" customWidth="1"/>
    <col min="14" max="16384" width="9.1640625" style="3"/>
  </cols>
  <sheetData>
    <row r="1" spans="1:13" s="2" customFormat="1" ht="29" customHeight="1">
      <c r="A1" s="45" t="s">
        <v>801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898</v>
      </c>
      <c r="B3" s="43" t="s">
        <v>0</v>
      </c>
      <c r="C3" s="55" t="s">
        <v>899</v>
      </c>
      <c r="D3" s="55" t="s">
        <v>5</v>
      </c>
      <c r="E3" s="37" t="s">
        <v>900</v>
      </c>
      <c r="F3" s="37" t="s">
        <v>6</v>
      </c>
      <c r="G3" s="37" t="s">
        <v>8</v>
      </c>
      <c r="H3" s="37"/>
      <c r="I3" s="37"/>
      <c r="J3" s="37"/>
      <c r="K3" s="37" t="s">
        <v>406</v>
      </c>
      <c r="L3" s="37" t="s">
        <v>3</v>
      </c>
      <c r="M3" s="39" t="s">
        <v>2</v>
      </c>
    </row>
    <row r="4" spans="1:13" s="1" customFormat="1" ht="21" customHeight="1" thickBot="1">
      <c r="A4" s="54"/>
      <c r="B4" s="44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38"/>
      <c r="L4" s="38"/>
      <c r="M4" s="40"/>
    </row>
    <row r="5" spans="1:13" ht="16">
      <c r="A5" s="41" t="s">
        <v>151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8" t="s">
        <v>74</v>
      </c>
      <c r="B6" s="7" t="s">
        <v>661</v>
      </c>
      <c r="C6" s="7" t="s">
        <v>662</v>
      </c>
      <c r="D6" s="7" t="s">
        <v>654</v>
      </c>
      <c r="E6" s="7" t="s">
        <v>901</v>
      </c>
      <c r="F6" s="7" t="s">
        <v>886</v>
      </c>
      <c r="G6" s="19" t="s">
        <v>50</v>
      </c>
      <c r="H6" s="18" t="s">
        <v>50</v>
      </c>
      <c r="I6" s="19" t="s">
        <v>663</v>
      </c>
      <c r="J6" s="8"/>
      <c r="K6" s="8" t="str">
        <f>"245,0"</f>
        <v>245,0</v>
      </c>
      <c r="L6" s="8" t="str">
        <f>"157,9270"</f>
        <v>157,9270</v>
      </c>
      <c r="M6" s="7" t="s">
        <v>664</v>
      </c>
    </row>
    <row r="7" spans="1:13">
      <c r="B7" s="5" t="s">
        <v>75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4D191-CE77-40BF-900F-4CA109CCFFA9}">
  <dimension ref="A1:M13"/>
  <sheetViews>
    <sheetView workbookViewId="0">
      <selection activeCell="E13" sqref="E13"/>
    </sheetView>
  </sheetViews>
  <sheetFormatPr baseColWidth="10" defaultColWidth="9.1640625" defaultRowHeight="13"/>
  <cols>
    <col min="1" max="1" width="7.1640625" style="5" bestFit="1" customWidth="1"/>
    <col min="2" max="2" width="22.5" style="5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20.5" style="5" bestFit="1" customWidth="1"/>
    <col min="7" max="9" width="5.5" style="6" customWidth="1"/>
    <col min="10" max="10" width="4.5" style="6" customWidth="1"/>
    <col min="11" max="11" width="10.5" style="29" bestFit="1" customWidth="1"/>
    <col min="12" max="12" width="8.5" style="6" bestFit="1" customWidth="1"/>
    <col min="13" max="13" width="23.5" style="5" customWidth="1"/>
    <col min="14" max="16384" width="9.1640625" style="3"/>
  </cols>
  <sheetData>
    <row r="1" spans="1:13" s="2" customFormat="1" ht="29" customHeight="1">
      <c r="A1" s="45" t="s">
        <v>802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898</v>
      </c>
      <c r="B3" s="43" t="s">
        <v>0</v>
      </c>
      <c r="C3" s="55" t="s">
        <v>899</v>
      </c>
      <c r="D3" s="55" t="s">
        <v>5</v>
      </c>
      <c r="E3" s="37" t="s">
        <v>900</v>
      </c>
      <c r="F3" s="37" t="s">
        <v>6</v>
      </c>
      <c r="G3" s="37" t="s">
        <v>8</v>
      </c>
      <c r="H3" s="37"/>
      <c r="I3" s="37"/>
      <c r="J3" s="37"/>
      <c r="K3" s="35" t="s">
        <v>406</v>
      </c>
      <c r="L3" s="37" t="s">
        <v>3</v>
      </c>
      <c r="M3" s="39" t="s">
        <v>2</v>
      </c>
    </row>
    <row r="4" spans="1:13" s="1" customFormat="1" ht="21" customHeight="1" thickBot="1">
      <c r="A4" s="54"/>
      <c r="B4" s="44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36"/>
      <c r="L4" s="38"/>
      <c r="M4" s="40"/>
    </row>
    <row r="5" spans="1:13" ht="16">
      <c r="A5" s="41" t="s">
        <v>21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8" t="s">
        <v>74</v>
      </c>
      <c r="B6" s="7" t="s">
        <v>649</v>
      </c>
      <c r="C6" s="7" t="s">
        <v>650</v>
      </c>
      <c r="D6" s="7" t="s">
        <v>651</v>
      </c>
      <c r="E6" s="7" t="s">
        <v>901</v>
      </c>
      <c r="F6" s="7" t="s">
        <v>887</v>
      </c>
      <c r="G6" s="18" t="s">
        <v>26</v>
      </c>
      <c r="H6" s="18" t="s">
        <v>44</v>
      </c>
      <c r="I6" s="19" t="s">
        <v>45</v>
      </c>
      <c r="J6" s="8"/>
      <c r="K6" s="28" t="str">
        <f>"240,0"</f>
        <v>240,0</v>
      </c>
      <c r="L6" s="8" t="str">
        <f>"184,8720"</f>
        <v>184,8720</v>
      </c>
      <c r="M6" s="7"/>
    </row>
    <row r="7" spans="1:13">
      <c r="B7" s="5" t="s">
        <v>75</v>
      </c>
    </row>
    <row r="8" spans="1:13" ht="16">
      <c r="A8" s="33" t="s">
        <v>151</v>
      </c>
      <c r="B8" s="33"/>
      <c r="C8" s="34"/>
      <c r="D8" s="34"/>
      <c r="E8" s="34"/>
      <c r="F8" s="34"/>
      <c r="G8" s="34"/>
      <c r="H8" s="34"/>
      <c r="I8" s="34"/>
      <c r="J8" s="34"/>
    </row>
    <row r="9" spans="1:13">
      <c r="A9" s="8" t="s">
        <v>220</v>
      </c>
      <c r="B9" s="7" t="s">
        <v>652</v>
      </c>
      <c r="C9" s="7" t="s">
        <v>653</v>
      </c>
      <c r="D9" s="7" t="s">
        <v>654</v>
      </c>
      <c r="E9" s="7" t="s">
        <v>901</v>
      </c>
      <c r="F9" s="7" t="s">
        <v>847</v>
      </c>
      <c r="G9" s="19" t="s">
        <v>655</v>
      </c>
      <c r="H9" s="19" t="s">
        <v>655</v>
      </c>
      <c r="I9" s="19" t="s">
        <v>655</v>
      </c>
      <c r="J9" s="8"/>
      <c r="K9" s="28">
        <v>0</v>
      </c>
      <c r="L9" s="8" t="str">
        <f>"0,0000"</f>
        <v>0,0000</v>
      </c>
      <c r="M9" s="7"/>
    </row>
    <row r="10" spans="1:13">
      <c r="B10" s="5" t="s">
        <v>75</v>
      </c>
    </row>
    <row r="11" spans="1:13" ht="16">
      <c r="A11" s="33" t="s">
        <v>52</v>
      </c>
      <c r="B11" s="33"/>
      <c r="C11" s="34"/>
      <c r="D11" s="34"/>
      <c r="E11" s="34"/>
      <c r="F11" s="34"/>
      <c r="G11" s="34"/>
      <c r="H11" s="34"/>
      <c r="I11" s="34"/>
      <c r="J11" s="34"/>
    </row>
    <row r="12" spans="1:13">
      <c r="A12" s="8" t="s">
        <v>74</v>
      </c>
      <c r="B12" s="7" t="s">
        <v>656</v>
      </c>
      <c r="C12" s="7" t="s">
        <v>657</v>
      </c>
      <c r="D12" s="7" t="s">
        <v>658</v>
      </c>
      <c r="E12" s="7" t="s">
        <v>901</v>
      </c>
      <c r="F12" s="7" t="s">
        <v>847</v>
      </c>
      <c r="G12" s="18" t="s">
        <v>356</v>
      </c>
      <c r="H12" s="19" t="s">
        <v>659</v>
      </c>
      <c r="I12" s="19" t="s">
        <v>659</v>
      </c>
      <c r="J12" s="8"/>
      <c r="K12" s="28" t="str">
        <f>"280,0"</f>
        <v>280,0</v>
      </c>
      <c r="L12" s="8" t="str">
        <f>"154,3920"</f>
        <v>154,3920</v>
      </c>
      <c r="M12" s="7" t="s">
        <v>660</v>
      </c>
    </row>
    <row r="13" spans="1:13">
      <c r="B13" s="5" t="s">
        <v>75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B3:B4"/>
    <mergeCell ref="K3:K4"/>
    <mergeCell ref="L3:L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2403-AB73-4BEF-9CDD-BA528913D57A}">
  <dimension ref="A1:M66"/>
  <sheetViews>
    <sheetView topLeftCell="A27" workbookViewId="0">
      <selection activeCell="I56" sqref="I56"/>
    </sheetView>
  </sheetViews>
  <sheetFormatPr baseColWidth="10" defaultColWidth="9.1640625" defaultRowHeight="13"/>
  <cols>
    <col min="1" max="1" width="7.1640625" style="5" bestFit="1" customWidth="1"/>
    <col min="2" max="2" width="20.1640625" style="5" bestFit="1" customWidth="1"/>
    <col min="3" max="3" width="27.83203125" style="5" customWidth="1"/>
    <col min="4" max="4" width="20.83203125" style="5" bestFit="1" customWidth="1"/>
    <col min="5" max="5" width="10.1640625" style="5" bestFit="1" customWidth="1"/>
    <col min="6" max="6" width="20.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9.6640625" style="5" customWidth="1"/>
    <col min="14" max="16384" width="9.1640625" style="3"/>
  </cols>
  <sheetData>
    <row r="1" spans="1:13" s="2" customFormat="1" ht="29" customHeight="1">
      <c r="A1" s="45" t="s">
        <v>803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898</v>
      </c>
      <c r="B3" s="43" t="s">
        <v>0</v>
      </c>
      <c r="C3" s="55" t="s">
        <v>899</v>
      </c>
      <c r="D3" s="55" t="s">
        <v>5</v>
      </c>
      <c r="E3" s="37" t="s">
        <v>900</v>
      </c>
      <c r="F3" s="37" t="s">
        <v>6</v>
      </c>
      <c r="G3" s="37" t="s">
        <v>9</v>
      </c>
      <c r="H3" s="37"/>
      <c r="I3" s="37"/>
      <c r="J3" s="37"/>
      <c r="K3" s="37" t="s">
        <v>406</v>
      </c>
      <c r="L3" s="37" t="s">
        <v>3</v>
      </c>
      <c r="M3" s="39" t="s">
        <v>2</v>
      </c>
    </row>
    <row r="4" spans="1:13" s="1" customFormat="1" ht="21" customHeight="1" thickBot="1">
      <c r="A4" s="54"/>
      <c r="B4" s="44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38"/>
      <c r="L4" s="38"/>
      <c r="M4" s="40"/>
    </row>
    <row r="5" spans="1:13" ht="16">
      <c r="A5" s="41" t="s">
        <v>77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8" t="s">
        <v>74</v>
      </c>
      <c r="B6" s="7" t="s">
        <v>689</v>
      </c>
      <c r="C6" s="7" t="s">
        <v>690</v>
      </c>
      <c r="D6" s="7" t="s">
        <v>691</v>
      </c>
      <c r="E6" s="7" t="s">
        <v>904</v>
      </c>
      <c r="F6" s="7" t="s">
        <v>859</v>
      </c>
      <c r="G6" s="18" t="s">
        <v>102</v>
      </c>
      <c r="H6" s="18" t="s">
        <v>692</v>
      </c>
      <c r="I6" s="19" t="s">
        <v>243</v>
      </c>
      <c r="J6" s="8"/>
      <c r="K6" s="8" t="str">
        <f>"130,5"</f>
        <v>130,5</v>
      </c>
      <c r="L6" s="8" t="str">
        <f>"172,8342"</f>
        <v>172,8342</v>
      </c>
      <c r="M6" s="7" t="s">
        <v>179</v>
      </c>
    </row>
    <row r="7" spans="1:13">
      <c r="B7" s="5" t="s">
        <v>75</v>
      </c>
    </row>
    <row r="8" spans="1:13" ht="16">
      <c r="A8" s="33" t="s">
        <v>10</v>
      </c>
      <c r="B8" s="33"/>
      <c r="C8" s="34"/>
      <c r="D8" s="34"/>
      <c r="E8" s="34"/>
      <c r="F8" s="34"/>
      <c r="G8" s="34"/>
      <c r="H8" s="34"/>
      <c r="I8" s="34"/>
      <c r="J8" s="34"/>
    </row>
    <row r="9" spans="1:13">
      <c r="A9" s="10" t="s">
        <v>74</v>
      </c>
      <c r="B9" s="9" t="s">
        <v>693</v>
      </c>
      <c r="C9" s="9" t="s">
        <v>694</v>
      </c>
      <c r="D9" s="9" t="s">
        <v>13</v>
      </c>
      <c r="E9" s="9" t="s">
        <v>907</v>
      </c>
      <c r="F9" s="9" t="s">
        <v>866</v>
      </c>
      <c r="G9" s="21" t="s">
        <v>133</v>
      </c>
      <c r="H9" s="21" t="s">
        <v>124</v>
      </c>
      <c r="I9" s="21" t="s">
        <v>81</v>
      </c>
      <c r="J9" s="10"/>
      <c r="K9" s="10" t="str">
        <f>"80,0"</f>
        <v>80,0</v>
      </c>
      <c r="L9" s="10" t="str">
        <f>"91,7040"</f>
        <v>91,7040</v>
      </c>
      <c r="M9" s="9" t="s">
        <v>812</v>
      </c>
    </row>
    <row r="10" spans="1:13">
      <c r="A10" s="25" t="s">
        <v>74</v>
      </c>
      <c r="B10" s="24" t="s">
        <v>260</v>
      </c>
      <c r="C10" s="24" t="s">
        <v>261</v>
      </c>
      <c r="D10" s="24" t="s">
        <v>262</v>
      </c>
      <c r="E10" s="24" t="s">
        <v>901</v>
      </c>
      <c r="F10" s="24" t="s">
        <v>847</v>
      </c>
      <c r="G10" s="26" t="s">
        <v>243</v>
      </c>
      <c r="H10" s="26" t="s">
        <v>122</v>
      </c>
      <c r="I10" s="26" t="s">
        <v>244</v>
      </c>
      <c r="J10" s="25"/>
      <c r="K10" s="25" t="str">
        <f>"142,5"</f>
        <v>142,5</v>
      </c>
      <c r="L10" s="25" t="str">
        <f>"158,8732"</f>
        <v>158,8732</v>
      </c>
      <c r="M10" s="24"/>
    </row>
    <row r="11" spans="1:13">
      <c r="A11" s="25" t="s">
        <v>76</v>
      </c>
      <c r="B11" s="24" t="s">
        <v>695</v>
      </c>
      <c r="C11" s="24" t="s">
        <v>696</v>
      </c>
      <c r="D11" s="24" t="s">
        <v>697</v>
      </c>
      <c r="E11" s="24" t="s">
        <v>901</v>
      </c>
      <c r="F11" s="24" t="s">
        <v>847</v>
      </c>
      <c r="G11" s="26" t="s">
        <v>149</v>
      </c>
      <c r="H11" s="26" t="s">
        <v>102</v>
      </c>
      <c r="I11" s="27" t="s">
        <v>243</v>
      </c>
      <c r="J11" s="25"/>
      <c r="K11" s="25" t="str">
        <f>"125,0"</f>
        <v>125,0</v>
      </c>
      <c r="L11" s="25" t="str">
        <f>"140,6375"</f>
        <v>140,6375</v>
      </c>
      <c r="M11" s="24"/>
    </row>
    <row r="12" spans="1:13">
      <c r="A12" s="25" t="s">
        <v>221</v>
      </c>
      <c r="B12" s="24" t="s">
        <v>266</v>
      </c>
      <c r="C12" s="24" t="s">
        <v>267</v>
      </c>
      <c r="D12" s="24" t="s">
        <v>268</v>
      </c>
      <c r="E12" s="24" t="s">
        <v>901</v>
      </c>
      <c r="F12" s="24" t="s">
        <v>847</v>
      </c>
      <c r="G12" s="27" t="s">
        <v>27</v>
      </c>
      <c r="H12" s="26" t="s">
        <v>27</v>
      </c>
      <c r="I12" s="27" t="s">
        <v>115</v>
      </c>
      <c r="J12" s="25"/>
      <c r="K12" s="25" t="str">
        <f>"120,0"</f>
        <v>120,0</v>
      </c>
      <c r="L12" s="25" t="str">
        <f>"135,7200"</f>
        <v>135,7200</v>
      </c>
      <c r="M12" s="24"/>
    </row>
    <row r="13" spans="1:13">
      <c r="A13" s="25" t="s">
        <v>388</v>
      </c>
      <c r="B13" s="24" t="s">
        <v>698</v>
      </c>
      <c r="C13" s="24" t="s">
        <v>699</v>
      </c>
      <c r="D13" s="24" t="s">
        <v>697</v>
      </c>
      <c r="E13" s="24" t="s">
        <v>901</v>
      </c>
      <c r="F13" s="24" t="s">
        <v>847</v>
      </c>
      <c r="G13" s="26" t="s">
        <v>113</v>
      </c>
      <c r="H13" s="26" t="s">
        <v>149</v>
      </c>
      <c r="I13" s="27" t="s">
        <v>27</v>
      </c>
      <c r="J13" s="25"/>
      <c r="K13" s="25" t="str">
        <f>"115,0"</f>
        <v>115,0</v>
      </c>
      <c r="L13" s="25" t="str">
        <f>"129,3865"</f>
        <v>129,3865</v>
      </c>
      <c r="M13" s="24" t="s">
        <v>700</v>
      </c>
    </row>
    <row r="14" spans="1:13">
      <c r="A14" s="25" t="s">
        <v>640</v>
      </c>
      <c r="B14" s="24" t="s">
        <v>701</v>
      </c>
      <c r="C14" s="24" t="s">
        <v>702</v>
      </c>
      <c r="D14" s="24" t="s">
        <v>703</v>
      </c>
      <c r="E14" s="24" t="s">
        <v>901</v>
      </c>
      <c r="F14" s="24" t="s">
        <v>861</v>
      </c>
      <c r="G14" s="26" t="s">
        <v>148</v>
      </c>
      <c r="H14" s="27" t="s">
        <v>113</v>
      </c>
      <c r="I14" s="27" t="s">
        <v>113</v>
      </c>
      <c r="J14" s="25"/>
      <c r="K14" s="25" t="str">
        <f>"105,0"</f>
        <v>105,0</v>
      </c>
      <c r="L14" s="25" t="str">
        <f>"118,5975"</f>
        <v>118,5975</v>
      </c>
      <c r="M14" s="24" t="s">
        <v>417</v>
      </c>
    </row>
    <row r="15" spans="1:13">
      <c r="A15" s="25" t="s">
        <v>641</v>
      </c>
      <c r="B15" s="24" t="s">
        <v>704</v>
      </c>
      <c r="C15" s="24" t="s">
        <v>705</v>
      </c>
      <c r="D15" s="24" t="s">
        <v>697</v>
      </c>
      <c r="E15" s="24" t="s">
        <v>901</v>
      </c>
      <c r="F15" s="24" t="s">
        <v>859</v>
      </c>
      <c r="G15" s="26" t="s">
        <v>236</v>
      </c>
      <c r="H15" s="26" t="s">
        <v>111</v>
      </c>
      <c r="I15" s="26" t="s">
        <v>148</v>
      </c>
      <c r="J15" s="25"/>
      <c r="K15" s="25" t="str">
        <f>"105,0"</f>
        <v>105,0</v>
      </c>
      <c r="L15" s="25" t="str">
        <f>"118,1355"</f>
        <v>118,1355</v>
      </c>
      <c r="M15" s="24" t="s">
        <v>706</v>
      </c>
    </row>
    <row r="16" spans="1:13">
      <c r="A16" s="25" t="s">
        <v>74</v>
      </c>
      <c r="B16" s="24" t="s">
        <v>260</v>
      </c>
      <c r="C16" s="24" t="s">
        <v>707</v>
      </c>
      <c r="D16" s="24" t="s">
        <v>262</v>
      </c>
      <c r="E16" s="24" t="s">
        <v>902</v>
      </c>
      <c r="F16" s="24" t="s">
        <v>847</v>
      </c>
      <c r="G16" s="26" t="s">
        <v>243</v>
      </c>
      <c r="H16" s="26" t="s">
        <v>122</v>
      </c>
      <c r="I16" s="26" t="s">
        <v>244</v>
      </c>
      <c r="J16" s="25"/>
      <c r="K16" s="25" t="str">
        <f>"142,5"</f>
        <v>142,5</v>
      </c>
      <c r="L16" s="25" t="str">
        <f>"161,0975"</f>
        <v>161,0975</v>
      </c>
      <c r="M16" s="24"/>
    </row>
    <row r="17" spans="1:13">
      <c r="A17" s="12" t="s">
        <v>76</v>
      </c>
      <c r="B17" s="11" t="s">
        <v>708</v>
      </c>
      <c r="C17" s="11" t="s">
        <v>709</v>
      </c>
      <c r="D17" s="11" t="s">
        <v>710</v>
      </c>
      <c r="E17" s="11" t="s">
        <v>902</v>
      </c>
      <c r="F17" s="11" t="s">
        <v>873</v>
      </c>
      <c r="G17" s="22" t="s">
        <v>113</v>
      </c>
      <c r="H17" s="22" t="s">
        <v>131</v>
      </c>
      <c r="I17" s="22" t="s">
        <v>102</v>
      </c>
      <c r="J17" s="12"/>
      <c r="K17" s="12" t="str">
        <f>"125,0"</f>
        <v>125,0</v>
      </c>
      <c r="L17" s="12" t="str">
        <f>"142,2262"</f>
        <v>142,2262</v>
      </c>
      <c r="M17" s="11"/>
    </row>
    <row r="18" spans="1:13">
      <c r="B18" s="5" t="s">
        <v>75</v>
      </c>
    </row>
    <row r="19" spans="1:13" ht="16">
      <c r="A19" s="33" t="s">
        <v>270</v>
      </c>
      <c r="B19" s="33"/>
      <c r="C19" s="34"/>
      <c r="D19" s="34"/>
      <c r="E19" s="34"/>
      <c r="F19" s="34"/>
      <c r="G19" s="34"/>
      <c r="H19" s="34"/>
      <c r="I19" s="34"/>
      <c r="J19" s="34"/>
    </row>
    <row r="20" spans="1:13">
      <c r="A20" s="8" t="s">
        <v>74</v>
      </c>
      <c r="B20" s="7" t="s">
        <v>711</v>
      </c>
      <c r="C20" s="7" t="s">
        <v>712</v>
      </c>
      <c r="D20" s="7" t="s">
        <v>713</v>
      </c>
      <c r="E20" s="7" t="s">
        <v>901</v>
      </c>
      <c r="F20" s="7" t="s">
        <v>847</v>
      </c>
      <c r="G20" s="18" t="s">
        <v>269</v>
      </c>
      <c r="H20" s="19" t="s">
        <v>15</v>
      </c>
      <c r="I20" s="18" t="s">
        <v>15</v>
      </c>
      <c r="J20" s="8"/>
      <c r="K20" s="8" t="str">
        <f>"130,0"</f>
        <v>130,0</v>
      </c>
      <c r="L20" s="8" t="str">
        <f>"135,7720"</f>
        <v>135,7720</v>
      </c>
      <c r="M20" s="7" t="s">
        <v>714</v>
      </c>
    </row>
    <row r="21" spans="1:13">
      <c r="B21" s="5" t="s">
        <v>75</v>
      </c>
    </row>
    <row r="22" spans="1:13" ht="16">
      <c r="A22" s="33" t="s">
        <v>137</v>
      </c>
      <c r="B22" s="33"/>
      <c r="C22" s="34"/>
      <c r="D22" s="34"/>
      <c r="E22" s="34"/>
      <c r="F22" s="34"/>
      <c r="G22" s="34"/>
      <c r="H22" s="34"/>
      <c r="I22" s="34"/>
      <c r="J22" s="34"/>
    </row>
    <row r="23" spans="1:13">
      <c r="A23" s="10" t="s">
        <v>74</v>
      </c>
      <c r="B23" s="9" t="s">
        <v>283</v>
      </c>
      <c r="C23" s="9" t="s">
        <v>284</v>
      </c>
      <c r="D23" s="9" t="s">
        <v>285</v>
      </c>
      <c r="E23" s="9" t="s">
        <v>901</v>
      </c>
      <c r="F23" s="9" t="s">
        <v>847</v>
      </c>
      <c r="G23" s="21" t="s">
        <v>28</v>
      </c>
      <c r="H23" s="21" t="s">
        <v>244</v>
      </c>
      <c r="I23" s="21" t="s">
        <v>177</v>
      </c>
      <c r="J23" s="10"/>
      <c r="K23" s="10" t="str">
        <f>"147,5"</f>
        <v>147,5</v>
      </c>
      <c r="L23" s="10" t="str">
        <f>"142,0277"</f>
        <v>142,0277</v>
      </c>
      <c r="M23" s="9" t="s">
        <v>179</v>
      </c>
    </row>
    <row r="24" spans="1:13">
      <c r="A24" s="12" t="s">
        <v>74</v>
      </c>
      <c r="B24" s="11" t="s">
        <v>715</v>
      </c>
      <c r="C24" s="11" t="s">
        <v>716</v>
      </c>
      <c r="D24" s="11" t="s">
        <v>717</v>
      </c>
      <c r="E24" s="11" t="s">
        <v>905</v>
      </c>
      <c r="F24" s="11" t="s">
        <v>847</v>
      </c>
      <c r="G24" s="22" t="s">
        <v>131</v>
      </c>
      <c r="H24" s="22" t="s">
        <v>102</v>
      </c>
      <c r="I24" s="22" t="s">
        <v>28</v>
      </c>
      <c r="J24" s="12"/>
      <c r="K24" s="12" t="str">
        <f>"135,0"</f>
        <v>135,0</v>
      </c>
      <c r="L24" s="12" t="str">
        <f>"155,5498"</f>
        <v>155,5498</v>
      </c>
      <c r="M24" s="11"/>
    </row>
    <row r="25" spans="1:13">
      <c r="B25" s="5" t="s">
        <v>75</v>
      </c>
    </row>
    <row r="26" spans="1:13" ht="16">
      <c r="A26" s="33" t="s">
        <v>137</v>
      </c>
      <c r="B26" s="33"/>
      <c r="C26" s="34"/>
      <c r="D26" s="34"/>
      <c r="E26" s="34"/>
      <c r="F26" s="34"/>
      <c r="G26" s="34"/>
      <c r="H26" s="34"/>
      <c r="I26" s="34"/>
      <c r="J26" s="34"/>
    </row>
    <row r="27" spans="1:13">
      <c r="A27" s="10" t="s">
        <v>74</v>
      </c>
      <c r="B27" s="9" t="s">
        <v>718</v>
      </c>
      <c r="C27" s="9" t="s">
        <v>719</v>
      </c>
      <c r="D27" s="9" t="s">
        <v>299</v>
      </c>
      <c r="E27" s="9" t="s">
        <v>901</v>
      </c>
      <c r="F27" s="9" t="s">
        <v>847</v>
      </c>
      <c r="G27" s="20" t="s">
        <v>47</v>
      </c>
      <c r="H27" s="21" t="s">
        <v>47</v>
      </c>
      <c r="I27" s="21" t="s">
        <v>99</v>
      </c>
      <c r="J27" s="10"/>
      <c r="K27" s="10" t="str">
        <f>"195,0"</f>
        <v>195,0</v>
      </c>
      <c r="L27" s="10" t="str">
        <f>"140,2635"</f>
        <v>140,2635</v>
      </c>
      <c r="M27" s="9" t="s">
        <v>720</v>
      </c>
    </row>
    <row r="28" spans="1:13">
      <c r="A28" s="12" t="s">
        <v>76</v>
      </c>
      <c r="B28" s="11" t="s">
        <v>721</v>
      </c>
      <c r="C28" s="11" t="s">
        <v>722</v>
      </c>
      <c r="D28" s="11" t="s">
        <v>723</v>
      </c>
      <c r="E28" s="11" t="s">
        <v>901</v>
      </c>
      <c r="F28" s="11" t="s">
        <v>861</v>
      </c>
      <c r="G28" s="22" t="s">
        <v>146</v>
      </c>
      <c r="H28" s="23" t="s">
        <v>46</v>
      </c>
      <c r="I28" s="23" t="s">
        <v>46</v>
      </c>
      <c r="J28" s="12"/>
      <c r="K28" s="12" t="str">
        <f>"160,0"</f>
        <v>160,0</v>
      </c>
      <c r="L28" s="12" t="str">
        <f>"118,6240"</f>
        <v>118,6240</v>
      </c>
      <c r="M28" s="11" t="s">
        <v>813</v>
      </c>
    </row>
    <row r="29" spans="1:13">
      <c r="B29" s="5" t="s">
        <v>75</v>
      </c>
    </row>
    <row r="30" spans="1:13" ht="16">
      <c r="A30" s="33" t="s">
        <v>151</v>
      </c>
      <c r="B30" s="33"/>
      <c r="C30" s="34"/>
      <c r="D30" s="34"/>
      <c r="E30" s="34"/>
      <c r="F30" s="34"/>
      <c r="G30" s="34"/>
      <c r="H30" s="34"/>
      <c r="I30" s="34"/>
      <c r="J30" s="34"/>
    </row>
    <row r="31" spans="1:13">
      <c r="A31" s="10" t="s">
        <v>74</v>
      </c>
      <c r="B31" s="9" t="s">
        <v>724</v>
      </c>
      <c r="C31" s="9" t="s">
        <v>725</v>
      </c>
      <c r="D31" s="9" t="s">
        <v>726</v>
      </c>
      <c r="E31" s="9" t="s">
        <v>901</v>
      </c>
      <c r="F31" s="9" t="s">
        <v>853</v>
      </c>
      <c r="G31" s="21" t="s">
        <v>38</v>
      </c>
      <c r="H31" s="21" t="s">
        <v>39</v>
      </c>
      <c r="I31" s="20" t="s">
        <v>40</v>
      </c>
      <c r="J31" s="10"/>
      <c r="K31" s="10" t="str">
        <f>"285,0"</f>
        <v>285,0</v>
      </c>
      <c r="L31" s="10" t="str">
        <f>"196,4505"</f>
        <v>196,4505</v>
      </c>
      <c r="M31" s="9"/>
    </row>
    <row r="32" spans="1:13">
      <c r="A32" s="25" t="s">
        <v>76</v>
      </c>
      <c r="B32" s="24" t="s">
        <v>312</v>
      </c>
      <c r="C32" s="24" t="s">
        <v>313</v>
      </c>
      <c r="D32" s="24" t="s">
        <v>314</v>
      </c>
      <c r="E32" s="24" t="s">
        <v>901</v>
      </c>
      <c r="F32" s="24" t="s">
        <v>856</v>
      </c>
      <c r="G32" s="26" t="s">
        <v>20</v>
      </c>
      <c r="H32" s="26" t="s">
        <v>150</v>
      </c>
      <c r="I32" s="26" t="s">
        <v>25</v>
      </c>
      <c r="J32" s="25"/>
      <c r="K32" s="25" t="str">
        <f>"200,0"</f>
        <v>200,0</v>
      </c>
      <c r="L32" s="25" t="str">
        <f>"134,9800"</f>
        <v>134,9800</v>
      </c>
      <c r="M32" s="24"/>
    </row>
    <row r="33" spans="1:13">
      <c r="A33" s="12" t="s">
        <v>221</v>
      </c>
      <c r="B33" s="11" t="s">
        <v>315</v>
      </c>
      <c r="C33" s="11" t="s">
        <v>316</v>
      </c>
      <c r="D33" s="11" t="s">
        <v>317</v>
      </c>
      <c r="E33" s="11" t="s">
        <v>901</v>
      </c>
      <c r="F33" s="11" t="s">
        <v>849</v>
      </c>
      <c r="G33" s="22" t="s">
        <v>94</v>
      </c>
      <c r="H33" s="22" t="s">
        <v>19</v>
      </c>
      <c r="I33" s="22" t="s">
        <v>150</v>
      </c>
      <c r="J33" s="12"/>
      <c r="K33" s="12" t="str">
        <f>"190,0"</f>
        <v>190,0</v>
      </c>
      <c r="L33" s="12" t="str">
        <f>"129,5040"</f>
        <v>129,5040</v>
      </c>
      <c r="M33" s="11" t="s">
        <v>814</v>
      </c>
    </row>
    <row r="34" spans="1:13">
      <c r="B34" s="5" t="s">
        <v>75</v>
      </c>
    </row>
    <row r="35" spans="1:13" ht="16">
      <c r="A35" s="33" t="s">
        <v>21</v>
      </c>
      <c r="B35" s="33"/>
      <c r="C35" s="34"/>
      <c r="D35" s="34"/>
      <c r="E35" s="34"/>
      <c r="F35" s="34"/>
      <c r="G35" s="34"/>
      <c r="H35" s="34"/>
      <c r="I35" s="34"/>
      <c r="J35" s="34"/>
    </row>
    <row r="36" spans="1:13">
      <c r="A36" s="10" t="s">
        <v>74</v>
      </c>
      <c r="B36" s="9" t="s">
        <v>727</v>
      </c>
      <c r="C36" s="9" t="s">
        <v>728</v>
      </c>
      <c r="D36" s="9" t="s">
        <v>443</v>
      </c>
      <c r="E36" s="9" t="s">
        <v>904</v>
      </c>
      <c r="F36" s="9" t="s">
        <v>888</v>
      </c>
      <c r="G36" s="21" t="s">
        <v>20</v>
      </c>
      <c r="H36" s="21" t="s">
        <v>150</v>
      </c>
      <c r="I36" s="20" t="s">
        <v>59</v>
      </c>
      <c r="J36" s="10"/>
      <c r="K36" s="10" t="str">
        <f>"190,0"</f>
        <v>190,0</v>
      </c>
      <c r="L36" s="10" t="str">
        <f>"122,2840"</f>
        <v>122,2840</v>
      </c>
      <c r="M36" s="9" t="s">
        <v>729</v>
      </c>
    </row>
    <row r="37" spans="1:13">
      <c r="A37" s="25" t="s">
        <v>74</v>
      </c>
      <c r="B37" s="24" t="s">
        <v>730</v>
      </c>
      <c r="C37" s="24" t="s">
        <v>731</v>
      </c>
      <c r="D37" s="24" t="s">
        <v>587</v>
      </c>
      <c r="E37" s="24" t="s">
        <v>901</v>
      </c>
      <c r="F37" s="24" t="s">
        <v>889</v>
      </c>
      <c r="G37" s="26" t="s">
        <v>59</v>
      </c>
      <c r="H37" s="27" t="s">
        <v>26</v>
      </c>
      <c r="I37" s="27" t="s">
        <v>26</v>
      </c>
      <c r="J37" s="25"/>
      <c r="K37" s="25" t="str">
        <f>"202,5"</f>
        <v>202,5</v>
      </c>
      <c r="L37" s="25" t="str">
        <f>"131,6858"</f>
        <v>131,6858</v>
      </c>
      <c r="M37" s="24"/>
    </row>
    <row r="38" spans="1:13">
      <c r="A38" s="25" t="s">
        <v>76</v>
      </c>
      <c r="B38" s="24" t="s">
        <v>732</v>
      </c>
      <c r="C38" s="24" t="s">
        <v>733</v>
      </c>
      <c r="D38" s="24" t="s">
        <v>734</v>
      </c>
      <c r="E38" s="24" t="s">
        <v>901</v>
      </c>
      <c r="F38" s="24" t="s">
        <v>847</v>
      </c>
      <c r="G38" s="26" t="s">
        <v>150</v>
      </c>
      <c r="H38" s="26" t="s">
        <v>59</v>
      </c>
      <c r="I38" s="27" t="s">
        <v>101</v>
      </c>
      <c r="J38" s="25"/>
      <c r="K38" s="25" t="str">
        <f>"202,5"</f>
        <v>202,5</v>
      </c>
      <c r="L38" s="25" t="str">
        <f>"131,0377"</f>
        <v>131,0377</v>
      </c>
      <c r="M38" s="24"/>
    </row>
    <row r="39" spans="1:13">
      <c r="A39" s="12" t="s">
        <v>221</v>
      </c>
      <c r="B39" s="11" t="s">
        <v>735</v>
      </c>
      <c r="C39" s="11" t="s">
        <v>736</v>
      </c>
      <c r="D39" s="11" t="s">
        <v>593</v>
      </c>
      <c r="E39" s="11" t="s">
        <v>901</v>
      </c>
      <c r="F39" s="11" t="s">
        <v>850</v>
      </c>
      <c r="G39" s="22" t="s">
        <v>163</v>
      </c>
      <c r="H39" s="22" t="s">
        <v>20</v>
      </c>
      <c r="I39" s="23" t="s">
        <v>47</v>
      </c>
      <c r="J39" s="12"/>
      <c r="K39" s="12" t="str">
        <f>"180,0"</f>
        <v>180,0</v>
      </c>
      <c r="L39" s="12" t="str">
        <f>"116,0460"</f>
        <v>116,0460</v>
      </c>
      <c r="M39" s="11"/>
    </row>
    <row r="40" spans="1:13">
      <c r="B40" s="5" t="s">
        <v>75</v>
      </c>
    </row>
    <row r="41" spans="1:13" ht="16">
      <c r="A41" s="33" t="s">
        <v>169</v>
      </c>
      <c r="B41" s="33"/>
      <c r="C41" s="34"/>
      <c r="D41" s="34"/>
      <c r="E41" s="34"/>
      <c r="F41" s="34"/>
      <c r="G41" s="34"/>
      <c r="H41" s="34"/>
      <c r="I41" s="34"/>
      <c r="J41" s="34"/>
    </row>
    <row r="42" spans="1:13">
      <c r="A42" s="10" t="s">
        <v>74</v>
      </c>
      <c r="B42" s="9" t="s">
        <v>737</v>
      </c>
      <c r="C42" s="9" t="s">
        <v>738</v>
      </c>
      <c r="D42" s="9" t="s">
        <v>739</v>
      </c>
      <c r="E42" s="9" t="s">
        <v>904</v>
      </c>
      <c r="F42" s="9" t="s">
        <v>890</v>
      </c>
      <c r="G42" s="21" t="s">
        <v>20</v>
      </c>
      <c r="H42" s="21" t="s">
        <v>150</v>
      </c>
      <c r="I42" s="21" t="s">
        <v>25</v>
      </c>
      <c r="J42" s="10"/>
      <c r="K42" s="10" t="str">
        <f>"200,0"</f>
        <v>200,0</v>
      </c>
      <c r="L42" s="10" t="str">
        <f>"123,9400"</f>
        <v>123,9400</v>
      </c>
      <c r="M42" s="9" t="s">
        <v>815</v>
      </c>
    </row>
    <row r="43" spans="1:13">
      <c r="A43" s="25" t="s">
        <v>74</v>
      </c>
      <c r="B43" s="24" t="s">
        <v>740</v>
      </c>
      <c r="C43" s="24" t="s">
        <v>741</v>
      </c>
      <c r="D43" s="24" t="s">
        <v>742</v>
      </c>
      <c r="E43" s="24" t="s">
        <v>901</v>
      </c>
      <c r="F43" s="24" t="s">
        <v>849</v>
      </c>
      <c r="G43" s="26" t="s">
        <v>103</v>
      </c>
      <c r="H43" s="26" t="s">
        <v>44</v>
      </c>
      <c r="I43" s="26" t="s">
        <v>45</v>
      </c>
      <c r="J43" s="25"/>
      <c r="K43" s="25" t="str">
        <f>"250,0"</f>
        <v>250,0</v>
      </c>
      <c r="L43" s="25" t="str">
        <f>"155,2750"</f>
        <v>155,2750</v>
      </c>
      <c r="M43" s="24"/>
    </row>
    <row r="44" spans="1:13">
      <c r="A44" s="25" t="s">
        <v>76</v>
      </c>
      <c r="B44" s="24" t="s">
        <v>365</v>
      </c>
      <c r="C44" s="24" t="s">
        <v>366</v>
      </c>
      <c r="D44" s="24" t="s">
        <v>367</v>
      </c>
      <c r="E44" s="24" t="s">
        <v>901</v>
      </c>
      <c r="F44" s="24" t="s">
        <v>861</v>
      </c>
      <c r="G44" s="26" t="s">
        <v>101</v>
      </c>
      <c r="H44" s="27" t="s">
        <v>44</v>
      </c>
      <c r="I44" s="25"/>
      <c r="J44" s="25"/>
      <c r="K44" s="25" t="str">
        <f>"210,0"</f>
        <v>210,0</v>
      </c>
      <c r="L44" s="25" t="str">
        <f>"131,5860"</f>
        <v>131,5860</v>
      </c>
      <c r="M44" s="24" t="s">
        <v>811</v>
      </c>
    </row>
    <row r="45" spans="1:13">
      <c r="A45" s="12" t="s">
        <v>74</v>
      </c>
      <c r="B45" s="11" t="s">
        <v>740</v>
      </c>
      <c r="C45" s="11" t="s">
        <v>743</v>
      </c>
      <c r="D45" s="11" t="s">
        <v>742</v>
      </c>
      <c r="E45" s="11" t="s">
        <v>902</v>
      </c>
      <c r="F45" s="11" t="s">
        <v>849</v>
      </c>
      <c r="G45" s="22" t="s">
        <v>103</v>
      </c>
      <c r="H45" s="22" t="s">
        <v>44</v>
      </c>
      <c r="I45" s="22" t="s">
        <v>45</v>
      </c>
      <c r="J45" s="12"/>
      <c r="K45" s="12" t="str">
        <f>"250,0"</f>
        <v>250,0</v>
      </c>
      <c r="L45" s="12" t="str">
        <f>"156,0514"</f>
        <v>156,0514</v>
      </c>
      <c r="M45" s="11"/>
    </row>
    <row r="46" spans="1:13">
      <c r="B46" s="5" t="s">
        <v>75</v>
      </c>
    </row>
    <row r="47" spans="1:13" ht="16">
      <c r="A47" s="33" t="s">
        <v>29</v>
      </c>
      <c r="B47" s="33"/>
      <c r="C47" s="34"/>
      <c r="D47" s="34"/>
      <c r="E47" s="34"/>
      <c r="F47" s="34"/>
      <c r="G47" s="34"/>
      <c r="H47" s="34"/>
      <c r="I47" s="34"/>
      <c r="J47" s="34"/>
    </row>
    <row r="48" spans="1:13">
      <c r="A48" s="8" t="s">
        <v>74</v>
      </c>
      <c r="B48" s="7" t="s">
        <v>744</v>
      </c>
      <c r="C48" s="7" t="s">
        <v>745</v>
      </c>
      <c r="D48" s="7" t="s">
        <v>746</v>
      </c>
      <c r="E48" s="7" t="s">
        <v>904</v>
      </c>
      <c r="F48" s="7" t="s">
        <v>848</v>
      </c>
      <c r="G48" s="18" t="s">
        <v>44</v>
      </c>
      <c r="H48" s="18" t="s">
        <v>747</v>
      </c>
      <c r="I48" s="18" t="s">
        <v>198</v>
      </c>
      <c r="J48" s="8"/>
      <c r="K48" s="8" t="str">
        <f>"255,0"</f>
        <v>255,0</v>
      </c>
      <c r="L48" s="8" t="str">
        <f>"154,9380"</f>
        <v>154,9380</v>
      </c>
      <c r="M48" s="7" t="s">
        <v>816</v>
      </c>
    </row>
    <row r="49" spans="2:6">
      <c r="B49" s="5" t="s">
        <v>75</v>
      </c>
    </row>
    <row r="52" spans="2:6" ht="18">
      <c r="B52" s="13" t="s">
        <v>66</v>
      </c>
      <c r="C52" s="13"/>
    </row>
    <row r="53" spans="2:6" ht="16">
      <c r="B53" s="14" t="s">
        <v>105</v>
      </c>
      <c r="C53" s="14"/>
    </row>
    <row r="54" spans="2:6" ht="14">
      <c r="B54" s="15"/>
      <c r="C54" s="16" t="s">
        <v>68</v>
      </c>
    </row>
    <row r="55" spans="2:6" ht="14">
      <c r="B55" s="17" t="s">
        <v>69</v>
      </c>
      <c r="C55" s="17" t="s">
        <v>70</v>
      </c>
      <c r="D55" s="17" t="s">
        <v>817</v>
      </c>
      <c r="E55" s="17" t="s">
        <v>405</v>
      </c>
      <c r="F55" s="17" t="s">
        <v>72</v>
      </c>
    </row>
    <row r="56" spans="2:6">
      <c r="B56" s="5" t="s">
        <v>260</v>
      </c>
      <c r="C56" s="5" t="s">
        <v>68</v>
      </c>
      <c r="D56" s="6" t="s">
        <v>106</v>
      </c>
      <c r="E56" s="6" t="s">
        <v>244</v>
      </c>
      <c r="F56" s="6" t="s">
        <v>748</v>
      </c>
    </row>
    <row r="57" spans="2:6">
      <c r="B57" s="5" t="s">
        <v>283</v>
      </c>
      <c r="C57" s="5" t="s">
        <v>68</v>
      </c>
      <c r="D57" s="6" t="s">
        <v>381</v>
      </c>
      <c r="E57" s="6" t="s">
        <v>177</v>
      </c>
      <c r="F57" s="6" t="s">
        <v>749</v>
      </c>
    </row>
    <row r="58" spans="2:6">
      <c r="B58" s="5" t="s">
        <v>695</v>
      </c>
      <c r="C58" s="5" t="s">
        <v>68</v>
      </c>
      <c r="D58" s="6" t="s">
        <v>106</v>
      </c>
      <c r="E58" s="6" t="s">
        <v>102</v>
      </c>
      <c r="F58" s="6" t="s">
        <v>750</v>
      </c>
    </row>
    <row r="60" spans="2:6" ht="16">
      <c r="B60" s="14" t="s">
        <v>67</v>
      </c>
      <c r="C60" s="14"/>
    </row>
    <row r="61" spans="2:6" ht="14">
      <c r="B61" s="15"/>
      <c r="C61" s="16" t="s">
        <v>68</v>
      </c>
    </row>
    <row r="62" spans="2:6" ht="14">
      <c r="B62" s="17" t="s">
        <v>69</v>
      </c>
      <c r="C62" s="17" t="s">
        <v>70</v>
      </c>
      <c r="D62" s="17" t="s">
        <v>817</v>
      </c>
      <c r="E62" s="17" t="s">
        <v>405</v>
      </c>
      <c r="F62" s="17" t="s">
        <v>72</v>
      </c>
    </row>
    <row r="63" spans="2:6">
      <c r="B63" s="5" t="s">
        <v>724</v>
      </c>
      <c r="C63" s="5" t="s">
        <v>68</v>
      </c>
      <c r="D63" s="6" t="s">
        <v>212</v>
      </c>
      <c r="E63" s="6" t="s">
        <v>39</v>
      </c>
      <c r="F63" s="6" t="s">
        <v>751</v>
      </c>
    </row>
    <row r="64" spans="2:6">
      <c r="B64" s="5" t="s">
        <v>740</v>
      </c>
      <c r="C64" s="5" t="s">
        <v>68</v>
      </c>
      <c r="D64" s="6" t="s">
        <v>215</v>
      </c>
      <c r="E64" s="6" t="s">
        <v>45</v>
      </c>
      <c r="F64" s="6" t="s">
        <v>752</v>
      </c>
    </row>
    <row r="65" spans="2:6">
      <c r="B65" s="5" t="s">
        <v>718</v>
      </c>
      <c r="C65" s="5" t="s">
        <v>68</v>
      </c>
      <c r="D65" s="6" t="s">
        <v>381</v>
      </c>
      <c r="E65" s="6" t="s">
        <v>99</v>
      </c>
      <c r="F65" s="6" t="s">
        <v>753</v>
      </c>
    </row>
    <row r="66" spans="2:6">
      <c r="B66" s="5" t="s">
        <v>75</v>
      </c>
    </row>
  </sheetData>
  <mergeCells count="20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41:J41"/>
    <mergeCell ref="A47:J47"/>
    <mergeCell ref="B3:B4"/>
    <mergeCell ref="A8:J8"/>
    <mergeCell ref="A19:J19"/>
    <mergeCell ref="A22:J22"/>
    <mergeCell ref="A26:J26"/>
    <mergeCell ref="A30:J30"/>
    <mergeCell ref="A35:J3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9CA66-D4A7-43C2-A8AF-AC8F044FD4C5}">
  <dimension ref="A1:M28"/>
  <sheetViews>
    <sheetView workbookViewId="0">
      <selection activeCell="E28" sqref="E28"/>
    </sheetView>
  </sheetViews>
  <sheetFormatPr baseColWidth="10" defaultColWidth="9.1640625" defaultRowHeight="13"/>
  <cols>
    <col min="1" max="1" width="7.1640625" style="5" bestFit="1" customWidth="1"/>
    <col min="2" max="2" width="20.5" style="5" bestFit="1" customWidth="1"/>
    <col min="3" max="3" width="27.5" style="5" bestFit="1" customWidth="1"/>
    <col min="4" max="4" width="20.83203125" style="5" bestFit="1" customWidth="1"/>
    <col min="5" max="5" width="10.1640625" style="5" bestFit="1" customWidth="1"/>
    <col min="6" max="6" width="20.5" style="5" bestFit="1" customWidth="1"/>
    <col min="7" max="9" width="5.5" style="6" customWidth="1"/>
    <col min="10" max="10" width="4.5" style="6" customWidth="1"/>
    <col min="11" max="11" width="10.5" style="29" bestFit="1" customWidth="1"/>
    <col min="12" max="12" width="8.5" style="6" bestFit="1" customWidth="1"/>
    <col min="13" max="13" width="21.1640625" style="5" bestFit="1" customWidth="1"/>
    <col min="14" max="16384" width="9.1640625" style="3"/>
  </cols>
  <sheetData>
    <row r="1" spans="1:13" s="2" customFormat="1" ht="29" customHeight="1">
      <c r="A1" s="45" t="s">
        <v>804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898</v>
      </c>
      <c r="B3" s="43" t="s">
        <v>0</v>
      </c>
      <c r="C3" s="55" t="s">
        <v>899</v>
      </c>
      <c r="D3" s="55" t="s">
        <v>5</v>
      </c>
      <c r="E3" s="37" t="s">
        <v>900</v>
      </c>
      <c r="F3" s="37" t="s">
        <v>6</v>
      </c>
      <c r="G3" s="37" t="s">
        <v>9</v>
      </c>
      <c r="H3" s="37"/>
      <c r="I3" s="37"/>
      <c r="J3" s="37"/>
      <c r="K3" s="35" t="s">
        <v>406</v>
      </c>
      <c r="L3" s="37" t="s">
        <v>3</v>
      </c>
      <c r="M3" s="39" t="s">
        <v>2</v>
      </c>
    </row>
    <row r="4" spans="1:13" s="1" customFormat="1" ht="21" customHeight="1" thickBot="1">
      <c r="A4" s="54"/>
      <c r="B4" s="44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36"/>
      <c r="L4" s="38"/>
      <c r="M4" s="40"/>
    </row>
    <row r="5" spans="1:13" ht="16">
      <c r="A5" s="41" t="s">
        <v>118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8" t="s">
        <v>74</v>
      </c>
      <c r="B6" s="7" t="s">
        <v>119</v>
      </c>
      <c r="C6" s="7" t="s">
        <v>120</v>
      </c>
      <c r="D6" s="7" t="s">
        <v>121</v>
      </c>
      <c r="E6" s="7" t="s">
        <v>901</v>
      </c>
      <c r="F6" s="7" t="s">
        <v>859</v>
      </c>
      <c r="G6" s="18" t="s">
        <v>46</v>
      </c>
      <c r="H6" s="18" t="s">
        <v>48</v>
      </c>
      <c r="I6" s="18" t="s">
        <v>125</v>
      </c>
      <c r="J6" s="8"/>
      <c r="K6" s="28" t="str">
        <f>"193,0"</f>
        <v>193,0</v>
      </c>
      <c r="L6" s="8" t="str">
        <f>"228,0488"</f>
        <v>228,0488</v>
      </c>
      <c r="M6" s="7" t="s">
        <v>117</v>
      </c>
    </row>
    <row r="7" spans="1:13">
      <c r="B7" s="5" t="s">
        <v>75</v>
      </c>
    </row>
    <row r="8" spans="1:13" ht="16">
      <c r="A8" s="33" t="s">
        <v>270</v>
      </c>
      <c r="B8" s="33"/>
      <c r="C8" s="34"/>
      <c r="D8" s="34"/>
      <c r="E8" s="34"/>
      <c r="F8" s="34"/>
      <c r="G8" s="34"/>
      <c r="H8" s="34"/>
      <c r="I8" s="34"/>
      <c r="J8" s="34"/>
    </row>
    <row r="9" spans="1:13">
      <c r="A9" s="8" t="s">
        <v>74</v>
      </c>
      <c r="B9" s="7" t="s">
        <v>412</v>
      </c>
      <c r="C9" s="7" t="s">
        <v>421</v>
      </c>
      <c r="D9" s="7" t="s">
        <v>414</v>
      </c>
      <c r="E9" s="7" t="s">
        <v>905</v>
      </c>
      <c r="F9" s="7" t="s">
        <v>847</v>
      </c>
      <c r="G9" s="18" t="s">
        <v>19</v>
      </c>
      <c r="H9" s="18" t="s">
        <v>416</v>
      </c>
      <c r="I9" s="19" t="s">
        <v>20</v>
      </c>
      <c r="J9" s="8"/>
      <c r="K9" s="28" t="str">
        <f>"176,0"</f>
        <v>176,0</v>
      </c>
      <c r="L9" s="8" t="str">
        <f>"210,9333"</f>
        <v>210,9333</v>
      </c>
      <c r="M9" s="7" t="s">
        <v>417</v>
      </c>
    </row>
    <row r="10" spans="1:13">
      <c r="B10" s="5" t="s">
        <v>75</v>
      </c>
    </row>
    <row r="11" spans="1:13" ht="16">
      <c r="A11" s="33" t="s">
        <v>151</v>
      </c>
      <c r="B11" s="33"/>
      <c r="C11" s="34"/>
      <c r="D11" s="34"/>
      <c r="E11" s="34"/>
      <c r="F11" s="34"/>
      <c r="G11" s="34"/>
      <c r="H11" s="34"/>
      <c r="I11" s="34"/>
      <c r="J11" s="34"/>
    </row>
    <row r="12" spans="1:13">
      <c r="A12" s="8" t="s">
        <v>220</v>
      </c>
      <c r="B12" s="7" t="s">
        <v>665</v>
      </c>
      <c r="C12" s="7" t="s">
        <v>666</v>
      </c>
      <c r="D12" s="7" t="s">
        <v>573</v>
      </c>
      <c r="E12" s="7" t="s">
        <v>902</v>
      </c>
      <c r="F12" s="7" t="s">
        <v>847</v>
      </c>
      <c r="G12" s="19" t="s">
        <v>150</v>
      </c>
      <c r="H12" s="8"/>
      <c r="I12" s="8"/>
      <c r="J12" s="8"/>
      <c r="K12" s="28">
        <v>0</v>
      </c>
      <c r="L12" s="8" t="str">
        <f>"0,0000"</f>
        <v>0,0000</v>
      </c>
      <c r="M12" s="7"/>
    </row>
    <row r="13" spans="1:13">
      <c r="B13" s="5" t="s">
        <v>75</v>
      </c>
    </row>
    <row r="14" spans="1:13" ht="16">
      <c r="A14" s="33" t="s">
        <v>21</v>
      </c>
      <c r="B14" s="33"/>
      <c r="C14" s="34"/>
      <c r="D14" s="34"/>
      <c r="E14" s="34"/>
      <c r="F14" s="34"/>
      <c r="G14" s="34"/>
      <c r="H14" s="34"/>
      <c r="I14" s="34"/>
      <c r="J14" s="34"/>
    </row>
    <row r="15" spans="1:13">
      <c r="A15" s="10" t="s">
        <v>74</v>
      </c>
      <c r="B15" s="9" t="s">
        <v>165</v>
      </c>
      <c r="C15" s="9" t="s">
        <v>166</v>
      </c>
      <c r="D15" s="9" t="s">
        <v>167</v>
      </c>
      <c r="E15" s="9" t="s">
        <v>902</v>
      </c>
      <c r="F15" s="9" t="s">
        <v>865</v>
      </c>
      <c r="G15" s="21" t="s">
        <v>44</v>
      </c>
      <c r="H15" s="21" t="s">
        <v>45</v>
      </c>
      <c r="I15" s="21" t="s">
        <v>33</v>
      </c>
      <c r="J15" s="10"/>
      <c r="K15" s="30" t="str">
        <f>"260,0"</f>
        <v>260,0</v>
      </c>
      <c r="L15" s="10" t="str">
        <f>"169,2963"</f>
        <v>169,2963</v>
      </c>
      <c r="M15" s="9" t="s">
        <v>810</v>
      </c>
    </row>
    <row r="16" spans="1:13">
      <c r="A16" s="12" t="s">
        <v>74</v>
      </c>
      <c r="B16" s="11" t="s">
        <v>667</v>
      </c>
      <c r="C16" s="11" t="s">
        <v>668</v>
      </c>
      <c r="D16" s="11" t="s">
        <v>334</v>
      </c>
      <c r="E16" s="11" t="s">
        <v>906</v>
      </c>
      <c r="F16" s="11" t="s">
        <v>847</v>
      </c>
      <c r="G16" s="22" t="s">
        <v>243</v>
      </c>
      <c r="H16" s="22" t="s">
        <v>244</v>
      </c>
      <c r="I16" s="12"/>
      <c r="J16" s="12"/>
      <c r="K16" s="31" t="str">
        <f>"142,5"</f>
        <v>142,5</v>
      </c>
      <c r="L16" s="12" t="str">
        <f>"131,1433"</f>
        <v>131,1433</v>
      </c>
      <c r="M16" s="11" t="s">
        <v>117</v>
      </c>
    </row>
    <row r="17" spans="1:13">
      <c r="B17" s="5" t="s">
        <v>75</v>
      </c>
    </row>
    <row r="18" spans="1:13" ht="16">
      <c r="A18" s="33" t="s">
        <v>169</v>
      </c>
      <c r="B18" s="33"/>
      <c r="C18" s="34"/>
      <c r="D18" s="34"/>
      <c r="E18" s="34"/>
      <c r="F18" s="34"/>
      <c r="G18" s="34"/>
      <c r="H18" s="34"/>
      <c r="I18" s="34"/>
      <c r="J18" s="34"/>
    </row>
    <row r="19" spans="1:13">
      <c r="A19" s="10" t="s">
        <v>74</v>
      </c>
      <c r="B19" s="9" t="s">
        <v>669</v>
      </c>
      <c r="C19" s="9" t="s">
        <v>670</v>
      </c>
      <c r="D19" s="9" t="s">
        <v>671</v>
      </c>
      <c r="E19" s="9" t="s">
        <v>904</v>
      </c>
      <c r="F19" s="9" t="s">
        <v>891</v>
      </c>
      <c r="G19" s="20" t="s">
        <v>33</v>
      </c>
      <c r="H19" s="21" t="s">
        <v>33</v>
      </c>
      <c r="I19" s="21" t="s">
        <v>203</v>
      </c>
      <c r="J19" s="10"/>
      <c r="K19" s="30" t="str">
        <f>"272,5"</f>
        <v>272,5</v>
      </c>
      <c r="L19" s="10" t="str">
        <f>"173,0102"</f>
        <v>173,0102</v>
      </c>
      <c r="M19" s="9" t="s">
        <v>811</v>
      </c>
    </row>
    <row r="20" spans="1:13">
      <c r="A20" s="25" t="s">
        <v>74</v>
      </c>
      <c r="B20" s="24" t="s">
        <v>672</v>
      </c>
      <c r="C20" s="24" t="s">
        <v>673</v>
      </c>
      <c r="D20" s="24" t="s">
        <v>674</v>
      </c>
      <c r="E20" s="24" t="s">
        <v>901</v>
      </c>
      <c r="F20" s="24" t="s">
        <v>892</v>
      </c>
      <c r="G20" s="26" t="s">
        <v>675</v>
      </c>
      <c r="H20" s="26" t="s">
        <v>659</v>
      </c>
      <c r="I20" s="26" t="s">
        <v>676</v>
      </c>
      <c r="J20" s="25"/>
      <c r="K20" s="32" t="str">
        <f>"370,0"</f>
        <v>370,0</v>
      </c>
      <c r="L20" s="25" t="str">
        <f>"227,4390"</f>
        <v>227,4390</v>
      </c>
      <c r="M20" s="24"/>
    </row>
    <row r="21" spans="1:13">
      <c r="A21" s="12" t="s">
        <v>76</v>
      </c>
      <c r="B21" s="11" t="s">
        <v>677</v>
      </c>
      <c r="C21" s="11" t="s">
        <v>678</v>
      </c>
      <c r="D21" s="11" t="s">
        <v>679</v>
      </c>
      <c r="E21" s="11" t="s">
        <v>901</v>
      </c>
      <c r="F21" s="11" t="s">
        <v>853</v>
      </c>
      <c r="G21" s="22" t="s">
        <v>40</v>
      </c>
      <c r="H21" s="23" t="s">
        <v>680</v>
      </c>
      <c r="I21" s="23" t="s">
        <v>680</v>
      </c>
      <c r="J21" s="12"/>
      <c r="K21" s="31" t="str">
        <f>"300,0"</f>
        <v>300,0</v>
      </c>
      <c r="L21" s="12" t="str">
        <f>"184,9800"</f>
        <v>184,9800</v>
      </c>
      <c r="M21" s="11" t="s">
        <v>808</v>
      </c>
    </row>
    <row r="22" spans="1:13">
      <c r="B22" s="5" t="s">
        <v>75</v>
      </c>
    </row>
    <row r="23" spans="1:13" ht="16">
      <c r="A23" s="33" t="s">
        <v>29</v>
      </c>
      <c r="B23" s="33"/>
      <c r="C23" s="34"/>
      <c r="D23" s="34"/>
      <c r="E23" s="34"/>
      <c r="F23" s="34"/>
      <c r="G23" s="34"/>
      <c r="H23" s="34"/>
      <c r="I23" s="34"/>
      <c r="J23" s="34"/>
    </row>
    <row r="24" spans="1:13">
      <c r="A24" s="8" t="s">
        <v>74</v>
      </c>
      <c r="B24" s="7" t="s">
        <v>681</v>
      </c>
      <c r="C24" s="7" t="s">
        <v>682</v>
      </c>
      <c r="D24" s="7" t="s">
        <v>683</v>
      </c>
      <c r="E24" s="7" t="s">
        <v>904</v>
      </c>
      <c r="F24" s="7" t="s">
        <v>893</v>
      </c>
      <c r="G24" s="18" t="s">
        <v>173</v>
      </c>
      <c r="H24" s="18" t="s">
        <v>680</v>
      </c>
      <c r="I24" s="19" t="s">
        <v>210</v>
      </c>
      <c r="J24" s="8"/>
      <c r="K24" s="28" t="str">
        <f>"320,0"</f>
        <v>320,0</v>
      </c>
      <c r="L24" s="8" t="str">
        <f>"189,3120"</f>
        <v>189,3120</v>
      </c>
      <c r="M24" s="7"/>
    </row>
    <row r="25" spans="1:13">
      <c r="B25" s="5" t="s">
        <v>75</v>
      </c>
    </row>
    <row r="26" spans="1:13" ht="16">
      <c r="A26" s="33" t="s">
        <v>52</v>
      </c>
      <c r="B26" s="33"/>
      <c r="C26" s="34"/>
      <c r="D26" s="34"/>
      <c r="E26" s="34"/>
      <c r="F26" s="34"/>
      <c r="G26" s="34"/>
      <c r="H26" s="34"/>
      <c r="I26" s="34"/>
      <c r="J26" s="34"/>
    </row>
    <row r="27" spans="1:13">
      <c r="A27" s="8" t="s">
        <v>74</v>
      </c>
      <c r="B27" s="7" t="s">
        <v>684</v>
      </c>
      <c r="C27" s="7" t="s">
        <v>685</v>
      </c>
      <c r="D27" s="7" t="s">
        <v>686</v>
      </c>
      <c r="E27" s="7" t="s">
        <v>904</v>
      </c>
      <c r="F27" s="7" t="s">
        <v>894</v>
      </c>
      <c r="G27" s="18" t="s">
        <v>58</v>
      </c>
      <c r="H27" s="18" t="s">
        <v>687</v>
      </c>
      <c r="I27" s="19" t="s">
        <v>688</v>
      </c>
      <c r="J27" s="8"/>
      <c r="K27" s="28" t="str">
        <f>"380,0"</f>
        <v>380,0</v>
      </c>
      <c r="L27" s="8" t="str">
        <f>"221,2740"</f>
        <v>221,2740</v>
      </c>
      <c r="M27" s="7"/>
    </row>
    <row r="28" spans="1:13">
      <c r="B28" s="5" t="s">
        <v>75</v>
      </c>
    </row>
  </sheetData>
  <mergeCells count="18">
    <mergeCell ref="A1:M2"/>
    <mergeCell ref="A3:A4"/>
    <mergeCell ref="C3:C4"/>
    <mergeCell ref="D3:D4"/>
    <mergeCell ref="E3:E4"/>
    <mergeCell ref="F3:F4"/>
    <mergeCell ref="G3:J3"/>
    <mergeCell ref="A26:J26"/>
    <mergeCell ref="K3:K4"/>
    <mergeCell ref="L3:L4"/>
    <mergeCell ref="M3:M4"/>
    <mergeCell ref="A5:J5"/>
    <mergeCell ref="B3:B4"/>
    <mergeCell ref="A8:J8"/>
    <mergeCell ref="A11:J11"/>
    <mergeCell ref="A14:J14"/>
    <mergeCell ref="A18:J18"/>
    <mergeCell ref="A23:J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8C962-298D-4C7E-9FD9-446FF807F6E4}">
  <dimension ref="A1:M8"/>
  <sheetViews>
    <sheetView workbookViewId="0">
      <selection activeCell="E8" sqref="E8"/>
    </sheetView>
  </sheetViews>
  <sheetFormatPr baseColWidth="10" defaultColWidth="9.1640625" defaultRowHeight="13"/>
  <cols>
    <col min="1" max="1" width="7.1640625" style="5" bestFit="1" customWidth="1"/>
    <col min="2" max="2" width="18.1640625" style="5" bestFit="1" customWidth="1"/>
    <col min="3" max="3" width="27.5" style="5" bestFit="1" customWidth="1"/>
    <col min="4" max="4" width="20.83203125" style="5" bestFit="1" customWidth="1"/>
    <col min="5" max="5" width="10.1640625" style="5" bestFit="1" customWidth="1"/>
    <col min="6" max="6" width="23" style="5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21.5" style="5" bestFit="1" customWidth="1"/>
    <col min="14" max="16384" width="9.1640625" style="3"/>
  </cols>
  <sheetData>
    <row r="1" spans="1:13" s="2" customFormat="1" ht="29" customHeight="1">
      <c r="A1" s="45" t="s">
        <v>805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898</v>
      </c>
      <c r="B3" s="43" t="s">
        <v>0</v>
      </c>
      <c r="C3" s="55" t="s">
        <v>899</v>
      </c>
      <c r="D3" s="55" t="s">
        <v>5</v>
      </c>
      <c r="E3" s="37" t="s">
        <v>900</v>
      </c>
      <c r="F3" s="37" t="s">
        <v>6</v>
      </c>
      <c r="G3" s="37" t="s">
        <v>9</v>
      </c>
      <c r="H3" s="37"/>
      <c r="I3" s="37"/>
      <c r="J3" s="37"/>
      <c r="K3" s="37" t="s">
        <v>406</v>
      </c>
      <c r="L3" s="37" t="s">
        <v>3</v>
      </c>
      <c r="M3" s="39" t="s">
        <v>2</v>
      </c>
    </row>
    <row r="4" spans="1:13" s="1" customFormat="1" ht="21" customHeight="1" thickBot="1">
      <c r="A4" s="54"/>
      <c r="B4" s="44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38"/>
      <c r="L4" s="38"/>
      <c r="M4" s="40"/>
    </row>
    <row r="5" spans="1:13" ht="16">
      <c r="A5" s="41" t="s">
        <v>169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10" t="s">
        <v>74</v>
      </c>
      <c r="B6" s="9" t="s">
        <v>754</v>
      </c>
      <c r="C6" s="9" t="s">
        <v>755</v>
      </c>
      <c r="D6" s="9" t="s">
        <v>648</v>
      </c>
      <c r="E6" s="9" t="s">
        <v>901</v>
      </c>
      <c r="F6" s="9" t="s">
        <v>853</v>
      </c>
      <c r="G6" s="21" t="s">
        <v>35</v>
      </c>
      <c r="H6" s="21" t="s">
        <v>756</v>
      </c>
      <c r="I6" s="21" t="s">
        <v>56</v>
      </c>
      <c r="J6" s="10"/>
      <c r="K6" s="10" t="str">
        <f>"315,0"</f>
        <v>315,0</v>
      </c>
      <c r="L6" s="10" t="str">
        <f>"193,2840"</f>
        <v>193,2840</v>
      </c>
      <c r="M6" s="9" t="s">
        <v>809</v>
      </c>
    </row>
    <row r="7" spans="1:13">
      <c r="A7" s="12" t="s">
        <v>74</v>
      </c>
      <c r="B7" s="11" t="s">
        <v>754</v>
      </c>
      <c r="C7" s="11" t="s">
        <v>757</v>
      </c>
      <c r="D7" s="11" t="s">
        <v>648</v>
      </c>
      <c r="E7" s="11" t="s">
        <v>902</v>
      </c>
      <c r="F7" s="11" t="s">
        <v>853</v>
      </c>
      <c r="G7" s="22" t="s">
        <v>35</v>
      </c>
      <c r="H7" s="22" t="s">
        <v>756</v>
      </c>
      <c r="I7" s="22" t="s">
        <v>56</v>
      </c>
      <c r="J7" s="12"/>
      <c r="K7" s="12" t="str">
        <f>"315,0"</f>
        <v>315,0</v>
      </c>
      <c r="L7" s="12" t="str">
        <f>"195,9900"</f>
        <v>195,9900</v>
      </c>
      <c r="M7" s="11" t="s">
        <v>809</v>
      </c>
    </row>
    <row r="8" spans="1:13">
      <c r="B8" s="5" t="s">
        <v>75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1B09B-F942-48A3-AF8C-7FF2807B9D5A}">
  <dimension ref="A1:M24"/>
  <sheetViews>
    <sheetView workbookViewId="0">
      <selection activeCell="E24" sqref="E24"/>
    </sheetView>
  </sheetViews>
  <sheetFormatPr baseColWidth="10" defaultColWidth="9.1640625" defaultRowHeight="13"/>
  <cols>
    <col min="1" max="1" width="7.1640625" style="5" bestFit="1" customWidth="1"/>
    <col min="2" max="2" width="20.832031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5.1640625" style="5" customWidth="1"/>
    <col min="7" max="10" width="4.5" style="6" customWidth="1"/>
    <col min="11" max="11" width="10.5" style="6" bestFit="1" customWidth="1"/>
    <col min="12" max="12" width="7.5" style="6" bestFit="1" customWidth="1"/>
    <col min="13" max="13" width="25.83203125" style="5" bestFit="1" customWidth="1"/>
    <col min="14" max="16384" width="9.1640625" style="3"/>
  </cols>
  <sheetData>
    <row r="1" spans="1:13" s="2" customFormat="1" ht="29" customHeight="1">
      <c r="A1" s="45" t="s">
        <v>806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898</v>
      </c>
      <c r="B3" s="43" t="s">
        <v>0</v>
      </c>
      <c r="C3" s="55" t="s">
        <v>899</v>
      </c>
      <c r="D3" s="55" t="s">
        <v>5</v>
      </c>
      <c r="E3" s="37" t="s">
        <v>900</v>
      </c>
      <c r="F3" s="37" t="s">
        <v>6</v>
      </c>
      <c r="G3" s="37" t="s">
        <v>897</v>
      </c>
      <c r="H3" s="37"/>
      <c r="I3" s="37"/>
      <c r="J3" s="37"/>
      <c r="K3" s="37" t="s">
        <v>406</v>
      </c>
      <c r="L3" s="37" t="s">
        <v>3</v>
      </c>
      <c r="M3" s="39" t="s">
        <v>2</v>
      </c>
    </row>
    <row r="4" spans="1:13" s="1" customFormat="1" ht="21" customHeight="1" thickBot="1">
      <c r="A4" s="54"/>
      <c r="B4" s="44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38"/>
      <c r="L4" s="38"/>
      <c r="M4" s="40"/>
    </row>
    <row r="5" spans="1:13" ht="16">
      <c r="A5" s="41" t="s">
        <v>10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10" t="s">
        <v>74</v>
      </c>
      <c r="B6" s="9" t="s">
        <v>766</v>
      </c>
      <c r="C6" s="9" t="s">
        <v>767</v>
      </c>
      <c r="D6" s="9" t="s">
        <v>768</v>
      </c>
      <c r="E6" s="9" t="s">
        <v>901</v>
      </c>
      <c r="F6" s="9" t="s">
        <v>895</v>
      </c>
      <c r="G6" s="21" t="s">
        <v>226</v>
      </c>
      <c r="H6" s="20" t="s">
        <v>242</v>
      </c>
      <c r="I6" s="20" t="s">
        <v>242</v>
      </c>
      <c r="J6" s="10"/>
      <c r="K6" s="10" t="str">
        <f>"57,5"</f>
        <v>57,5</v>
      </c>
      <c r="L6" s="10" t="str">
        <f>"48,5271"</f>
        <v>48,5271</v>
      </c>
      <c r="M6" s="9"/>
    </row>
    <row r="7" spans="1:13">
      <c r="A7" s="25" t="s">
        <v>76</v>
      </c>
      <c r="B7" s="24" t="s">
        <v>769</v>
      </c>
      <c r="C7" s="24" t="s">
        <v>770</v>
      </c>
      <c r="D7" s="24" t="s">
        <v>771</v>
      </c>
      <c r="E7" s="24" t="s">
        <v>901</v>
      </c>
      <c r="F7" s="24" t="s">
        <v>847</v>
      </c>
      <c r="G7" s="26" t="s">
        <v>249</v>
      </c>
      <c r="H7" s="26" t="s">
        <v>85</v>
      </c>
      <c r="I7" s="27" t="s">
        <v>86</v>
      </c>
      <c r="J7" s="25"/>
      <c r="K7" s="25" t="str">
        <f>"45,0"</f>
        <v>45,0</v>
      </c>
      <c r="L7" s="25" t="str">
        <f>"38,6190"</f>
        <v>38,6190</v>
      </c>
      <c r="M7" s="24"/>
    </row>
    <row r="8" spans="1:13">
      <c r="A8" s="12" t="s">
        <v>74</v>
      </c>
      <c r="B8" s="11" t="s">
        <v>766</v>
      </c>
      <c r="C8" s="11" t="s">
        <v>786</v>
      </c>
      <c r="D8" s="11" t="s">
        <v>768</v>
      </c>
      <c r="E8" s="11" t="s">
        <v>902</v>
      </c>
      <c r="F8" s="11" t="s">
        <v>895</v>
      </c>
      <c r="G8" s="22" t="s">
        <v>226</v>
      </c>
      <c r="H8" s="23" t="s">
        <v>242</v>
      </c>
      <c r="I8" s="23" t="s">
        <v>242</v>
      </c>
      <c r="J8" s="12"/>
      <c r="K8" s="12" t="str">
        <f>"57,5"</f>
        <v>57,5</v>
      </c>
      <c r="L8" s="12" t="str">
        <f>"51,1961"</f>
        <v>51,1961</v>
      </c>
      <c r="M8" s="11"/>
    </row>
    <row r="9" spans="1:13">
      <c r="B9" s="5" t="s">
        <v>75</v>
      </c>
    </row>
    <row r="10" spans="1:13" ht="16">
      <c r="A10" s="33" t="s">
        <v>270</v>
      </c>
      <c r="B10" s="33"/>
      <c r="C10" s="34"/>
      <c r="D10" s="34"/>
      <c r="E10" s="34"/>
      <c r="F10" s="34"/>
      <c r="G10" s="34"/>
      <c r="H10" s="34"/>
      <c r="I10" s="34"/>
      <c r="J10" s="34"/>
    </row>
    <row r="11" spans="1:13">
      <c r="A11" s="10" t="s">
        <v>74</v>
      </c>
      <c r="B11" s="9" t="s">
        <v>772</v>
      </c>
      <c r="C11" s="9" t="s">
        <v>787</v>
      </c>
      <c r="D11" s="9" t="s">
        <v>773</v>
      </c>
      <c r="E11" s="9" t="s">
        <v>903</v>
      </c>
      <c r="F11" s="9" t="s">
        <v>896</v>
      </c>
      <c r="G11" s="21" t="s">
        <v>92</v>
      </c>
      <c r="H11" s="21" t="s">
        <v>93</v>
      </c>
      <c r="I11" s="21" t="s">
        <v>226</v>
      </c>
      <c r="J11" s="21" t="s">
        <v>242</v>
      </c>
      <c r="K11" s="10" t="str">
        <f>"57,5"</f>
        <v>57,5</v>
      </c>
      <c r="L11" s="10" t="str">
        <f>"43,4757"</f>
        <v>43,4757</v>
      </c>
      <c r="M11" s="9" t="s">
        <v>774</v>
      </c>
    </row>
    <row r="12" spans="1:13">
      <c r="A12" s="12" t="s">
        <v>74</v>
      </c>
      <c r="B12" s="11" t="s">
        <v>772</v>
      </c>
      <c r="C12" s="11" t="s">
        <v>775</v>
      </c>
      <c r="D12" s="11" t="s">
        <v>773</v>
      </c>
      <c r="E12" s="11" t="s">
        <v>901</v>
      </c>
      <c r="F12" s="11" t="s">
        <v>896</v>
      </c>
      <c r="G12" s="22" t="s">
        <v>92</v>
      </c>
      <c r="H12" s="22" t="s">
        <v>93</v>
      </c>
      <c r="I12" s="22" t="s">
        <v>226</v>
      </c>
      <c r="J12" s="22" t="s">
        <v>242</v>
      </c>
      <c r="K12" s="12" t="str">
        <f>"57,5"</f>
        <v>57,5</v>
      </c>
      <c r="L12" s="12" t="str">
        <f>"43,4757"</f>
        <v>43,4757</v>
      </c>
      <c r="M12" s="11" t="s">
        <v>774</v>
      </c>
    </row>
    <row r="13" spans="1:13">
      <c r="B13" s="5" t="s">
        <v>75</v>
      </c>
    </row>
    <row r="14" spans="1:13" ht="16">
      <c r="A14" s="33" t="s">
        <v>151</v>
      </c>
      <c r="B14" s="33"/>
      <c r="C14" s="34"/>
      <c r="D14" s="34"/>
      <c r="E14" s="34"/>
      <c r="F14" s="34"/>
      <c r="G14" s="34"/>
      <c r="H14" s="34"/>
      <c r="I14" s="34"/>
      <c r="J14" s="34"/>
    </row>
    <row r="15" spans="1:13">
      <c r="A15" s="10" t="s">
        <v>74</v>
      </c>
      <c r="B15" s="9" t="s">
        <v>548</v>
      </c>
      <c r="C15" s="9" t="s">
        <v>788</v>
      </c>
      <c r="D15" s="9" t="s">
        <v>776</v>
      </c>
      <c r="E15" s="9" t="s">
        <v>903</v>
      </c>
      <c r="F15" s="9" t="s">
        <v>874</v>
      </c>
      <c r="G15" s="21" t="s">
        <v>93</v>
      </c>
      <c r="H15" s="21" t="s">
        <v>226</v>
      </c>
      <c r="I15" s="21" t="s">
        <v>242</v>
      </c>
      <c r="J15" s="10"/>
      <c r="K15" s="10" t="str">
        <f>"60,0"</f>
        <v>60,0</v>
      </c>
      <c r="L15" s="10" t="str">
        <f>"39,8100"</f>
        <v>39,8100</v>
      </c>
      <c r="M15" s="9" t="s">
        <v>807</v>
      </c>
    </row>
    <row r="16" spans="1:13">
      <c r="A16" s="12" t="s">
        <v>74</v>
      </c>
      <c r="B16" s="11" t="s">
        <v>777</v>
      </c>
      <c r="C16" s="11" t="s">
        <v>778</v>
      </c>
      <c r="D16" s="11" t="s">
        <v>779</v>
      </c>
      <c r="E16" s="11" t="s">
        <v>901</v>
      </c>
      <c r="F16" s="11" t="s">
        <v>873</v>
      </c>
      <c r="G16" s="22" t="s">
        <v>92</v>
      </c>
      <c r="H16" s="22" t="s">
        <v>226</v>
      </c>
      <c r="I16" s="22" t="s">
        <v>227</v>
      </c>
      <c r="J16" s="12"/>
      <c r="K16" s="12" t="str">
        <f>"62,5"</f>
        <v>62,5</v>
      </c>
      <c r="L16" s="12" t="str">
        <f>"41,2531"</f>
        <v>41,2531</v>
      </c>
      <c r="M16" s="11"/>
    </row>
    <row r="17" spans="1:13">
      <c r="B17" s="5" t="s">
        <v>75</v>
      </c>
    </row>
    <row r="18" spans="1:13" ht="16">
      <c r="A18" s="33" t="s">
        <v>21</v>
      </c>
      <c r="B18" s="33"/>
      <c r="C18" s="34"/>
      <c r="D18" s="34"/>
      <c r="E18" s="34"/>
      <c r="F18" s="34"/>
      <c r="G18" s="34"/>
      <c r="H18" s="34"/>
      <c r="I18" s="34"/>
      <c r="J18" s="34"/>
    </row>
    <row r="19" spans="1:13">
      <c r="A19" s="10" t="s">
        <v>74</v>
      </c>
      <c r="B19" s="9" t="s">
        <v>780</v>
      </c>
      <c r="C19" s="9" t="s">
        <v>789</v>
      </c>
      <c r="D19" s="9" t="s">
        <v>433</v>
      </c>
      <c r="E19" s="9" t="s">
        <v>904</v>
      </c>
      <c r="F19" s="9" t="s">
        <v>853</v>
      </c>
      <c r="G19" s="20" t="s">
        <v>242</v>
      </c>
      <c r="H19" s="21" t="s">
        <v>132</v>
      </c>
      <c r="I19" s="21" t="s">
        <v>133</v>
      </c>
      <c r="J19" s="10"/>
      <c r="K19" s="10" t="str">
        <f>"70,0"</f>
        <v>70,0</v>
      </c>
      <c r="L19" s="10" t="str">
        <f>"43,4070"</f>
        <v>43,4070</v>
      </c>
      <c r="M19" s="9" t="s">
        <v>808</v>
      </c>
    </row>
    <row r="20" spans="1:13">
      <c r="A20" s="12" t="s">
        <v>74</v>
      </c>
      <c r="B20" s="11" t="s">
        <v>781</v>
      </c>
      <c r="C20" s="11" t="s">
        <v>790</v>
      </c>
      <c r="D20" s="11" t="s">
        <v>782</v>
      </c>
      <c r="E20" s="11" t="s">
        <v>902</v>
      </c>
      <c r="F20" s="11" t="s">
        <v>873</v>
      </c>
      <c r="G20" s="23" t="s">
        <v>93</v>
      </c>
      <c r="H20" s="22" t="s">
        <v>242</v>
      </c>
      <c r="I20" s="22" t="s">
        <v>132</v>
      </c>
      <c r="J20" s="12"/>
      <c r="K20" s="12" t="str">
        <f>"65,0"</f>
        <v>65,0</v>
      </c>
      <c r="L20" s="12" t="str">
        <f>"41,3049"</f>
        <v>41,3049</v>
      </c>
      <c r="M20" s="11"/>
    </row>
    <row r="21" spans="1:13">
      <c r="B21" s="5" t="s">
        <v>75</v>
      </c>
    </row>
    <row r="22" spans="1:13" ht="16">
      <c r="A22" s="33" t="s">
        <v>29</v>
      </c>
      <c r="B22" s="33"/>
      <c r="C22" s="34"/>
      <c r="D22" s="34"/>
      <c r="E22" s="34"/>
      <c r="F22" s="34"/>
      <c r="G22" s="34"/>
      <c r="H22" s="34"/>
      <c r="I22" s="34"/>
      <c r="J22" s="34"/>
    </row>
    <row r="23" spans="1:13">
      <c r="A23" s="8" t="s">
        <v>74</v>
      </c>
      <c r="B23" s="7" t="s">
        <v>783</v>
      </c>
      <c r="C23" s="7" t="s">
        <v>784</v>
      </c>
      <c r="D23" s="7" t="s">
        <v>785</v>
      </c>
      <c r="E23" s="7" t="s">
        <v>901</v>
      </c>
      <c r="F23" s="7" t="s">
        <v>847</v>
      </c>
      <c r="G23" s="18" t="s">
        <v>133</v>
      </c>
      <c r="H23" s="18" t="s">
        <v>81</v>
      </c>
      <c r="I23" s="19" t="s">
        <v>232</v>
      </c>
      <c r="J23" s="8"/>
      <c r="K23" s="8" t="str">
        <f>"80,0"</f>
        <v>80,0</v>
      </c>
      <c r="L23" s="8" t="str">
        <f>"46,2800"</f>
        <v>46,2800</v>
      </c>
      <c r="M23" s="7"/>
    </row>
    <row r="24" spans="1:13">
      <c r="B24" s="5" t="s">
        <v>75</v>
      </c>
    </row>
  </sheetData>
  <mergeCells count="1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10:J10"/>
    <mergeCell ref="A14:J14"/>
    <mergeCell ref="A18:J18"/>
    <mergeCell ref="A22:J22"/>
    <mergeCell ref="B3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6E3DC-2198-4E9B-93F2-C908A932CEBF}">
  <dimension ref="A1:U52"/>
  <sheetViews>
    <sheetView topLeftCell="A23" workbookViewId="0">
      <selection activeCell="E43" sqref="E43"/>
    </sheetView>
  </sheetViews>
  <sheetFormatPr baseColWidth="10" defaultColWidth="9.1640625" defaultRowHeight="13"/>
  <cols>
    <col min="1" max="1" width="7.1640625" style="5" bestFit="1" customWidth="1"/>
    <col min="2" max="2" width="20.83203125" style="5" bestFit="1" customWidth="1"/>
    <col min="3" max="3" width="27.5" style="5" bestFit="1" customWidth="1"/>
    <col min="4" max="4" width="20.83203125" style="5" bestFit="1" customWidth="1"/>
    <col min="5" max="5" width="10.1640625" style="5" bestFit="1" customWidth="1"/>
    <col min="6" max="6" width="20.5" style="5" bestFit="1" customWidth="1"/>
    <col min="7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29" bestFit="1" customWidth="1"/>
    <col min="20" max="20" width="8.5" style="6" bestFit="1" customWidth="1"/>
    <col min="21" max="21" width="24.83203125" style="5" bestFit="1" customWidth="1"/>
    <col min="22" max="16384" width="9.1640625" style="3"/>
  </cols>
  <sheetData>
    <row r="1" spans="1:21" s="2" customFormat="1" ht="29" customHeight="1">
      <c r="A1" s="45" t="s">
        <v>792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8"/>
    </row>
    <row r="2" spans="1:21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/>
    </row>
    <row r="3" spans="1:21" s="1" customFormat="1" ht="12.75" customHeight="1">
      <c r="A3" s="53" t="s">
        <v>898</v>
      </c>
      <c r="B3" s="43" t="s">
        <v>0</v>
      </c>
      <c r="C3" s="55" t="s">
        <v>899</v>
      </c>
      <c r="D3" s="55" t="s">
        <v>5</v>
      </c>
      <c r="E3" s="37" t="s">
        <v>900</v>
      </c>
      <c r="F3" s="37" t="s">
        <v>6</v>
      </c>
      <c r="G3" s="37" t="s">
        <v>7</v>
      </c>
      <c r="H3" s="37"/>
      <c r="I3" s="37"/>
      <c r="J3" s="37"/>
      <c r="K3" s="37" t="s">
        <v>8</v>
      </c>
      <c r="L3" s="37"/>
      <c r="M3" s="37"/>
      <c r="N3" s="37"/>
      <c r="O3" s="37" t="s">
        <v>9</v>
      </c>
      <c r="P3" s="37"/>
      <c r="Q3" s="37"/>
      <c r="R3" s="37"/>
      <c r="S3" s="35" t="s">
        <v>1</v>
      </c>
      <c r="T3" s="37" t="s">
        <v>3</v>
      </c>
      <c r="U3" s="39" t="s">
        <v>2</v>
      </c>
    </row>
    <row r="4" spans="1:21" s="1" customFormat="1" ht="21" customHeight="1" thickBot="1">
      <c r="A4" s="54"/>
      <c r="B4" s="44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6"/>
      <c r="T4" s="38"/>
      <c r="U4" s="40"/>
    </row>
    <row r="5" spans="1:21" ht="16">
      <c r="A5" s="41" t="s">
        <v>77</v>
      </c>
      <c r="B5" s="4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1:21">
      <c r="A6" s="8" t="s">
        <v>74</v>
      </c>
      <c r="B6" s="7" t="s">
        <v>108</v>
      </c>
      <c r="C6" s="7" t="s">
        <v>109</v>
      </c>
      <c r="D6" s="7" t="s">
        <v>110</v>
      </c>
      <c r="E6" s="7" t="s">
        <v>901</v>
      </c>
      <c r="F6" s="7" t="s">
        <v>847</v>
      </c>
      <c r="G6" s="18" t="s">
        <v>111</v>
      </c>
      <c r="H6" s="18" t="s">
        <v>112</v>
      </c>
      <c r="I6" s="19" t="s">
        <v>113</v>
      </c>
      <c r="J6" s="8"/>
      <c r="K6" s="19" t="s">
        <v>114</v>
      </c>
      <c r="L6" s="18" t="s">
        <v>114</v>
      </c>
      <c r="M6" s="19" t="s">
        <v>92</v>
      </c>
      <c r="N6" s="8"/>
      <c r="O6" s="18" t="s">
        <v>115</v>
      </c>
      <c r="P6" s="18" t="s">
        <v>28</v>
      </c>
      <c r="Q6" s="19" t="s">
        <v>116</v>
      </c>
      <c r="R6" s="8"/>
      <c r="S6" s="28" t="str">
        <f>"293,0"</f>
        <v>293,0</v>
      </c>
      <c r="T6" s="8" t="str">
        <f>"388,6645"</f>
        <v>388,6645</v>
      </c>
      <c r="U6" s="7" t="s">
        <v>117</v>
      </c>
    </row>
    <row r="7" spans="1:21">
      <c r="B7" s="5" t="s">
        <v>75</v>
      </c>
    </row>
    <row r="8" spans="1:21" ht="16">
      <c r="A8" s="33" t="s">
        <v>118</v>
      </c>
      <c r="B8" s="33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1:21">
      <c r="A9" s="10" t="s">
        <v>74</v>
      </c>
      <c r="B9" s="9" t="s">
        <v>119</v>
      </c>
      <c r="C9" s="9" t="s">
        <v>120</v>
      </c>
      <c r="D9" s="9" t="s">
        <v>121</v>
      </c>
      <c r="E9" s="9" t="s">
        <v>901</v>
      </c>
      <c r="F9" s="9" t="s">
        <v>859</v>
      </c>
      <c r="G9" s="21" t="s">
        <v>122</v>
      </c>
      <c r="H9" s="21" t="s">
        <v>123</v>
      </c>
      <c r="I9" s="21" t="s">
        <v>94</v>
      </c>
      <c r="J9" s="10"/>
      <c r="K9" s="21" t="s">
        <v>124</v>
      </c>
      <c r="L9" s="21" t="s">
        <v>81</v>
      </c>
      <c r="M9" s="21" t="s">
        <v>87</v>
      </c>
      <c r="N9" s="10"/>
      <c r="O9" s="21" t="s">
        <v>46</v>
      </c>
      <c r="P9" s="21" t="s">
        <v>48</v>
      </c>
      <c r="Q9" s="21" t="s">
        <v>125</v>
      </c>
      <c r="R9" s="10"/>
      <c r="S9" s="30" t="str">
        <f>"425,5"</f>
        <v>425,5</v>
      </c>
      <c r="T9" s="10" t="str">
        <f>"502,7708"</f>
        <v>502,7708</v>
      </c>
      <c r="U9" s="9" t="s">
        <v>117</v>
      </c>
    </row>
    <row r="10" spans="1:21">
      <c r="A10" s="25" t="s">
        <v>76</v>
      </c>
      <c r="B10" s="24" t="s">
        <v>126</v>
      </c>
      <c r="C10" s="24" t="s">
        <v>127</v>
      </c>
      <c r="D10" s="24" t="s">
        <v>128</v>
      </c>
      <c r="E10" s="24" t="s">
        <v>901</v>
      </c>
      <c r="F10" s="24" t="s">
        <v>853</v>
      </c>
      <c r="G10" s="26" t="s">
        <v>129</v>
      </c>
      <c r="H10" s="26" t="s">
        <v>130</v>
      </c>
      <c r="I10" s="26" t="s">
        <v>131</v>
      </c>
      <c r="J10" s="25"/>
      <c r="K10" s="26" t="s">
        <v>132</v>
      </c>
      <c r="L10" s="26" t="s">
        <v>133</v>
      </c>
      <c r="M10" s="26" t="s">
        <v>134</v>
      </c>
      <c r="N10" s="25"/>
      <c r="O10" s="26" t="s">
        <v>102</v>
      </c>
      <c r="P10" s="26" t="s">
        <v>15</v>
      </c>
      <c r="Q10" s="26" t="s">
        <v>28</v>
      </c>
      <c r="R10" s="25"/>
      <c r="S10" s="32" t="str">
        <f>"325,0"</f>
        <v>325,0</v>
      </c>
      <c r="T10" s="25" t="str">
        <f>"385,0925"</f>
        <v>385,0925</v>
      </c>
      <c r="U10" s="24" t="s">
        <v>135</v>
      </c>
    </row>
    <row r="11" spans="1:21">
      <c r="A11" s="12" t="s">
        <v>74</v>
      </c>
      <c r="B11" s="11" t="s">
        <v>126</v>
      </c>
      <c r="C11" s="11" t="s">
        <v>136</v>
      </c>
      <c r="D11" s="11" t="s">
        <v>128</v>
      </c>
      <c r="E11" s="11" t="s">
        <v>902</v>
      </c>
      <c r="F11" s="11" t="s">
        <v>853</v>
      </c>
      <c r="G11" s="22" t="s">
        <v>129</v>
      </c>
      <c r="H11" s="22" t="s">
        <v>130</v>
      </c>
      <c r="I11" s="22" t="s">
        <v>131</v>
      </c>
      <c r="J11" s="12"/>
      <c r="K11" s="22" t="s">
        <v>132</v>
      </c>
      <c r="L11" s="22" t="s">
        <v>133</v>
      </c>
      <c r="M11" s="22" t="s">
        <v>134</v>
      </c>
      <c r="N11" s="12"/>
      <c r="O11" s="22" t="s">
        <v>102</v>
      </c>
      <c r="P11" s="22" t="s">
        <v>15</v>
      </c>
      <c r="Q11" s="22" t="s">
        <v>28</v>
      </c>
      <c r="R11" s="12"/>
      <c r="S11" s="31" t="str">
        <f>"325,0"</f>
        <v>325,0</v>
      </c>
      <c r="T11" s="12" t="str">
        <f>"385,0925"</f>
        <v>385,0925</v>
      </c>
      <c r="U11" s="11" t="s">
        <v>135</v>
      </c>
    </row>
    <row r="12" spans="1:21">
      <c r="B12" s="5" t="s">
        <v>75</v>
      </c>
    </row>
    <row r="13" spans="1:21" ht="16">
      <c r="A13" s="33" t="s">
        <v>137</v>
      </c>
      <c r="B13" s="33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</row>
    <row r="14" spans="1:21">
      <c r="A14" s="8" t="s">
        <v>220</v>
      </c>
      <c r="B14" s="7" t="s">
        <v>138</v>
      </c>
      <c r="C14" s="7" t="s">
        <v>139</v>
      </c>
      <c r="D14" s="7" t="s">
        <v>140</v>
      </c>
      <c r="E14" s="7" t="s">
        <v>901</v>
      </c>
      <c r="F14" s="7" t="s">
        <v>847</v>
      </c>
      <c r="G14" s="18" t="s">
        <v>37</v>
      </c>
      <c r="H14" s="18" t="s">
        <v>141</v>
      </c>
      <c r="I14" s="18" t="s">
        <v>103</v>
      </c>
      <c r="J14" s="18" t="s">
        <v>104</v>
      </c>
      <c r="K14" s="19" t="s">
        <v>27</v>
      </c>
      <c r="L14" s="19" t="s">
        <v>27</v>
      </c>
      <c r="M14" s="19" t="s">
        <v>27</v>
      </c>
      <c r="N14" s="8"/>
      <c r="O14" s="19"/>
      <c r="P14" s="8"/>
      <c r="Q14" s="8"/>
      <c r="R14" s="8"/>
      <c r="S14" s="28">
        <v>0</v>
      </c>
      <c r="T14" s="8" t="str">
        <f>"0,0000"</f>
        <v>0,0000</v>
      </c>
      <c r="U14" s="7" t="s">
        <v>142</v>
      </c>
    </row>
    <row r="15" spans="1:21">
      <c r="B15" s="5" t="s">
        <v>75</v>
      </c>
    </row>
    <row r="16" spans="1:21" ht="16">
      <c r="A16" s="33" t="s">
        <v>137</v>
      </c>
      <c r="B16" s="33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</row>
    <row r="17" spans="1:21">
      <c r="A17" s="8" t="s">
        <v>74</v>
      </c>
      <c r="B17" s="7" t="s">
        <v>143</v>
      </c>
      <c r="C17" s="7" t="s">
        <v>144</v>
      </c>
      <c r="D17" s="7" t="s">
        <v>145</v>
      </c>
      <c r="E17" s="7" t="s">
        <v>901</v>
      </c>
      <c r="F17" s="7" t="s">
        <v>862</v>
      </c>
      <c r="G17" s="18" t="s">
        <v>146</v>
      </c>
      <c r="H17" s="18" t="s">
        <v>147</v>
      </c>
      <c r="I17" s="18" t="s">
        <v>48</v>
      </c>
      <c r="J17" s="8"/>
      <c r="K17" s="18" t="s">
        <v>148</v>
      </c>
      <c r="L17" s="18" t="s">
        <v>149</v>
      </c>
      <c r="M17" s="18" t="s">
        <v>27</v>
      </c>
      <c r="N17" s="8"/>
      <c r="O17" s="18" t="s">
        <v>150</v>
      </c>
      <c r="P17" s="18" t="s">
        <v>101</v>
      </c>
      <c r="Q17" s="18" t="s">
        <v>103</v>
      </c>
      <c r="R17" s="8"/>
      <c r="S17" s="28" t="str">
        <f>"527,5"</f>
        <v>527,5</v>
      </c>
      <c r="T17" s="8" t="str">
        <f>"378,3757"</f>
        <v>378,3757</v>
      </c>
      <c r="U17" s="7" t="s">
        <v>837</v>
      </c>
    </row>
    <row r="18" spans="1:21">
      <c r="B18" s="5" t="s">
        <v>75</v>
      </c>
    </row>
    <row r="19" spans="1:21" ht="16">
      <c r="A19" s="33" t="s">
        <v>151</v>
      </c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</row>
    <row r="20" spans="1:21">
      <c r="A20" s="10" t="s">
        <v>74</v>
      </c>
      <c r="B20" s="9" t="s">
        <v>152</v>
      </c>
      <c r="C20" s="9" t="s">
        <v>153</v>
      </c>
      <c r="D20" s="9" t="s">
        <v>154</v>
      </c>
      <c r="E20" s="9" t="s">
        <v>901</v>
      </c>
      <c r="F20" s="9" t="s">
        <v>863</v>
      </c>
      <c r="G20" s="21" t="s">
        <v>103</v>
      </c>
      <c r="H20" s="21" t="s">
        <v>49</v>
      </c>
      <c r="I20" s="21" t="s">
        <v>50</v>
      </c>
      <c r="J20" s="10"/>
      <c r="K20" s="21" t="s">
        <v>146</v>
      </c>
      <c r="L20" s="21" t="s">
        <v>19</v>
      </c>
      <c r="M20" s="20" t="s">
        <v>46</v>
      </c>
      <c r="N20" s="10"/>
      <c r="O20" s="21" t="s">
        <v>33</v>
      </c>
      <c r="P20" s="20" t="s">
        <v>34</v>
      </c>
      <c r="Q20" s="10"/>
      <c r="R20" s="10"/>
      <c r="S20" s="30" t="str">
        <f>"675,0"</f>
        <v>675,0</v>
      </c>
      <c r="T20" s="10" t="str">
        <f>"459,7425"</f>
        <v>459,7425</v>
      </c>
      <c r="U20" s="9"/>
    </row>
    <row r="21" spans="1:21">
      <c r="A21" s="12" t="s">
        <v>76</v>
      </c>
      <c r="B21" s="11" t="s">
        <v>155</v>
      </c>
      <c r="C21" s="11" t="s">
        <v>156</v>
      </c>
      <c r="D21" s="11" t="s">
        <v>157</v>
      </c>
      <c r="E21" s="11" t="s">
        <v>901</v>
      </c>
      <c r="F21" s="11" t="s">
        <v>864</v>
      </c>
      <c r="G21" s="22" t="s">
        <v>25</v>
      </c>
      <c r="H21" s="22" t="s">
        <v>101</v>
      </c>
      <c r="I21" s="22" t="s">
        <v>158</v>
      </c>
      <c r="J21" s="12"/>
      <c r="K21" s="22" t="s">
        <v>94</v>
      </c>
      <c r="L21" s="22" t="s">
        <v>146</v>
      </c>
      <c r="M21" s="22" t="s">
        <v>19</v>
      </c>
      <c r="N21" s="12"/>
      <c r="O21" s="22" t="s">
        <v>44</v>
      </c>
      <c r="P21" s="22" t="s">
        <v>33</v>
      </c>
      <c r="Q21" s="22" t="s">
        <v>159</v>
      </c>
      <c r="R21" s="12"/>
      <c r="S21" s="31" t="str">
        <f>"655,0"</f>
        <v>655,0</v>
      </c>
      <c r="T21" s="12" t="str">
        <f>"440,0945"</f>
        <v>440,0945</v>
      </c>
      <c r="U21" s="11"/>
    </row>
    <row r="22" spans="1:21">
      <c r="B22" s="5" t="s">
        <v>75</v>
      </c>
    </row>
    <row r="23" spans="1:21" ht="16">
      <c r="A23" s="33" t="s">
        <v>21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</row>
    <row r="24" spans="1:21">
      <c r="A24" s="10" t="s">
        <v>74</v>
      </c>
      <c r="B24" s="9" t="s">
        <v>160</v>
      </c>
      <c r="C24" s="9" t="s">
        <v>161</v>
      </c>
      <c r="D24" s="9" t="s">
        <v>162</v>
      </c>
      <c r="E24" s="9" t="s">
        <v>901</v>
      </c>
      <c r="F24" s="9" t="s">
        <v>847</v>
      </c>
      <c r="G24" s="21" t="s">
        <v>48</v>
      </c>
      <c r="H24" s="21" t="s">
        <v>99</v>
      </c>
      <c r="I24" s="20" t="s">
        <v>25</v>
      </c>
      <c r="J24" s="10"/>
      <c r="K24" s="21" t="s">
        <v>95</v>
      </c>
      <c r="L24" s="21" t="s">
        <v>146</v>
      </c>
      <c r="M24" s="21" t="s">
        <v>163</v>
      </c>
      <c r="N24" s="10"/>
      <c r="O24" s="21" t="s">
        <v>141</v>
      </c>
      <c r="P24" s="21" t="s">
        <v>164</v>
      </c>
      <c r="Q24" s="21" t="s">
        <v>49</v>
      </c>
      <c r="R24" s="10"/>
      <c r="S24" s="30" t="str">
        <f>"595,0"</f>
        <v>595,0</v>
      </c>
      <c r="T24" s="10" t="str">
        <f>"385,2625"</f>
        <v>385,2625</v>
      </c>
      <c r="U24" s="9" t="s">
        <v>117</v>
      </c>
    </row>
    <row r="25" spans="1:21">
      <c r="A25" s="12" t="s">
        <v>74</v>
      </c>
      <c r="B25" s="11" t="s">
        <v>165</v>
      </c>
      <c r="C25" s="11" t="s">
        <v>166</v>
      </c>
      <c r="D25" s="11" t="s">
        <v>167</v>
      </c>
      <c r="E25" s="11" t="s">
        <v>902</v>
      </c>
      <c r="F25" s="11" t="s">
        <v>865</v>
      </c>
      <c r="G25" s="22" t="s">
        <v>46</v>
      </c>
      <c r="H25" s="22" t="s">
        <v>47</v>
      </c>
      <c r="I25" s="22" t="s">
        <v>99</v>
      </c>
      <c r="J25" s="12"/>
      <c r="K25" s="22" t="s">
        <v>149</v>
      </c>
      <c r="L25" s="22" t="s">
        <v>27</v>
      </c>
      <c r="M25" s="12"/>
      <c r="N25" s="12"/>
      <c r="O25" s="22" t="s">
        <v>44</v>
      </c>
      <c r="P25" s="22" t="s">
        <v>45</v>
      </c>
      <c r="Q25" s="22" t="s">
        <v>33</v>
      </c>
      <c r="R25" s="12"/>
      <c r="S25" s="31" t="str">
        <f>"575,0"</f>
        <v>575,0</v>
      </c>
      <c r="T25" s="12" t="str">
        <f>"374,4052"</f>
        <v>374,4052</v>
      </c>
      <c r="U25" s="11" t="s">
        <v>168</v>
      </c>
    </row>
    <row r="26" spans="1:21">
      <c r="B26" s="5" t="s">
        <v>75</v>
      </c>
    </row>
    <row r="27" spans="1:21" ht="16">
      <c r="A27" s="33" t="s">
        <v>169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</row>
    <row r="28" spans="1:21">
      <c r="A28" s="10" t="s">
        <v>74</v>
      </c>
      <c r="B28" s="9" t="s">
        <v>170</v>
      </c>
      <c r="C28" s="9" t="s">
        <v>171</v>
      </c>
      <c r="D28" s="9" t="s">
        <v>172</v>
      </c>
      <c r="E28" s="9" t="s">
        <v>901</v>
      </c>
      <c r="F28" s="9" t="s">
        <v>847</v>
      </c>
      <c r="G28" s="21" t="s">
        <v>45</v>
      </c>
      <c r="H28" s="21" t="s">
        <v>33</v>
      </c>
      <c r="I28" s="10"/>
      <c r="J28" s="10"/>
      <c r="K28" s="21" t="s">
        <v>47</v>
      </c>
      <c r="L28" s="20" t="s">
        <v>99</v>
      </c>
      <c r="M28" s="20" t="s">
        <v>99</v>
      </c>
      <c r="N28" s="10"/>
      <c r="O28" s="21" t="s">
        <v>35</v>
      </c>
      <c r="P28" s="21" t="s">
        <v>40</v>
      </c>
      <c r="Q28" s="20" t="s">
        <v>173</v>
      </c>
      <c r="R28" s="10"/>
      <c r="S28" s="30" t="str">
        <f>"745,0"</f>
        <v>745,0</v>
      </c>
      <c r="T28" s="10" t="str">
        <f>"455,2695"</f>
        <v>455,2695</v>
      </c>
      <c r="U28" s="9" t="s">
        <v>179</v>
      </c>
    </row>
    <row r="29" spans="1:21">
      <c r="A29" s="12" t="s">
        <v>76</v>
      </c>
      <c r="B29" s="11" t="s">
        <v>174</v>
      </c>
      <c r="C29" s="11" t="s">
        <v>175</v>
      </c>
      <c r="D29" s="11" t="s">
        <v>176</v>
      </c>
      <c r="E29" s="11" t="s">
        <v>901</v>
      </c>
      <c r="F29" s="11" t="s">
        <v>847</v>
      </c>
      <c r="G29" s="22" t="s">
        <v>101</v>
      </c>
      <c r="H29" s="22" t="s">
        <v>103</v>
      </c>
      <c r="I29" s="23" t="s">
        <v>104</v>
      </c>
      <c r="J29" s="12"/>
      <c r="K29" s="22" t="s">
        <v>16</v>
      </c>
      <c r="L29" s="22" t="s">
        <v>123</v>
      </c>
      <c r="M29" s="23" t="s">
        <v>177</v>
      </c>
      <c r="N29" s="12"/>
      <c r="O29" s="22" t="s">
        <v>26</v>
      </c>
      <c r="P29" s="22" t="s">
        <v>178</v>
      </c>
      <c r="Q29" s="23" t="s">
        <v>45</v>
      </c>
      <c r="R29" s="12"/>
      <c r="S29" s="31" t="str">
        <f>"607,5"</f>
        <v>607,5</v>
      </c>
      <c r="T29" s="12" t="str">
        <f>"371,6685"</f>
        <v>371,6685</v>
      </c>
      <c r="U29" s="11" t="s">
        <v>179</v>
      </c>
    </row>
    <row r="30" spans="1:21">
      <c r="B30" s="5" t="s">
        <v>75</v>
      </c>
    </row>
    <row r="31" spans="1:21" ht="16">
      <c r="A31" s="33" t="s">
        <v>29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</row>
    <row r="32" spans="1:21">
      <c r="A32" s="10" t="s">
        <v>74</v>
      </c>
      <c r="B32" s="9" t="s">
        <v>180</v>
      </c>
      <c r="C32" s="9" t="s">
        <v>181</v>
      </c>
      <c r="D32" s="9" t="s">
        <v>182</v>
      </c>
      <c r="E32" s="9" t="s">
        <v>901</v>
      </c>
      <c r="F32" s="9" t="s">
        <v>866</v>
      </c>
      <c r="G32" s="21" t="s">
        <v>104</v>
      </c>
      <c r="H32" s="21" t="s">
        <v>49</v>
      </c>
      <c r="I32" s="21" t="s">
        <v>50</v>
      </c>
      <c r="J32" s="10"/>
      <c r="K32" s="21" t="s">
        <v>19</v>
      </c>
      <c r="L32" s="21" t="s">
        <v>20</v>
      </c>
      <c r="M32" s="21" t="s">
        <v>48</v>
      </c>
      <c r="N32" s="10"/>
      <c r="O32" s="21" t="s">
        <v>39</v>
      </c>
      <c r="P32" s="21" t="s">
        <v>40</v>
      </c>
      <c r="Q32" s="21" t="s">
        <v>173</v>
      </c>
      <c r="R32" s="10"/>
      <c r="S32" s="30" t="str">
        <f>"742,5"</f>
        <v>742,5</v>
      </c>
      <c r="T32" s="10" t="str">
        <f>"437,1840"</f>
        <v>437,1840</v>
      </c>
      <c r="U32" s="9" t="s">
        <v>142</v>
      </c>
    </row>
    <row r="33" spans="1:21">
      <c r="A33" s="25" t="s">
        <v>76</v>
      </c>
      <c r="B33" s="24" t="s">
        <v>183</v>
      </c>
      <c r="C33" s="24" t="s">
        <v>184</v>
      </c>
      <c r="D33" s="24" t="s">
        <v>185</v>
      </c>
      <c r="E33" s="24" t="s">
        <v>901</v>
      </c>
      <c r="F33" s="24" t="s">
        <v>847</v>
      </c>
      <c r="G33" s="26" t="s">
        <v>141</v>
      </c>
      <c r="H33" s="26" t="s">
        <v>26</v>
      </c>
      <c r="I33" s="26" t="s">
        <v>44</v>
      </c>
      <c r="J33" s="25"/>
      <c r="K33" s="26" t="s">
        <v>123</v>
      </c>
      <c r="L33" s="26" t="s">
        <v>95</v>
      </c>
      <c r="M33" s="26" t="s">
        <v>146</v>
      </c>
      <c r="N33" s="25"/>
      <c r="O33" s="26" t="s">
        <v>45</v>
      </c>
      <c r="P33" s="26" t="s">
        <v>34</v>
      </c>
      <c r="Q33" s="26" t="s">
        <v>39</v>
      </c>
      <c r="R33" s="25"/>
      <c r="S33" s="32" t="str">
        <f>"685,0"</f>
        <v>685,0</v>
      </c>
      <c r="T33" s="25" t="str">
        <f>"405,3145"</f>
        <v>405,3145</v>
      </c>
      <c r="U33" s="24"/>
    </row>
    <row r="34" spans="1:21">
      <c r="A34" s="12" t="s">
        <v>221</v>
      </c>
      <c r="B34" s="11" t="s">
        <v>186</v>
      </c>
      <c r="C34" s="11" t="s">
        <v>187</v>
      </c>
      <c r="D34" s="11" t="s">
        <v>188</v>
      </c>
      <c r="E34" s="11" t="s">
        <v>901</v>
      </c>
      <c r="F34" s="11" t="s">
        <v>853</v>
      </c>
      <c r="G34" s="22" t="s">
        <v>20</v>
      </c>
      <c r="H34" s="22" t="s">
        <v>48</v>
      </c>
      <c r="I34" s="23" t="s">
        <v>36</v>
      </c>
      <c r="J34" s="12"/>
      <c r="K34" s="22" t="s">
        <v>123</v>
      </c>
      <c r="L34" s="22" t="s">
        <v>189</v>
      </c>
      <c r="M34" s="22" t="s">
        <v>190</v>
      </c>
      <c r="N34" s="12"/>
      <c r="O34" s="22" t="s">
        <v>25</v>
      </c>
      <c r="P34" s="22" t="s">
        <v>101</v>
      </c>
      <c r="Q34" s="22" t="s">
        <v>158</v>
      </c>
      <c r="R34" s="12"/>
      <c r="S34" s="31" t="str">
        <f>"562,5"</f>
        <v>562,5</v>
      </c>
      <c r="T34" s="12" t="str">
        <f>"333,1687"</f>
        <v>333,1687</v>
      </c>
      <c r="U34" s="11" t="s">
        <v>191</v>
      </c>
    </row>
    <row r="35" spans="1:21">
      <c r="B35" s="5" t="s">
        <v>75</v>
      </c>
    </row>
    <row r="36" spans="1:21" ht="16">
      <c r="A36" s="33" t="s">
        <v>52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</row>
    <row r="37" spans="1:21">
      <c r="A37" s="10" t="s">
        <v>74</v>
      </c>
      <c r="B37" s="9" t="s">
        <v>192</v>
      </c>
      <c r="C37" s="9" t="s">
        <v>193</v>
      </c>
      <c r="D37" s="9" t="s">
        <v>194</v>
      </c>
      <c r="E37" s="9" t="s">
        <v>901</v>
      </c>
      <c r="F37" s="9" t="s">
        <v>858</v>
      </c>
      <c r="G37" s="20" t="s">
        <v>44</v>
      </c>
      <c r="H37" s="21" t="s">
        <v>44</v>
      </c>
      <c r="I37" s="21" t="s">
        <v>33</v>
      </c>
      <c r="J37" s="10"/>
      <c r="K37" s="21" t="s">
        <v>99</v>
      </c>
      <c r="L37" s="21" t="s">
        <v>100</v>
      </c>
      <c r="M37" s="20" t="s">
        <v>101</v>
      </c>
      <c r="N37" s="10"/>
      <c r="O37" s="21" t="s">
        <v>40</v>
      </c>
      <c r="P37" s="20" t="s">
        <v>173</v>
      </c>
      <c r="Q37" s="20" t="s">
        <v>56</v>
      </c>
      <c r="R37" s="10"/>
      <c r="S37" s="30" t="str">
        <f>"765,0"</f>
        <v>765,0</v>
      </c>
      <c r="T37" s="10" t="str">
        <f>"442,3995"</f>
        <v>442,3995</v>
      </c>
      <c r="U37" s="9"/>
    </row>
    <row r="38" spans="1:21">
      <c r="A38" s="12" t="s">
        <v>76</v>
      </c>
      <c r="B38" s="11" t="s">
        <v>195</v>
      </c>
      <c r="C38" s="11" t="s">
        <v>196</v>
      </c>
      <c r="D38" s="11" t="s">
        <v>197</v>
      </c>
      <c r="E38" s="11" t="s">
        <v>901</v>
      </c>
      <c r="F38" s="11" t="s">
        <v>847</v>
      </c>
      <c r="G38" s="22" t="s">
        <v>44</v>
      </c>
      <c r="H38" s="22" t="s">
        <v>198</v>
      </c>
      <c r="I38" s="22" t="s">
        <v>33</v>
      </c>
      <c r="J38" s="12"/>
      <c r="K38" s="22" t="s">
        <v>94</v>
      </c>
      <c r="L38" s="22" t="s">
        <v>146</v>
      </c>
      <c r="M38" s="23" t="s">
        <v>163</v>
      </c>
      <c r="N38" s="12"/>
      <c r="O38" s="22" t="s">
        <v>33</v>
      </c>
      <c r="P38" s="23" t="s">
        <v>38</v>
      </c>
      <c r="Q38" s="12"/>
      <c r="R38" s="12"/>
      <c r="S38" s="31" t="str">
        <f>"680,0"</f>
        <v>680,0</v>
      </c>
      <c r="T38" s="12" t="str">
        <f>"388,4160"</f>
        <v>388,4160</v>
      </c>
      <c r="U38" s="11"/>
    </row>
    <row r="39" spans="1:21">
      <c r="B39" s="5" t="s">
        <v>75</v>
      </c>
    </row>
    <row r="40" spans="1:21" ht="16">
      <c r="A40" s="33" t="s">
        <v>199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</row>
    <row r="41" spans="1:21">
      <c r="A41" s="10" t="s">
        <v>74</v>
      </c>
      <c r="B41" s="9" t="s">
        <v>200</v>
      </c>
      <c r="C41" s="9" t="s">
        <v>201</v>
      </c>
      <c r="D41" s="9" t="s">
        <v>202</v>
      </c>
      <c r="E41" s="9" t="s">
        <v>901</v>
      </c>
      <c r="F41" s="9" t="s">
        <v>847</v>
      </c>
      <c r="G41" s="21" t="s">
        <v>33</v>
      </c>
      <c r="H41" s="21" t="s">
        <v>203</v>
      </c>
      <c r="I41" s="21" t="s">
        <v>204</v>
      </c>
      <c r="J41" s="10"/>
      <c r="K41" s="21" t="s">
        <v>37</v>
      </c>
      <c r="L41" s="20" t="s">
        <v>158</v>
      </c>
      <c r="M41" s="21" t="s">
        <v>158</v>
      </c>
      <c r="N41" s="10"/>
      <c r="O41" s="21" t="s">
        <v>38</v>
      </c>
      <c r="P41" s="21" t="s">
        <v>39</v>
      </c>
      <c r="Q41" s="21" t="s">
        <v>205</v>
      </c>
      <c r="R41" s="10"/>
      <c r="S41" s="30" t="str">
        <f>"787,5"</f>
        <v>787,5</v>
      </c>
      <c r="T41" s="10" t="str">
        <f>"440,8425"</f>
        <v>440,8425</v>
      </c>
      <c r="U41" s="9" t="s">
        <v>117</v>
      </c>
    </row>
    <row r="42" spans="1:21">
      <c r="A42" s="12" t="s">
        <v>76</v>
      </c>
      <c r="B42" s="11" t="s">
        <v>206</v>
      </c>
      <c r="C42" s="11" t="s">
        <v>207</v>
      </c>
      <c r="D42" s="11" t="s">
        <v>208</v>
      </c>
      <c r="E42" s="11" t="s">
        <v>901</v>
      </c>
      <c r="F42" s="11" t="s">
        <v>848</v>
      </c>
      <c r="G42" s="22" t="s">
        <v>101</v>
      </c>
      <c r="H42" s="22" t="s">
        <v>103</v>
      </c>
      <c r="I42" s="22" t="s">
        <v>26</v>
      </c>
      <c r="J42" s="12"/>
      <c r="K42" s="22" t="s">
        <v>94</v>
      </c>
      <c r="L42" s="23" t="s">
        <v>95</v>
      </c>
      <c r="M42" s="23" t="s">
        <v>95</v>
      </c>
      <c r="N42" s="12"/>
      <c r="O42" s="22" t="s">
        <v>26</v>
      </c>
      <c r="P42" s="23" t="s">
        <v>44</v>
      </c>
      <c r="Q42" s="22" t="s">
        <v>50</v>
      </c>
      <c r="R42" s="12"/>
      <c r="S42" s="31" t="str">
        <f>"625,0"</f>
        <v>625,0</v>
      </c>
      <c r="T42" s="12" t="str">
        <f>"353,0625"</f>
        <v>353,0625</v>
      </c>
      <c r="U42" s="11" t="s">
        <v>179</v>
      </c>
    </row>
    <row r="43" spans="1:21">
      <c r="B43" s="5" t="s">
        <v>75</v>
      </c>
    </row>
    <row r="46" spans="1:21" ht="18">
      <c r="B46" s="13" t="s">
        <v>66</v>
      </c>
      <c r="C46" s="13"/>
    </row>
    <row r="47" spans="1:21" ht="16">
      <c r="B47" s="14" t="s">
        <v>67</v>
      </c>
      <c r="C47" s="14"/>
    </row>
    <row r="48" spans="1:21" ht="14">
      <c r="B48" s="15"/>
      <c r="C48" s="16" t="s">
        <v>68</v>
      </c>
    </row>
    <row r="49" spans="2:6" ht="14">
      <c r="B49" s="17" t="s">
        <v>69</v>
      </c>
      <c r="C49" s="17" t="s">
        <v>70</v>
      </c>
      <c r="D49" s="17" t="s">
        <v>817</v>
      </c>
      <c r="E49" s="17" t="s">
        <v>71</v>
      </c>
      <c r="F49" s="17" t="s">
        <v>72</v>
      </c>
    </row>
    <row r="50" spans="2:6">
      <c r="B50" s="5" t="s">
        <v>152</v>
      </c>
      <c r="C50" s="5" t="s">
        <v>68</v>
      </c>
      <c r="D50" s="6" t="s">
        <v>212</v>
      </c>
      <c r="E50" s="6" t="s">
        <v>213</v>
      </c>
      <c r="F50" s="6" t="s">
        <v>214</v>
      </c>
    </row>
    <row r="51" spans="2:6">
      <c r="B51" s="5" t="s">
        <v>170</v>
      </c>
      <c r="C51" s="5" t="s">
        <v>68</v>
      </c>
      <c r="D51" s="6" t="s">
        <v>215</v>
      </c>
      <c r="E51" s="6" t="s">
        <v>216</v>
      </c>
      <c r="F51" s="6" t="s">
        <v>217</v>
      </c>
    </row>
    <row r="52" spans="2:6">
      <c r="B52" s="5" t="s">
        <v>192</v>
      </c>
      <c r="C52" s="5" t="s">
        <v>68</v>
      </c>
      <c r="D52" s="6" t="s">
        <v>73</v>
      </c>
      <c r="E52" s="6" t="s">
        <v>218</v>
      </c>
      <c r="F52" s="6" t="s">
        <v>219</v>
      </c>
    </row>
  </sheetData>
  <mergeCells count="23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31:R31"/>
    <mergeCell ref="A36:R36"/>
    <mergeCell ref="A40:R40"/>
    <mergeCell ref="B3:B4"/>
    <mergeCell ref="A8:R8"/>
    <mergeCell ref="A13:R13"/>
    <mergeCell ref="A16:R16"/>
    <mergeCell ref="A19:R19"/>
    <mergeCell ref="A23:R23"/>
    <mergeCell ref="A27:R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8553F-8D6A-4FFE-9A51-725BE627C18C}">
  <dimension ref="A1:U13"/>
  <sheetViews>
    <sheetView workbookViewId="0">
      <selection activeCell="E13" sqref="E13"/>
    </sheetView>
  </sheetViews>
  <sheetFormatPr baseColWidth="10" defaultColWidth="9.1640625" defaultRowHeight="13"/>
  <cols>
    <col min="1" max="1" width="7.1640625" style="5" bestFit="1" customWidth="1"/>
    <col min="2" max="2" width="19.5" style="5" bestFit="1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20.6640625" style="5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6" bestFit="1" customWidth="1"/>
    <col min="20" max="20" width="8.5" style="6" bestFit="1" customWidth="1"/>
    <col min="21" max="21" width="21" style="5" customWidth="1"/>
    <col min="22" max="16384" width="9.1640625" style="3"/>
  </cols>
  <sheetData>
    <row r="1" spans="1:21" s="2" customFormat="1" ht="29" customHeight="1">
      <c r="A1" s="45" t="s">
        <v>793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8"/>
    </row>
    <row r="2" spans="1:21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/>
    </row>
    <row r="3" spans="1:21" s="1" customFormat="1" ht="12.75" customHeight="1">
      <c r="A3" s="53" t="s">
        <v>898</v>
      </c>
      <c r="B3" s="43" t="s">
        <v>0</v>
      </c>
      <c r="C3" s="55" t="s">
        <v>899</v>
      </c>
      <c r="D3" s="55" t="s">
        <v>5</v>
      </c>
      <c r="E3" s="37" t="s">
        <v>900</v>
      </c>
      <c r="F3" s="37" t="s">
        <v>6</v>
      </c>
      <c r="G3" s="37" t="s">
        <v>7</v>
      </c>
      <c r="H3" s="37"/>
      <c r="I3" s="37"/>
      <c r="J3" s="37"/>
      <c r="K3" s="37" t="s">
        <v>8</v>
      </c>
      <c r="L3" s="37"/>
      <c r="M3" s="37"/>
      <c r="N3" s="37"/>
      <c r="O3" s="37" t="s">
        <v>9</v>
      </c>
      <c r="P3" s="37"/>
      <c r="Q3" s="37"/>
      <c r="R3" s="37"/>
      <c r="S3" s="37" t="s">
        <v>1</v>
      </c>
      <c r="T3" s="37" t="s">
        <v>3</v>
      </c>
      <c r="U3" s="39" t="s">
        <v>2</v>
      </c>
    </row>
    <row r="4" spans="1:21" s="1" customFormat="1" ht="21" customHeight="1" thickBot="1">
      <c r="A4" s="54"/>
      <c r="B4" s="44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8"/>
      <c r="T4" s="38"/>
      <c r="U4" s="40"/>
    </row>
    <row r="5" spans="1:21" ht="16">
      <c r="A5" s="41" t="s">
        <v>77</v>
      </c>
      <c r="B5" s="4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1:21">
      <c r="A6" s="8" t="s">
        <v>74</v>
      </c>
      <c r="B6" s="7" t="s">
        <v>78</v>
      </c>
      <c r="C6" s="7" t="s">
        <v>79</v>
      </c>
      <c r="D6" s="7" t="s">
        <v>80</v>
      </c>
      <c r="E6" s="7" t="s">
        <v>901</v>
      </c>
      <c r="F6" s="7" t="s">
        <v>849</v>
      </c>
      <c r="G6" s="18" t="s">
        <v>81</v>
      </c>
      <c r="H6" s="18" t="s">
        <v>82</v>
      </c>
      <c r="I6" s="18" t="s">
        <v>83</v>
      </c>
      <c r="J6" s="8"/>
      <c r="K6" s="18" t="s">
        <v>84</v>
      </c>
      <c r="L6" s="18" t="s">
        <v>85</v>
      </c>
      <c r="M6" s="19" t="s">
        <v>86</v>
      </c>
      <c r="N6" s="8"/>
      <c r="O6" s="18" t="s">
        <v>81</v>
      </c>
      <c r="P6" s="18" t="s">
        <v>87</v>
      </c>
      <c r="Q6" s="8"/>
      <c r="R6" s="8"/>
      <c r="S6" s="8" t="str">
        <f>"220,0"</f>
        <v>220,0</v>
      </c>
      <c r="T6" s="8" t="str">
        <f>"293,6120"</f>
        <v>293,6120</v>
      </c>
      <c r="U6" s="7" t="s">
        <v>822</v>
      </c>
    </row>
    <row r="7" spans="1:21">
      <c r="B7" s="5" t="s">
        <v>75</v>
      </c>
    </row>
    <row r="8" spans="1:21" ht="16">
      <c r="A8" s="33" t="s">
        <v>10</v>
      </c>
      <c r="B8" s="33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1:21">
      <c r="A9" s="8" t="s">
        <v>74</v>
      </c>
      <c r="B9" s="7" t="s">
        <v>88</v>
      </c>
      <c r="C9" s="7" t="s">
        <v>89</v>
      </c>
      <c r="D9" s="7" t="s">
        <v>90</v>
      </c>
      <c r="E9" s="7" t="s">
        <v>901</v>
      </c>
      <c r="F9" s="7" t="s">
        <v>867</v>
      </c>
      <c r="G9" s="19" t="s">
        <v>91</v>
      </c>
      <c r="H9" s="19" t="s">
        <v>91</v>
      </c>
      <c r="I9" s="18" t="s">
        <v>91</v>
      </c>
      <c r="J9" s="8"/>
      <c r="K9" s="18" t="s">
        <v>92</v>
      </c>
      <c r="L9" s="19" t="s">
        <v>93</v>
      </c>
      <c r="M9" s="19" t="s">
        <v>93</v>
      </c>
      <c r="N9" s="8"/>
      <c r="O9" s="18" t="s">
        <v>16</v>
      </c>
      <c r="P9" s="18" t="s">
        <v>94</v>
      </c>
      <c r="Q9" s="19" t="s">
        <v>95</v>
      </c>
      <c r="R9" s="8"/>
      <c r="S9" s="8" t="str">
        <f>"302,5"</f>
        <v>302,5</v>
      </c>
      <c r="T9" s="8" t="str">
        <f>"337,6807"</f>
        <v>337,6807</v>
      </c>
      <c r="U9" s="7"/>
    </row>
    <row r="10" spans="1:21">
      <c r="B10" s="5" t="s">
        <v>75</v>
      </c>
    </row>
    <row r="11" spans="1:21" ht="16">
      <c r="A11" s="33" t="s">
        <v>21</v>
      </c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</row>
    <row r="12" spans="1:21">
      <c r="A12" s="8" t="s">
        <v>74</v>
      </c>
      <c r="B12" s="7" t="s">
        <v>96</v>
      </c>
      <c r="C12" s="7" t="s">
        <v>97</v>
      </c>
      <c r="D12" s="7" t="s">
        <v>98</v>
      </c>
      <c r="E12" s="7" t="s">
        <v>901</v>
      </c>
      <c r="F12" s="7" t="s">
        <v>866</v>
      </c>
      <c r="G12" s="18" t="s">
        <v>99</v>
      </c>
      <c r="H12" s="18" t="s">
        <v>100</v>
      </c>
      <c r="I12" s="19" t="s">
        <v>101</v>
      </c>
      <c r="J12" s="8"/>
      <c r="K12" s="18" t="s">
        <v>27</v>
      </c>
      <c r="L12" s="19" t="s">
        <v>102</v>
      </c>
      <c r="M12" s="19" t="s">
        <v>102</v>
      </c>
      <c r="N12" s="8"/>
      <c r="O12" s="18" t="s">
        <v>103</v>
      </c>
      <c r="P12" s="19" t="s">
        <v>104</v>
      </c>
      <c r="Q12" s="19" t="s">
        <v>104</v>
      </c>
      <c r="R12" s="8"/>
      <c r="S12" s="8" t="str">
        <f>"545,0"</f>
        <v>545,0</v>
      </c>
      <c r="T12" s="8" t="str">
        <f>"350,5440"</f>
        <v>350,5440</v>
      </c>
      <c r="U12" s="7" t="s">
        <v>836</v>
      </c>
    </row>
    <row r="13" spans="1:21">
      <c r="B13" s="5" t="s">
        <v>75</v>
      </c>
    </row>
  </sheetData>
  <mergeCells count="16"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A11:R11"/>
    <mergeCell ref="B3:B4"/>
    <mergeCell ref="S3:S4"/>
    <mergeCell ref="T3:T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U19"/>
  <sheetViews>
    <sheetView workbookViewId="0">
      <selection activeCell="E18" sqref="E18"/>
    </sheetView>
  </sheetViews>
  <sheetFormatPr baseColWidth="10" defaultColWidth="9.1640625" defaultRowHeight="13"/>
  <cols>
    <col min="1" max="1" width="7.1640625" style="5" bestFit="1" customWidth="1"/>
    <col min="2" max="2" width="20.83203125" style="5" bestFit="1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23.5" style="5" bestFit="1" customWidth="1"/>
    <col min="7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6" bestFit="1" customWidth="1"/>
    <col min="20" max="20" width="8.5" style="6" bestFit="1" customWidth="1"/>
    <col min="21" max="21" width="21.1640625" style="5" customWidth="1"/>
    <col min="22" max="16384" width="9.1640625" style="3"/>
  </cols>
  <sheetData>
    <row r="1" spans="1:21" s="2" customFormat="1" ht="29" customHeight="1">
      <c r="A1" s="45" t="s">
        <v>794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8"/>
    </row>
    <row r="2" spans="1:21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/>
    </row>
    <row r="3" spans="1:21" s="1" customFormat="1" ht="12.75" customHeight="1">
      <c r="A3" s="53" t="s">
        <v>898</v>
      </c>
      <c r="B3" s="43" t="s">
        <v>0</v>
      </c>
      <c r="C3" s="55" t="s">
        <v>899</v>
      </c>
      <c r="D3" s="55" t="s">
        <v>5</v>
      </c>
      <c r="E3" s="37" t="s">
        <v>900</v>
      </c>
      <c r="F3" s="37" t="s">
        <v>6</v>
      </c>
      <c r="G3" s="37" t="s">
        <v>7</v>
      </c>
      <c r="H3" s="37"/>
      <c r="I3" s="37"/>
      <c r="J3" s="37"/>
      <c r="K3" s="37" t="s">
        <v>8</v>
      </c>
      <c r="L3" s="37"/>
      <c r="M3" s="37"/>
      <c r="N3" s="37"/>
      <c r="O3" s="37" t="s">
        <v>9</v>
      </c>
      <c r="P3" s="37"/>
      <c r="Q3" s="37"/>
      <c r="R3" s="37"/>
      <c r="S3" s="37" t="s">
        <v>1</v>
      </c>
      <c r="T3" s="37" t="s">
        <v>3</v>
      </c>
      <c r="U3" s="39" t="s">
        <v>2</v>
      </c>
    </row>
    <row r="4" spans="1:21" s="1" customFormat="1" ht="21" customHeight="1" thickBot="1">
      <c r="A4" s="54"/>
      <c r="B4" s="44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8"/>
      <c r="T4" s="38"/>
      <c r="U4" s="40"/>
    </row>
    <row r="5" spans="1:21" ht="16">
      <c r="A5" s="41" t="s">
        <v>10</v>
      </c>
      <c r="B5" s="4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1:21">
      <c r="A6" s="8" t="s">
        <v>74</v>
      </c>
      <c r="B6" s="7" t="s">
        <v>11</v>
      </c>
      <c r="C6" s="7" t="s">
        <v>12</v>
      </c>
      <c r="D6" s="7" t="s">
        <v>13</v>
      </c>
      <c r="E6" s="7" t="s">
        <v>901</v>
      </c>
      <c r="F6" s="7" t="s">
        <v>14</v>
      </c>
      <c r="G6" s="18" t="s">
        <v>15</v>
      </c>
      <c r="H6" s="18" t="s">
        <v>16</v>
      </c>
      <c r="I6" s="8"/>
      <c r="J6" s="8"/>
      <c r="K6" s="18" t="s">
        <v>17</v>
      </c>
      <c r="L6" s="19" t="s">
        <v>18</v>
      </c>
      <c r="M6" s="8"/>
      <c r="N6" s="8"/>
      <c r="O6" s="18" t="s">
        <v>19</v>
      </c>
      <c r="P6" s="18" t="s">
        <v>20</v>
      </c>
      <c r="Q6" s="8"/>
      <c r="R6" s="8"/>
      <c r="S6" s="8" t="str">
        <f>"410,0"</f>
        <v>410,0</v>
      </c>
      <c r="T6" s="8" t="str">
        <f>"361,4560"</f>
        <v>361,4560</v>
      </c>
      <c r="U6" s="7"/>
    </row>
    <row r="7" spans="1:21">
      <c r="B7" s="5" t="s">
        <v>75</v>
      </c>
    </row>
    <row r="8" spans="1:21" ht="16">
      <c r="A8" s="33" t="s">
        <v>21</v>
      </c>
      <c r="B8" s="33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1:21">
      <c r="A9" s="8" t="s">
        <v>74</v>
      </c>
      <c r="B9" s="7" t="s">
        <v>22</v>
      </c>
      <c r="C9" s="7" t="s">
        <v>23</v>
      </c>
      <c r="D9" s="7" t="s">
        <v>24</v>
      </c>
      <c r="E9" s="7" t="s">
        <v>901</v>
      </c>
      <c r="F9" s="7" t="s">
        <v>868</v>
      </c>
      <c r="G9" s="19" t="s">
        <v>25</v>
      </c>
      <c r="H9" s="18" t="s">
        <v>25</v>
      </c>
      <c r="I9" s="19" t="s">
        <v>26</v>
      </c>
      <c r="J9" s="8"/>
      <c r="K9" s="18" t="s">
        <v>27</v>
      </c>
      <c r="L9" s="18" t="s">
        <v>15</v>
      </c>
      <c r="M9" s="19" t="s">
        <v>28</v>
      </c>
      <c r="N9" s="8"/>
      <c r="O9" s="18" t="s">
        <v>20</v>
      </c>
      <c r="P9" s="18" t="s">
        <v>25</v>
      </c>
      <c r="Q9" s="8"/>
      <c r="R9" s="8"/>
      <c r="S9" s="8" t="str">
        <f>"530,0"</f>
        <v>530,0</v>
      </c>
      <c r="T9" s="8" t="str">
        <f>"354,0400"</f>
        <v>354,0400</v>
      </c>
      <c r="U9" s="7"/>
    </row>
    <row r="10" spans="1:21">
      <c r="B10" s="5" t="s">
        <v>75</v>
      </c>
    </row>
    <row r="11" spans="1:21" ht="16">
      <c r="A11" s="33" t="s">
        <v>29</v>
      </c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</row>
    <row r="12" spans="1:21">
      <c r="A12" s="10" t="s">
        <v>74</v>
      </c>
      <c r="B12" s="9" t="s">
        <v>30</v>
      </c>
      <c r="C12" s="9" t="s">
        <v>31</v>
      </c>
      <c r="D12" s="9" t="s">
        <v>32</v>
      </c>
      <c r="E12" s="9" t="s">
        <v>901</v>
      </c>
      <c r="F12" s="9" t="s">
        <v>869</v>
      </c>
      <c r="G12" s="20" t="s">
        <v>33</v>
      </c>
      <c r="H12" s="21" t="s">
        <v>33</v>
      </c>
      <c r="I12" s="21" t="s">
        <v>34</v>
      </c>
      <c r="J12" s="20" t="s">
        <v>35</v>
      </c>
      <c r="K12" s="21" t="s">
        <v>36</v>
      </c>
      <c r="L12" s="21" t="s">
        <v>25</v>
      </c>
      <c r="M12" s="20" t="s">
        <v>37</v>
      </c>
      <c r="N12" s="10"/>
      <c r="O12" s="21" t="s">
        <v>38</v>
      </c>
      <c r="P12" s="21" t="s">
        <v>39</v>
      </c>
      <c r="Q12" s="21" t="s">
        <v>40</v>
      </c>
      <c r="R12" s="10"/>
      <c r="S12" s="10" t="str">
        <f>"775,0"</f>
        <v>775,0</v>
      </c>
      <c r="T12" s="10" t="str">
        <f>"456,7075"</f>
        <v>456,7075</v>
      </c>
      <c r="U12" s="9"/>
    </row>
    <row r="13" spans="1:21">
      <c r="A13" s="12" t="s">
        <v>76</v>
      </c>
      <c r="B13" s="11" t="s">
        <v>41</v>
      </c>
      <c r="C13" s="11" t="s">
        <v>42</v>
      </c>
      <c r="D13" s="11" t="s">
        <v>43</v>
      </c>
      <c r="E13" s="11" t="s">
        <v>901</v>
      </c>
      <c r="F13" s="11" t="s">
        <v>847</v>
      </c>
      <c r="G13" s="22" t="s">
        <v>44</v>
      </c>
      <c r="H13" s="22" t="s">
        <v>45</v>
      </c>
      <c r="I13" s="22" t="s">
        <v>33</v>
      </c>
      <c r="J13" s="12"/>
      <c r="K13" s="22" t="s">
        <v>46</v>
      </c>
      <c r="L13" s="22" t="s">
        <v>47</v>
      </c>
      <c r="M13" s="22" t="s">
        <v>48</v>
      </c>
      <c r="N13" s="12"/>
      <c r="O13" s="22" t="s">
        <v>49</v>
      </c>
      <c r="P13" s="22" t="s">
        <v>50</v>
      </c>
      <c r="Q13" s="22" t="s">
        <v>45</v>
      </c>
      <c r="R13" s="12"/>
      <c r="S13" s="12" t="str">
        <f>"697,5"</f>
        <v>697,5</v>
      </c>
      <c r="T13" s="12" t="str">
        <f>"414,6638"</f>
        <v>414,6638</v>
      </c>
      <c r="U13" s="11" t="s">
        <v>51</v>
      </c>
    </row>
    <row r="14" spans="1:21">
      <c r="B14" s="5" t="s">
        <v>75</v>
      </c>
    </row>
    <row r="15" spans="1:21" ht="16">
      <c r="A15" s="33" t="s">
        <v>52</v>
      </c>
      <c r="B15" s="33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</row>
    <row r="16" spans="1:21">
      <c r="A16" s="10" t="s">
        <v>74</v>
      </c>
      <c r="B16" s="9" t="s">
        <v>53</v>
      </c>
      <c r="C16" s="9" t="s">
        <v>54</v>
      </c>
      <c r="D16" s="9" t="s">
        <v>55</v>
      </c>
      <c r="E16" s="9" t="s">
        <v>901</v>
      </c>
      <c r="F16" s="9" t="s">
        <v>847</v>
      </c>
      <c r="G16" s="21" t="s">
        <v>56</v>
      </c>
      <c r="H16" s="21" t="s">
        <v>57</v>
      </c>
      <c r="I16" s="20" t="s">
        <v>58</v>
      </c>
      <c r="J16" s="10"/>
      <c r="K16" s="21" t="s">
        <v>36</v>
      </c>
      <c r="L16" s="21" t="s">
        <v>59</v>
      </c>
      <c r="M16" s="21" t="s">
        <v>60</v>
      </c>
      <c r="N16" s="10"/>
      <c r="O16" s="21" t="s">
        <v>39</v>
      </c>
      <c r="P16" s="21" t="s">
        <v>40</v>
      </c>
      <c r="Q16" s="20" t="s">
        <v>56</v>
      </c>
      <c r="R16" s="10"/>
      <c r="S16" s="10" t="str">
        <f>"847,5"</f>
        <v>847,5</v>
      </c>
      <c r="T16" s="10" t="str">
        <f>"485,4480"</f>
        <v>485,4480</v>
      </c>
      <c r="U16" s="9"/>
    </row>
    <row r="17" spans="1:21">
      <c r="A17" s="12" t="s">
        <v>76</v>
      </c>
      <c r="B17" s="11" t="s">
        <v>61</v>
      </c>
      <c r="C17" s="11" t="s">
        <v>62</v>
      </c>
      <c r="D17" s="11" t="s">
        <v>63</v>
      </c>
      <c r="E17" s="11" t="s">
        <v>901</v>
      </c>
      <c r="F17" s="11" t="s">
        <v>870</v>
      </c>
      <c r="G17" s="22" t="s">
        <v>45</v>
      </c>
      <c r="H17" s="22" t="s">
        <v>38</v>
      </c>
      <c r="I17" s="22" t="s">
        <v>39</v>
      </c>
      <c r="J17" s="12"/>
      <c r="K17" s="22" t="s">
        <v>19</v>
      </c>
      <c r="L17" s="22" t="s">
        <v>47</v>
      </c>
      <c r="M17" s="22" t="s">
        <v>25</v>
      </c>
      <c r="N17" s="12"/>
      <c r="O17" s="22" t="s">
        <v>38</v>
      </c>
      <c r="P17" s="22" t="s">
        <v>39</v>
      </c>
      <c r="Q17" s="23" t="s">
        <v>64</v>
      </c>
      <c r="R17" s="12"/>
      <c r="S17" s="12" t="str">
        <f>"770,0"</f>
        <v>770,0</v>
      </c>
      <c r="T17" s="12" t="str">
        <f>"448,9870"</f>
        <v>448,9870</v>
      </c>
      <c r="U17" s="11" t="s">
        <v>65</v>
      </c>
    </row>
    <row r="18" spans="1:21">
      <c r="B18" s="5" t="s">
        <v>75</v>
      </c>
    </row>
    <row r="19" spans="1:21">
      <c r="B19" s="5" t="s">
        <v>75</v>
      </c>
    </row>
  </sheetData>
  <mergeCells count="17"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A5:R5"/>
    <mergeCell ref="A8:R8"/>
    <mergeCell ref="A11:R11"/>
    <mergeCell ref="A15:R15"/>
    <mergeCell ref="B3:B4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E740F-C225-4874-85F9-7DB5EE0D586B}">
  <dimension ref="A1:Q11"/>
  <sheetViews>
    <sheetView workbookViewId="0">
      <selection activeCell="E11" sqref="E11"/>
    </sheetView>
  </sheetViews>
  <sheetFormatPr baseColWidth="10" defaultColWidth="9.1640625" defaultRowHeight="13"/>
  <cols>
    <col min="1" max="1" width="7.1640625" style="5" bestFit="1" customWidth="1"/>
    <col min="2" max="2" width="21.33203125" style="5" customWidth="1"/>
    <col min="3" max="3" width="27.5" style="5" bestFit="1" customWidth="1"/>
    <col min="4" max="4" width="20.83203125" style="5" bestFit="1" customWidth="1"/>
    <col min="5" max="5" width="10.1640625" style="5" bestFit="1" customWidth="1"/>
    <col min="6" max="6" width="22.1640625" style="5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5" width="7.6640625" style="6" bestFit="1" customWidth="1"/>
    <col min="16" max="16" width="8.5" style="6" bestFit="1" customWidth="1"/>
    <col min="17" max="17" width="22.83203125" style="5" customWidth="1"/>
    <col min="18" max="16384" width="9.1640625" style="3"/>
  </cols>
  <sheetData>
    <row r="1" spans="1:17" s="2" customFormat="1" ht="29" customHeight="1">
      <c r="A1" s="45" t="s">
        <v>795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8"/>
    </row>
    <row r="2" spans="1:17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2"/>
    </row>
    <row r="3" spans="1:17" s="1" customFormat="1" ht="12.75" customHeight="1">
      <c r="A3" s="53" t="s">
        <v>898</v>
      </c>
      <c r="B3" s="43" t="s">
        <v>0</v>
      </c>
      <c r="C3" s="55" t="s">
        <v>899</v>
      </c>
      <c r="D3" s="55" t="s">
        <v>5</v>
      </c>
      <c r="E3" s="37" t="s">
        <v>900</v>
      </c>
      <c r="F3" s="37" t="s">
        <v>6</v>
      </c>
      <c r="G3" s="37" t="s">
        <v>8</v>
      </c>
      <c r="H3" s="37"/>
      <c r="I3" s="37"/>
      <c r="J3" s="37"/>
      <c r="K3" s="37" t="s">
        <v>9</v>
      </c>
      <c r="L3" s="37"/>
      <c r="M3" s="37"/>
      <c r="N3" s="37"/>
      <c r="O3" s="37" t="s">
        <v>1</v>
      </c>
      <c r="P3" s="37" t="s">
        <v>3</v>
      </c>
      <c r="Q3" s="39" t="s">
        <v>2</v>
      </c>
    </row>
    <row r="4" spans="1:17" s="1" customFormat="1" ht="21" customHeight="1" thickBot="1">
      <c r="A4" s="54"/>
      <c r="B4" s="44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8"/>
      <c r="P4" s="38"/>
      <c r="Q4" s="40"/>
    </row>
    <row r="5" spans="1:17" ht="16">
      <c r="A5" s="41" t="s">
        <v>270</v>
      </c>
      <c r="B5" s="4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7">
      <c r="A6" s="8" t="s">
        <v>74</v>
      </c>
      <c r="B6" s="7" t="s">
        <v>760</v>
      </c>
      <c r="C6" s="7" t="s">
        <v>761</v>
      </c>
      <c r="D6" s="7" t="s">
        <v>762</v>
      </c>
      <c r="E6" s="7" t="s">
        <v>901</v>
      </c>
      <c r="F6" s="7" t="s">
        <v>847</v>
      </c>
      <c r="G6" s="18" t="s">
        <v>86</v>
      </c>
      <c r="H6" s="18" t="s">
        <v>114</v>
      </c>
      <c r="I6" s="19" t="s">
        <v>92</v>
      </c>
      <c r="J6" s="8"/>
      <c r="K6" s="18" t="s">
        <v>91</v>
      </c>
      <c r="L6" s="18" t="s">
        <v>148</v>
      </c>
      <c r="M6" s="18" t="s">
        <v>113</v>
      </c>
      <c r="N6" s="8"/>
      <c r="O6" s="8" t="str">
        <f>"160,0"</f>
        <v>160,0</v>
      </c>
      <c r="P6" s="8" t="str">
        <f>"168,6240"</f>
        <v>168,6240</v>
      </c>
      <c r="Q6" s="7" t="s">
        <v>835</v>
      </c>
    </row>
    <row r="7" spans="1:17">
      <c r="B7" s="5" t="s">
        <v>75</v>
      </c>
    </row>
    <row r="8" spans="1:17" ht="16">
      <c r="A8" s="33" t="s">
        <v>151</v>
      </c>
      <c r="B8" s="33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17">
      <c r="A9" s="10" t="s">
        <v>74</v>
      </c>
      <c r="B9" s="9" t="s">
        <v>312</v>
      </c>
      <c r="C9" s="9" t="s">
        <v>313</v>
      </c>
      <c r="D9" s="9" t="s">
        <v>314</v>
      </c>
      <c r="E9" s="9" t="s">
        <v>901</v>
      </c>
      <c r="F9" s="9" t="s">
        <v>856</v>
      </c>
      <c r="G9" s="20" t="s">
        <v>91</v>
      </c>
      <c r="H9" s="21" t="s">
        <v>91</v>
      </c>
      <c r="I9" s="20" t="s">
        <v>113</v>
      </c>
      <c r="J9" s="10"/>
      <c r="K9" s="21" t="s">
        <v>20</v>
      </c>
      <c r="L9" s="21" t="s">
        <v>150</v>
      </c>
      <c r="M9" s="21" t="s">
        <v>25</v>
      </c>
      <c r="N9" s="10"/>
      <c r="O9" s="10" t="str">
        <f>"300,0"</f>
        <v>300,0</v>
      </c>
      <c r="P9" s="10" t="str">
        <f>"202,4700"</f>
        <v>202,4700</v>
      </c>
      <c r="Q9" s="9"/>
    </row>
    <row r="10" spans="1:17">
      <c r="A10" s="12" t="s">
        <v>74</v>
      </c>
      <c r="B10" s="11" t="s">
        <v>763</v>
      </c>
      <c r="C10" s="11" t="s">
        <v>764</v>
      </c>
      <c r="D10" s="11" t="s">
        <v>654</v>
      </c>
      <c r="E10" s="11" t="s">
        <v>906</v>
      </c>
      <c r="F10" s="11" t="s">
        <v>847</v>
      </c>
      <c r="G10" s="22" t="s">
        <v>87</v>
      </c>
      <c r="H10" s="22" t="s">
        <v>232</v>
      </c>
      <c r="I10" s="22" t="s">
        <v>82</v>
      </c>
      <c r="J10" s="12"/>
      <c r="K10" s="22" t="s">
        <v>94</v>
      </c>
      <c r="L10" s="22" t="s">
        <v>190</v>
      </c>
      <c r="M10" s="22" t="s">
        <v>306</v>
      </c>
      <c r="N10" s="12"/>
      <c r="O10" s="12" t="str">
        <f>"250,0"</f>
        <v>250,0</v>
      </c>
      <c r="P10" s="12" t="str">
        <f>"251,3800"</f>
        <v>251,3800</v>
      </c>
      <c r="Q10" s="11" t="s">
        <v>765</v>
      </c>
    </row>
    <row r="11" spans="1:17">
      <c r="B11" s="5" t="s">
        <v>75</v>
      </c>
    </row>
  </sheetData>
  <mergeCells count="14"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B3:B4"/>
    <mergeCell ref="O3:O4"/>
    <mergeCell ref="P3:P4"/>
    <mergeCell ref="Q3:Q4"/>
    <mergeCell ref="A5:N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F010B-7940-4A28-B491-A88620749D75}">
  <dimension ref="A1:Q11"/>
  <sheetViews>
    <sheetView workbookViewId="0">
      <selection activeCell="E11" sqref="E11"/>
    </sheetView>
  </sheetViews>
  <sheetFormatPr baseColWidth="10" defaultColWidth="9.1640625" defaultRowHeight="13"/>
  <cols>
    <col min="1" max="1" width="7.1640625" style="5" bestFit="1" customWidth="1"/>
    <col min="2" max="2" width="23.5" style="5" customWidth="1"/>
    <col min="3" max="3" width="27.5" style="5" bestFit="1" customWidth="1"/>
    <col min="4" max="4" width="20.83203125" style="5" bestFit="1" customWidth="1"/>
    <col min="5" max="5" width="10.1640625" style="5" bestFit="1" customWidth="1"/>
    <col min="6" max="6" width="20.5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5" width="7.6640625" style="6" bestFit="1" customWidth="1"/>
    <col min="16" max="16" width="8.5" style="6" bestFit="1" customWidth="1"/>
    <col min="17" max="17" width="20.6640625" style="5" customWidth="1"/>
    <col min="18" max="16384" width="9.1640625" style="3"/>
  </cols>
  <sheetData>
    <row r="1" spans="1:17" s="2" customFormat="1" ht="29" customHeight="1">
      <c r="A1" s="45" t="s">
        <v>796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8"/>
    </row>
    <row r="2" spans="1:17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2"/>
    </row>
    <row r="3" spans="1:17" s="1" customFormat="1" ht="12.75" customHeight="1">
      <c r="A3" s="53" t="s">
        <v>898</v>
      </c>
      <c r="B3" s="43" t="s">
        <v>0</v>
      </c>
      <c r="C3" s="55" t="s">
        <v>899</v>
      </c>
      <c r="D3" s="55" t="s">
        <v>5</v>
      </c>
      <c r="E3" s="37" t="s">
        <v>900</v>
      </c>
      <c r="F3" s="37" t="s">
        <v>6</v>
      </c>
      <c r="G3" s="37" t="s">
        <v>8</v>
      </c>
      <c r="H3" s="37"/>
      <c r="I3" s="37"/>
      <c r="J3" s="37"/>
      <c r="K3" s="37" t="s">
        <v>9</v>
      </c>
      <c r="L3" s="37"/>
      <c r="M3" s="37"/>
      <c r="N3" s="37"/>
      <c r="O3" s="37" t="s">
        <v>1</v>
      </c>
      <c r="P3" s="37" t="s">
        <v>3</v>
      </c>
      <c r="Q3" s="39" t="s">
        <v>2</v>
      </c>
    </row>
    <row r="4" spans="1:17" s="1" customFormat="1" ht="21" customHeight="1" thickBot="1">
      <c r="A4" s="54"/>
      <c r="B4" s="44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8"/>
      <c r="P4" s="38"/>
      <c r="Q4" s="40"/>
    </row>
    <row r="5" spans="1:17" ht="16">
      <c r="A5" s="41" t="s">
        <v>270</v>
      </c>
      <c r="B5" s="4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7">
      <c r="A6" s="10" t="s">
        <v>74</v>
      </c>
      <c r="B6" s="9" t="s">
        <v>412</v>
      </c>
      <c r="C6" s="9" t="s">
        <v>413</v>
      </c>
      <c r="D6" s="9" t="s">
        <v>414</v>
      </c>
      <c r="E6" s="9" t="s">
        <v>901</v>
      </c>
      <c r="F6" s="9" t="s">
        <v>847</v>
      </c>
      <c r="G6" s="21" t="s">
        <v>415</v>
      </c>
      <c r="H6" s="20" t="s">
        <v>131</v>
      </c>
      <c r="I6" s="21" t="s">
        <v>131</v>
      </c>
      <c r="J6" s="10"/>
      <c r="K6" s="21" t="s">
        <v>19</v>
      </c>
      <c r="L6" s="21" t="s">
        <v>416</v>
      </c>
      <c r="M6" s="20" t="s">
        <v>20</v>
      </c>
      <c r="N6" s="10"/>
      <c r="O6" s="10" t="str">
        <f>"293,5"</f>
        <v>293,5</v>
      </c>
      <c r="P6" s="10" t="str">
        <f>"301,1604"</f>
        <v>301,1604</v>
      </c>
      <c r="Q6" s="9" t="s">
        <v>417</v>
      </c>
    </row>
    <row r="7" spans="1:17">
      <c r="A7" s="12" t="s">
        <v>74</v>
      </c>
      <c r="B7" s="11" t="s">
        <v>412</v>
      </c>
      <c r="C7" s="11" t="s">
        <v>421</v>
      </c>
      <c r="D7" s="11" t="s">
        <v>414</v>
      </c>
      <c r="E7" s="11" t="s">
        <v>905</v>
      </c>
      <c r="F7" s="11" t="s">
        <v>847</v>
      </c>
      <c r="G7" s="22" t="s">
        <v>415</v>
      </c>
      <c r="H7" s="23" t="s">
        <v>131</v>
      </c>
      <c r="I7" s="22" t="s">
        <v>131</v>
      </c>
      <c r="J7" s="12"/>
      <c r="K7" s="22" t="s">
        <v>19</v>
      </c>
      <c r="L7" s="22" t="s">
        <v>416</v>
      </c>
      <c r="M7" s="23" t="s">
        <v>20</v>
      </c>
      <c r="N7" s="12"/>
      <c r="O7" s="12" t="str">
        <f>"293,5"</f>
        <v>293,5</v>
      </c>
      <c r="P7" s="12" t="str">
        <f>"351,7553"</f>
        <v>351,7553</v>
      </c>
      <c r="Q7" s="11" t="s">
        <v>417</v>
      </c>
    </row>
    <row r="8" spans="1:17">
      <c r="B8" s="5" t="s">
        <v>75</v>
      </c>
    </row>
    <row r="9" spans="1:17" ht="16">
      <c r="A9" s="33" t="s">
        <v>169</v>
      </c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1:17">
      <c r="A10" s="8" t="s">
        <v>74</v>
      </c>
      <c r="B10" s="7" t="s">
        <v>758</v>
      </c>
      <c r="C10" s="7" t="s">
        <v>759</v>
      </c>
      <c r="D10" s="7" t="s">
        <v>616</v>
      </c>
      <c r="E10" s="7" t="s">
        <v>901</v>
      </c>
      <c r="F10" s="7" t="s">
        <v>847</v>
      </c>
      <c r="G10" s="18" t="s">
        <v>19</v>
      </c>
      <c r="H10" s="18" t="s">
        <v>46</v>
      </c>
      <c r="I10" s="19" t="s">
        <v>147</v>
      </c>
      <c r="J10" s="8"/>
      <c r="K10" s="18" t="s">
        <v>103</v>
      </c>
      <c r="L10" s="18" t="s">
        <v>26</v>
      </c>
      <c r="M10" s="18" t="s">
        <v>44</v>
      </c>
      <c r="N10" s="8"/>
      <c r="O10" s="8" t="str">
        <f>"415,0"</f>
        <v>415,0</v>
      </c>
      <c r="P10" s="8" t="str">
        <f>"253,6895"</f>
        <v>253,6895</v>
      </c>
      <c r="Q10" s="7"/>
    </row>
    <row r="11" spans="1:17">
      <c r="B11" s="5" t="s">
        <v>75</v>
      </c>
    </row>
  </sheetData>
  <mergeCells count="14">
    <mergeCell ref="A1:Q2"/>
    <mergeCell ref="A3:A4"/>
    <mergeCell ref="C3:C4"/>
    <mergeCell ref="D3:D4"/>
    <mergeCell ref="E3:E4"/>
    <mergeCell ref="F3:F4"/>
    <mergeCell ref="G3:J3"/>
    <mergeCell ref="K3:N3"/>
    <mergeCell ref="A9:N9"/>
    <mergeCell ref="B3:B4"/>
    <mergeCell ref="O3:O4"/>
    <mergeCell ref="P3:P4"/>
    <mergeCell ref="Q3:Q4"/>
    <mergeCell ref="A5:N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D5E7F-31A5-4C66-97A7-358770597F73}">
  <dimension ref="A1:M97"/>
  <sheetViews>
    <sheetView topLeftCell="A58" workbookViewId="0">
      <selection activeCell="E79" sqref="E79"/>
    </sheetView>
  </sheetViews>
  <sheetFormatPr baseColWidth="10" defaultColWidth="9.1640625" defaultRowHeight="13"/>
  <cols>
    <col min="1" max="1" width="7.1640625" style="5" bestFit="1" customWidth="1"/>
    <col min="2" max="2" width="22.5" style="5" bestFit="1" customWidth="1"/>
    <col min="3" max="3" width="27.83203125" style="5" customWidth="1"/>
    <col min="4" max="4" width="20.83203125" style="5" bestFit="1" customWidth="1"/>
    <col min="5" max="5" width="13.1640625" style="5" customWidth="1"/>
    <col min="6" max="6" width="20.5" style="5" bestFit="1" customWidth="1"/>
    <col min="7" max="9" width="5.5" style="6" customWidth="1"/>
    <col min="10" max="10" width="4.5" style="6" customWidth="1"/>
    <col min="11" max="11" width="10.5" style="29" bestFit="1" customWidth="1"/>
    <col min="12" max="12" width="8.5" style="6" bestFit="1" customWidth="1"/>
    <col min="13" max="13" width="25.83203125" style="5" bestFit="1" customWidth="1"/>
    <col min="14" max="16384" width="9.1640625" style="3"/>
  </cols>
  <sheetData>
    <row r="1" spans="1:13" s="2" customFormat="1" ht="29" customHeight="1">
      <c r="A1" s="45" t="s">
        <v>797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898</v>
      </c>
      <c r="B3" s="43" t="s">
        <v>0</v>
      </c>
      <c r="C3" s="55" t="s">
        <v>899</v>
      </c>
      <c r="D3" s="55" t="s">
        <v>5</v>
      </c>
      <c r="E3" s="37" t="s">
        <v>900</v>
      </c>
      <c r="F3" s="37" t="s">
        <v>6</v>
      </c>
      <c r="G3" s="37" t="s">
        <v>8</v>
      </c>
      <c r="H3" s="37"/>
      <c r="I3" s="37"/>
      <c r="J3" s="37"/>
      <c r="K3" s="35" t="s">
        <v>406</v>
      </c>
      <c r="L3" s="37" t="s">
        <v>3</v>
      </c>
      <c r="M3" s="39" t="s">
        <v>2</v>
      </c>
    </row>
    <row r="4" spans="1:13" s="1" customFormat="1" ht="21" customHeight="1" thickBot="1">
      <c r="A4" s="54"/>
      <c r="B4" s="44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36"/>
      <c r="L4" s="38"/>
      <c r="M4" s="40"/>
    </row>
    <row r="5" spans="1:13" ht="16">
      <c r="A5" s="41" t="s">
        <v>498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8" t="s">
        <v>74</v>
      </c>
      <c r="B6" s="7" t="s">
        <v>499</v>
      </c>
      <c r="C6" s="7" t="s">
        <v>500</v>
      </c>
      <c r="D6" s="7" t="s">
        <v>501</v>
      </c>
      <c r="E6" s="7" t="s">
        <v>901</v>
      </c>
      <c r="F6" s="7" t="s">
        <v>847</v>
      </c>
      <c r="G6" s="18" t="s">
        <v>259</v>
      </c>
      <c r="H6" s="18" t="s">
        <v>249</v>
      </c>
      <c r="I6" s="19" t="s">
        <v>86</v>
      </c>
      <c r="J6" s="8"/>
      <c r="K6" s="28" t="str">
        <f>"42,5"</f>
        <v>42,5</v>
      </c>
      <c r="L6" s="8" t="str">
        <f>"60,2990"</f>
        <v>60,2990</v>
      </c>
      <c r="M6" s="7" t="s">
        <v>502</v>
      </c>
    </row>
    <row r="7" spans="1:13">
      <c r="B7" s="5" t="s">
        <v>75</v>
      </c>
    </row>
    <row r="8" spans="1:13" ht="16">
      <c r="A8" s="33" t="s">
        <v>222</v>
      </c>
      <c r="B8" s="33"/>
      <c r="C8" s="34"/>
      <c r="D8" s="34"/>
      <c r="E8" s="34"/>
      <c r="F8" s="34"/>
      <c r="G8" s="34"/>
      <c r="H8" s="34"/>
      <c r="I8" s="34"/>
      <c r="J8" s="34"/>
    </row>
    <row r="9" spans="1:13">
      <c r="A9" s="10" t="s">
        <v>74</v>
      </c>
      <c r="B9" s="9" t="s">
        <v>223</v>
      </c>
      <c r="C9" s="9" t="s">
        <v>224</v>
      </c>
      <c r="D9" s="9" t="s">
        <v>225</v>
      </c>
      <c r="E9" s="9" t="s">
        <v>901</v>
      </c>
      <c r="F9" s="9" t="s">
        <v>846</v>
      </c>
      <c r="G9" s="21" t="s">
        <v>226</v>
      </c>
      <c r="H9" s="21" t="s">
        <v>227</v>
      </c>
      <c r="I9" s="20" t="s">
        <v>228</v>
      </c>
      <c r="J9" s="10"/>
      <c r="K9" s="30" t="str">
        <f>"62,5"</f>
        <v>62,5</v>
      </c>
      <c r="L9" s="10" t="str">
        <f>"80,2875"</f>
        <v>80,2875</v>
      </c>
      <c r="M9" s="9"/>
    </row>
    <row r="10" spans="1:13">
      <c r="A10" s="25" t="s">
        <v>76</v>
      </c>
      <c r="B10" s="24" t="s">
        <v>503</v>
      </c>
      <c r="C10" s="24" t="s">
        <v>504</v>
      </c>
      <c r="D10" s="24" t="s">
        <v>505</v>
      </c>
      <c r="E10" s="24" t="s">
        <v>901</v>
      </c>
      <c r="F10" s="24" t="s">
        <v>871</v>
      </c>
      <c r="G10" s="26" t="s">
        <v>93</v>
      </c>
      <c r="H10" s="26" t="s">
        <v>226</v>
      </c>
      <c r="I10" s="27" t="s">
        <v>242</v>
      </c>
      <c r="J10" s="25"/>
      <c r="K10" s="32" t="str">
        <f>"57,5"</f>
        <v>57,5</v>
      </c>
      <c r="L10" s="25" t="str">
        <f>"72,1107"</f>
        <v>72,1107</v>
      </c>
      <c r="M10" s="24" t="s">
        <v>506</v>
      </c>
    </row>
    <row r="11" spans="1:13">
      <c r="A11" s="12" t="s">
        <v>221</v>
      </c>
      <c r="B11" s="11" t="s">
        <v>507</v>
      </c>
      <c r="C11" s="11" t="s">
        <v>508</v>
      </c>
      <c r="D11" s="11" t="s">
        <v>509</v>
      </c>
      <c r="E11" s="11" t="s">
        <v>901</v>
      </c>
      <c r="F11" s="11" t="s">
        <v>847</v>
      </c>
      <c r="G11" s="22" t="s">
        <v>253</v>
      </c>
      <c r="H11" s="22" t="s">
        <v>259</v>
      </c>
      <c r="I11" s="23" t="s">
        <v>84</v>
      </c>
      <c r="J11" s="12"/>
      <c r="K11" s="31" t="str">
        <f>"35,0"</f>
        <v>35,0</v>
      </c>
      <c r="L11" s="12" t="str">
        <f>"43,6975"</f>
        <v>43,6975</v>
      </c>
      <c r="M11" s="11" t="s">
        <v>502</v>
      </c>
    </row>
    <row r="12" spans="1:13">
      <c r="B12" s="5" t="s">
        <v>75</v>
      </c>
    </row>
    <row r="13" spans="1:13" ht="16">
      <c r="A13" s="33" t="s">
        <v>118</v>
      </c>
      <c r="B13" s="33"/>
      <c r="C13" s="34"/>
      <c r="D13" s="34"/>
      <c r="E13" s="34"/>
      <c r="F13" s="34"/>
      <c r="G13" s="34"/>
      <c r="H13" s="34"/>
      <c r="I13" s="34"/>
      <c r="J13" s="34"/>
    </row>
    <row r="14" spans="1:13">
      <c r="A14" s="10" t="s">
        <v>74</v>
      </c>
      <c r="B14" s="9" t="s">
        <v>510</v>
      </c>
      <c r="C14" s="9" t="s">
        <v>511</v>
      </c>
      <c r="D14" s="9" t="s">
        <v>258</v>
      </c>
      <c r="E14" s="9" t="s">
        <v>901</v>
      </c>
      <c r="F14" s="9" t="s">
        <v>850</v>
      </c>
      <c r="G14" s="21" t="s">
        <v>512</v>
      </c>
      <c r="H14" s="20" t="s">
        <v>87</v>
      </c>
      <c r="I14" s="21" t="s">
        <v>87</v>
      </c>
      <c r="J14" s="10"/>
      <c r="K14" s="30" t="str">
        <f>"82,5"</f>
        <v>82,5</v>
      </c>
      <c r="L14" s="10" t="str">
        <f>"98,4473"</f>
        <v>98,4473</v>
      </c>
      <c r="M14" s="9" t="s">
        <v>828</v>
      </c>
    </row>
    <row r="15" spans="1:13">
      <c r="A15" s="25" t="s">
        <v>76</v>
      </c>
      <c r="B15" s="24" t="s">
        <v>513</v>
      </c>
      <c r="C15" s="24" t="s">
        <v>514</v>
      </c>
      <c r="D15" s="24" t="s">
        <v>128</v>
      </c>
      <c r="E15" s="24" t="s">
        <v>901</v>
      </c>
      <c r="F15" s="24" t="s">
        <v>847</v>
      </c>
      <c r="G15" s="26" t="s">
        <v>93</v>
      </c>
      <c r="H15" s="27" t="s">
        <v>242</v>
      </c>
      <c r="I15" s="27" t="s">
        <v>242</v>
      </c>
      <c r="J15" s="25"/>
      <c r="K15" s="32" t="str">
        <f>"55,0"</f>
        <v>55,0</v>
      </c>
      <c r="L15" s="25" t="str">
        <f>"65,1695"</f>
        <v>65,1695</v>
      </c>
      <c r="M15" s="24" t="s">
        <v>818</v>
      </c>
    </row>
    <row r="16" spans="1:13">
      <c r="A16" s="12" t="s">
        <v>74</v>
      </c>
      <c r="B16" s="11" t="s">
        <v>510</v>
      </c>
      <c r="C16" s="11" t="s">
        <v>515</v>
      </c>
      <c r="D16" s="11" t="s">
        <v>258</v>
      </c>
      <c r="E16" s="11" t="s">
        <v>902</v>
      </c>
      <c r="F16" s="11" t="s">
        <v>850</v>
      </c>
      <c r="G16" s="22" t="s">
        <v>512</v>
      </c>
      <c r="H16" s="23" t="s">
        <v>87</v>
      </c>
      <c r="I16" s="22" t="s">
        <v>87</v>
      </c>
      <c r="J16" s="12"/>
      <c r="K16" s="31" t="str">
        <f>"82,5"</f>
        <v>82,5</v>
      </c>
      <c r="L16" s="12" t="str">
        <f>"104,3541"</f>
        <v>104,3541</v>
      </c>
      <c r="M16" s="11" t="s">
        <v>828</v>
      </c>
    </row>
    <row r="17" spans="1:13">
      <c r="B17" s="5" t="s">
        <v>75</v>
      </c>
    </row>
    <row r="18" spans="1:13" ht="16">
      <c r="A18" s="33" t="s">
        <v>10</v>
      </c>
      <c r="B18" s="33"/>
      <c r="C18" s="34"/>
      <c r="D18" s="34"/>
      <c r="E18" s="34"/>
      <c r="F18" s="34"/>
      <c r="G18" s="34"/>
      <c r="H18" s="34"/>
      <c r="I18" s="34"/>
      <c r="J18" s="34"/>
    </row>
    <row r="19" spans="1:13">
      <c r="A19" s="10" t="s">
        <v>74</v>
      </c>
      <c r="B19" s="9" t="s">
        <v>516</v>
      </c>
      <c r="C19" s="9" t="s">
        <v>517</v>
      </c>
      <c r="D19" s="9" t="s">
        <v>518</v>
      </c>
      <c r="E19" s="9" t="s">
        <v>909</v>
      </c>
      <c r="F19" s="9" t="s">
        <v>872</v>
      </c>
      <c r="G19" s="21" t="s">
        <v>84</v>
      </c>
      <c r="H19" s="21" t="s">
        <v>85</v>
      </c>
      <c r="I19" s="20" t="s">
        <v>114</v>
      </c>
      <c r="J19" s="10"/>
      <c r="K19" s="30" t="str">
        <f>"45,0"</f>
        <v>45,0</v>
      </c>
      <c r="L19" s="10" t="str">
        <f>"51,3045"</f>
        <v>51,3045</v>
      </c>
      <c r="M19" s="9" t="s">
        <v>829</v>
      </c>
    </row>
    <row r="20" spans="1:13">
      <c r="A20" s="12" t="s">
        <v>74</v>
      </c>
      <c r="B20" s="11" t="s">
        <v>519</v>
      </c>
      <c r="C20" s="11" t="s">
        <v>520</v>
      </c>
      <c r="D20" s="11" t="s">
        <v>521</v>
      </c>
      <c r="E20" s="11" t="s">
        <v>901</v>
      </c>
      <c r="F20" s="11" t="s">
        <v>847</v>
      </c>
      <c r="G20" s="23" t="s">
        <v>259</v>
      </c>
      <c r="H20" s="23" t="s">
        <v>84</v>
      </c>
      <c r="I20" s="22" t="s">
        <v>84</v>
      </c>
      <c r="J20" s="12"/>
      <c r="K20" s="31" t="str">
        <f>"40,0"</f>
        <v>40,0</v>
      </c>
      <c r="L20" s="12" t="str">
        <f>"45,7280"</f>
        <v>45,7280</v>
      </c>
      <c r="M20" s="11" t="s">
        <v>502</v>
      </c>
    </row>
    <row r="21" spans="1:13">
      <c r="B21" s="5" t="s">
        <v>75</v>
      </c>
    </row>
    <row r="22" spans="1:13" ht="16">
      <c r="A22" s="33" t="s">
        <v>137</v>
      </c>
      <c r="B22" s="33"/>
      <c r="C22" s="34"/>
      <c r="D22" s="34"/>
      <c r="E22" s="34"/>
      <c r="F22" s="34"/>
      <c r="G22" s="34"/>
      <c r="H22" s="34"/>
      <c r="I22" s="34"/>
      <c r="J22" s="34"/>
    </row>
    <row r="23" spans="1:13">
      <c r="A23" s="10" t="s">
        <v>74</v>
      </c>
      <c r="B23" s="9" t="s">
        <v>522</v>
      </c>
      <c r="C23" s="9" t="s">
        <v>523</v>
      </c>
      <c r="D23" s="9" t="s">
        <v>524</v>
      </c>
      <c r="E23" s="9" t="s">
        <v>901</v>
      </c>
      <c r="F23" s="9" t="s">
        <v>850</v>
      </c>
      <c r="G23" s="21" t="s">
        <v>114</v>
      </c>
      <c r="H23" s="20" t="s">
        <v>93</v>
      </c>
      <c r="I23" s="21" t="s">
        <v>93</v>
      </c>
      <c r="J23" s="10"/>
      <c r="K23" s="30" t="str">
        <f>"55,0"</f>
        <v>55,0</v>
      </c>
      <c r="L23" s="10" t="str">
        <f>"53,1960"</f>
        <v>53,1960</v>
      </c>
      <c r="M23" s="9" t="s">
        <v>828</v>
      </c>
    </row>
    <row r="24" spans="1:13">
      <c r="A24" s="12" t="s">
        <v>74</v>
      </c>
      <c r="B24" s="11" t="s">
        <v>522</v>
      </c>
      <c r="C24" s="11" t="s">
        <v>525</v>
      </c>
      <c r="D24" s="11" t="s">
        <v>524</v>
      </c>
      <c r="E24" s="11" t="s">
        <v>905</v>
      </c>
      <c r="F24" s="11" t="s">
        <v>850</v>
      </c>
      <c r="G24" s="22" t="s">
        <v>114</v>
      </c>
      <c r="H24" s="23" t="s">
        <v>93</v>
      </c>
      <c r="I24" s="22" t="s">
        <v>93</v>
      </c>
      <c r="J24" s="12"/>
      <c r="K24" s="31" t="str">
        <f>"55,0"</f>
        <v>55,0</v>
      </c>
      <c r="L24" s="12" t="str">
        <f>"71,8146"</f>
        <v>71,8146</v>
      </c>
      <c r="M24" s="11" t="s">
        <v>828</v>
      </c>
    </row>
    <row r="25" spans="1:13">
      <c r="B25" s="5" t="s">
        <v>75</v>
      </c>
    </row>
    <row r="26" spans="1:13" ht="16">
      <c r="A26" s="33" t="s">
        <v>151</v>
      </c>
      <c r="B26" s="33"/>
      <c r="C26" s="34"/>
      <c r="D26" s="34"/>
      <c r="E26" s="34"/>
      <c r="F26" s="34"/>
      <c r="G26" s="34"/>
      <c r="H26" s="34"/>
      <c r="I26" s="34"/>
      <c r="J26" s="34"/>
    </row>
    <row r="27" spans="1:13">
      <c r="A27" s="8" t="s">
        <v>74</v>
      </c>
      <c r="B27" s="7" t="s">
        <v>526</v>
      </c>
      <c r="C27" s="7" t="s">
        <v>527</v>
      </c>
      <c r="D27" s="7" t="s">
        <v>528</v>
      </c>
      <c r="E27" s="7" t="s">
        <v>901</v>
      </c>
      <c r="F27" s="7" t="s">
        <v>873</v>
      </c>
      <c r="G27" s="18" t="s">
        <v>133</v>
      </c>
      <c r="H27" s="18" t="s">
        <v>124</v>
      </c>
      <c r="I27" s="18" t="s">
        <v>512</v>
      </c>
      <c r="J27" s="8"/>
      <c r="K27" s="28" t="str">
        <f>"77,5"</f>
        <v>77,5</v>
      </c>
      <c r="L27" s="8" t="str">
        <f>"71,0132"</f>
        <v>71,0132</v>
      </c>
      <c r="M27" s="7" t="s">
        <v>430</v>
      </c>
    </row>
    <row r="28" spans="1:13">
      <c r="B28" s="5" t="s">
        <v>75</v>
      </c>
    </row>
    <row r="29" spans="1:13" ht="16">
      <c r="A29" s="33" t="s">
        <v>10</v>
      </c>
      <c r="B29" s="33"/>
      <c r="C29" s="34"/>
      <c r="D29" s="34"/>
      <c r="E29" s="34"/>
      <c r="F29" s="34"/>
      <c r="G29" s="34"/>
      <c r="H29" s="34"/>
      <c r="I29" s="34"/>
      <c r="J29" s="34"/>
    </row>
    <row r="30" spans="1:13">
      <c r="A30" s="8" t="s">
        <v>74</v>
      </c>
      <c r="B30" s="7" t="s">
        <v>286</v>
      </c>
      <c r="C30" s="7" t="s">
        <v>287</v>
      </c>
      <c r="D30" s="7" t="s">
        <v>268</v>
      </c>
      <c r="E30" s="7" t="s">
        <v>901</v>
      </c>
      <c r="F30" s="7" t="s">
        <v>851</v>
      </c>
      <c r="G30" s="18" t="s">
        <v>111</v>
      </c>
      <c r="H30" s="18" t="s">
        <v>130</v>
      </c>
      <c r="I30" s="19" t="s">
        <v>131</v>
      </c>
      <c r="J30" s="8"/>
      <c r="K30" s="28" t="str">
        <f>"112,5"</f>
        <v>112,5</v>
      </c>
      <c r="L30" s="8" t="str">
        <f>"97,5938"</f>
        <v>97,5938</v>
      </c>
      <c r="M30" s="7" t="s">
        <v>814</v>
      </c>
    </row>
    <row r="31" spans="1:13">
      <c r="B31" s="5" t="s">
        <v>75</v>
      </c>
    </row>
    <row r="32" spans="1:13" ht="16">
      <c r="A32" s="33" t="s">
        <v>270</v>
      </c>
      <c r="B32" s="33"/>
      <c r="C32" s="34"/>
      <c r="D32" s="34"/>
      <c r="E32" s="34"/>
      <c r="F32" s="34"/>
      <c r="G32" s="34"/>
      <c r="H32" s="34"/>
      <c r="I32" s="34"/>
      <c r="J32" s="34"/>
    </row>
    <row r="33" spans="1:13">
      <c r="A33" s="8" t="s">
        <v>74</v>
      </c>
      <c r="B33" s="7" t="s">
        <v>529</v>
      </c>
      <c r="C33" s="7" t="s">
        <v>530</v>
      </c>
      <c r="D33" s="7" t="s">
        <v>420</v>
      </c>
      <c r="E33" s="7" t="s">
        <v>901</v>
      </c>
      <c r="F33" s="7" t="s">
        <v>847</v>
      </c>
      <c r="G33" s="18" t="s">
        <v>91</v>
      </c>
      <c r="H33" s="18" t="s">
        <v>148</v>
      </c>
      <c r="I33" s="19" t="s">
        <v>129</v>
      </c>
      <c r="J33" s="8"/>
      <c r="K33" s="28" t="str">
        <f>"105,0"</f>
        <v>105,0</v>
      </c>
      <c r="L33" s="8" t="str">
        <f>"80,9550"</f>
        <v>80,9550</v>
      </c>
      <c r="M33" s="7"/>
    </row>
    <row r="34" spans="1:13">
      <c r="B34" s="5" t="s">
        <v>75</v>
      </c>
    </row>
    <row r="35" spans="1:13" ht="16">
      <c r="A35" s="33" t="s">
        <v>137</v>
      </c>
      <c r="B35" s="33"/>
      <c r="C35" s="34"/>
      <c r="D35" s="34"/>
      <c r="E35" s="34"/>
      <c r="F35" s="34"/>
      <c r="G35" s="34"/>
      <c r="H35" s="34"/>
      <c r="I35" s="34"/>
      <c r="J35" s="34"/>
    </row>
    <row r="36" spans="1:13">
      <c r="A36" s="10" t="s">
        <v>74</v>
      </c>
      <c r="B36" s="9" t="s">
        <v>531</v>
      </c>
      <c r="C36" s="9" t="s">
        <v>532</v>
      </c>
      <c r="D36" s="9" t="s">
        <v>533</v>
      </c>
      <c r="E36" s="9" t="s">
        <v>909</v>
      </c>
      <c r="F36" s="9" t="s">
        <v>850</v>
      </c>
      <c r="G36" s="21" t="s">
        <v>102</v>
      </c>
      <c r="H36" s="20" t="s">
        <v>28</v>
      </c>
      <c r="I36" s="20" t="s">
        <v>28</v>
      </c>
      <c r="J36" s="10"/>
      <c r="K36" s="30" t="str">
        <f>"125,0"</f>
        <v>125,0</v>
      </c>
      <c r="L36" s="10" t="str">
        <f>"90,5250"</f>
        <v>90,5250</v>
      </c>
      <c r="M36" s="9" t="s">
        <v>828</v>
      </c>
    </row>
    <row r="37" spans="1:13">
      <c r="A37" s="25" t="s">
        <v>74</v>
      </c>
      <c r="B37" s="24" t="s">
        <v>534</v>
      </c>
      <c r="C37" s="24" t="s">
        <v>535</v>
      </c>
      <c r="D37" s="24" t="s">
        <v>536</v>
      </c>
      <c r="E37" s="24" t="s">
        <v>901</v>
      </c>
      <c r="F37" s="24" t="s">
        <v>847</v>
      </c>
      <c r="G37" s="26" t="s">
        <v>15</v>
      </c>
      <c r="H37" s="26" t="s">
        <v>244</v>
      </c>
      <c r="I37" s="27" t="s">
        <v>123</v>
      </c>
      <c r="J37" s="25"/>
      <c r="K37" s="32" t="str">
        <f>"142,5"</f>
        <v>142,5</v>
      </c>
      <c r="L37" s="25" t="str">
        <f>"104,8800"</f>
        <v>104,8800</v>
      </c>
      <c r="M37" s="24" t="s">
        <v>537</v>
      </c>
    </row>
    <row r="38" spans="1:13">
      <c r="A38" s="25" t="s">
        <v>76</v>
      </c>
      <c r="B38" s="24" t="s">
        <v>538</v>
      </c>
      <c r="C38" s="24" t="s">
        <v>539</v>
      </c>
      <c r="D38" s="24" t="s">
        <v>540</v>
      </c>
      <c r="E38" s="24" t="s">
        <v>901</v>
      </c>
      <c r="F38" s="24" t="s">
        <v>847</v>
      </c>
      <c r="G38" s="26" t="s">
        <v>131</v>
      </c>
      <c r="H38" s="26" t="s">
        <v>269</v>
      </c>
      <c r="I38" s="26" t="s">
        <v>102</v>
      </c>
      <c r="J38" s="25"/>
      <c r="K38" s="32" t="str">
        <f>"125,0"</f>
        <v>125,0</v>
      </c>
      <c r="L38" s="25" t="str">
        <f>"89,1500"</f>
        <v>89,1500</v>
      </c>
      <c r="M38" s="24"/>
    </row>
    <row r="39" spans="1:13">
      <c r="A39" s="12" t="s">
        <v>221</v>
      </c>
      <c r="B39" s="11" t="s">
        <v>541</v>
      </c>
      <c r="C39" s="11" t="s">
        <v>542</v>
      </c>
      <c r="D39" s="11" t="s">
        <v>543</v>
      </c>
      <c r="E39" s="11" t="s">
        <v>901</v>
      </c>
      <c r="F39" s="11" t="s">
        <v>847</v>
      </c>
      <c r="G39" s="23" t="s">
        <v>131</v>
      </c>
      <c r="H39" s="22" t="s">
        <v>131</v>
      </c>
      <c r="I39" s="22" t="s">
        <v>269</v>
      </c>
      <c r="J39" s="12"/>
      <c r="K39" s="31" t="str">
        <f>"122,5"</f>
        <v>122,5</v>
      </c>
      <c r="L39" s="12" t="str">
        <f>"87,4528"</f>
        <v>87,4528</v>
      </c>
      <c r="M39" s="11"/>
    </row>
    <row r="40" spans="1:13">
      <c r="B40" s="5" t="s">
        <v>75</v>
      </c>
    </row>
    <row r="41" spans="1:13" ht="16">
      <c r="A41" s="33" t="s">
        <v>151</v>
      </c>
      <c r="B41" s="33"/>
      <c r="C41" s="34"/>
      <c r="D41" s="34"/>
      <c r="E41" s="34"/>
      <c r="F41" s="34"/>
      <c r="G41" s="34"/>
      <c r="H41" s="34"/>
      <c r="I41" s="34"/>
      <c r="J41" s="34"/>
    </row>
    <row r="42" spans="1:13">
      <c r="A42" s="10" t="s">
        <v>74</v>
      </c>
      <c r="B42" s="9" t="s">
        <v>544</v>
      </c>
      <c r="C42" s="9" t="s">
        <v>545</v>
      </c>
      <c r="D42" s="9" t="s">
        <v>546</v>
      </c>
      <c r="E42" s="9" t="s">
        <v>909</v>
      </c>
      <c r="F42" s="9" t="s">
        <v>849</v>
      </c>
      <c r="G42" s="20" t="s">
        <v>28</v>
      </c>
      <c r="H42" s="21" t="s">
        <v>28</v>
      </c>
      <c r="I42" s="20" t="s">
        <v>123</v>
      </c>
      <c r="J42" s="10"/>
      <c r="K42" s="30" t="str">
        <f>"135,0"</f>
        <v>135,0</v>
      </c>
      <c r="L42" s="10" t="str">
        <f>"93,5145"</f>
        <v>93,5145</v>
      </c>
      <c r="M42" s="9" t="s">
        <v>547</v>
      </c>
    </row>
    <row r="43" spans="1:13">
      <c r="A43" s="25" t="s">
        <v>76</v>
      </c>
      <c r="B43" s="24" t="s">
        <v>548</v>
      </c>
      <c r="C43" s="24" t="s">
        <v>549</v>
      </c>
      <c r="D43" s="24" t="s">
        <v>320</v>
      </c>
      <c r="E43" s="24" t="s">
        <v>909</v>
      </c>
      <c r="F43" s="24" t="s">
        <v>874</v>
      </c>
      <c r="G43" s="26" t="s">
        <v>113</v>
      </c>
      <c r="H43" s="26" t="s">
        <v>130</v>
      </c>
      <c r="I43" s="26" t="s">
        <v>149</v>
      </c>
      <c r="J43" s="25"/>
      <c r="K43" s="32" t="str">
        <f>"115,0"</f>
        <v>115,0</v>
      </c>
      <c r="L43" s="25" t="str">
        <f>"79,2120"</f>
        <v>79,2120</v>
      </c>
      <c r="M43" s="24" t="s">
        <v>807</v>
      </c>
    </row>
    <row r="44" spans="1:13">
      <c r="A44" s="25" t="s">
        <v>74</v>
      </c>
      <c r="B44" s="24" t="s">
        <v>550</v>
      </c>
      <c r="C44" s="24" t="s">
        <v>551</v>
      </c>
      <c r="D44" s="24" t="s">
        <v>552</v>
      </c>
      <c r="E44" s="24" t="s">
        <v>904</v>
      </c>
      <c r="F44" s="24" t="s">
        <v>875</v>
      </c>
      <c r="G44" s="26" t="s">
        <v>148</v>
      </c>
      <c r="H44" s="26" t="s">
        <v>149</v>
      </c>
      <c r="I44" s="27" t="s">
        <v>27</v>
      </c>
      <c r="J44" s="25"/>
      <c r="K44" s="32" t="str">
        <f>"115,0"</f>
        <v>115,0</v>
      </c>
      <c r="L44" s="25" t="str">
        <f>"78,0850"</f>
        <v>78,0850</v>
      </c>
      <c r="M44" s="24" t="s">
        <v>830</v>
      </c>
    </row>
    <row r="45" spans="1:13">
      <c r="A45" s="25" t="s">
        <v>74</v>
      </c>
      <c r="B45" s="24" t="s">
        <v>553</v>
      </c>
      <c r="C45" s="24" t="s">
        <v>554</v>
      </c>
      <c r="D45" s="24" t="s">
        <v>314</v>
      </c>
      <c r="E45" s="24" t="s">
        <v>901</v>
      </c>
      <c r="F45" s="24" t="s">
        <v>858</v>
      </c>
      <c r="G45" s="26" t="s">
        <v>95</v>
      </c>
      <c r="H45" s="26" t="s">
        <v>146</v>
      </c>
      <c r="I45" s="27" t="s">
        <v>306</v>
      </c>
      <c r="J45" s="25"/>
      <c r="K45" s="32" t="str">
        <f>"160,0"</f>
        <v>160,0</v>
      </c>
      <c r="L45" s="25" t="str">
        <f>"107,9840"</f>
        <v>107,9840</v>
      </c>
      <c r="M45" s="24"/>
    </row>
    <row r="46" spans="1:13">
      <c r="A46" s="25" t="s">
        <v>76</v>
      </c>
      <c r="B46" s="24" t="s">
        <v>555</v>
      </c>
      <c r="C46" s="24" t="s">
        <v>556</v>
      </c>
      <c r="D46" s="24" t="s">
        <v>557</v>
      </c>
      <c r="E46" s="24" t="s">
        <v>901</v>
      </c>
      <c r="F46" s="24" t="s">
        <v>847</v>
      </c>
      <c r="G46" s="26" t="s">
        <v>94</v>
      </c>
      <c r="H46" s="27" t="s">
        <v>146</v>
      </c>
      <c r="I46" s="27" t="s">
        <v>146</v>
      </c>
      <c r="J46" s="25"/>
      <c r="K46" s="32" t="str">
        <f>"150,0"</f>
        <v>150,0</v>
      </c>
      <c r="L46" s="25" t="str">
        <f>"101,5350"</f>
        <v>101,5350</v>
      </c>
      <c r="M46" s="24"/>
    </row>
    <row r="47" spans="1:13">
      <c r="A47" s="25" t="s">
        <v>220</v>
      </c>
      <c r="B47" s="24" t="s">
        <v>318</v>
      </c>
      <c r="C47" s="24" t="s">
        <v>319</v>
      </c>
      <c r="D47" s="24" t="s">
        <v>320</v>
      </c>
      <c r="E47" s="24" t="s">
        <v>901</v>
      </c>
      <c r="F47" s="24" t="s">
        <v>857</v>
      </c>
      <c r="G47" s="27" t="s">
        <v>94</v>
      </c>
      <c r="H47" s="27" t="s">
        <v>94</v>
      </c>
      <c r="I47" s="27" t="s">
        <v>94</v>
      </c>
      <c r="J47" s="25"/>
      <c r="K47" s="32">
        <v>0</v>
      </c>
      <c r="L47" s="25" t="str">
        <f>"0,0000"</f>
        <v>0,0000</v>
      </c>
      <c r="M47" s="24"/>
    </row>
    <row r="48" spans="1:13">
      <c r="A48" s="25" t="s">
        <v>220</v>
      </c>
      <c r="B48" s="24" t="s">
        <v>558</v>
      </c>
      <c r="C48" s="24" t="s">
        <v>559</v>
      </c>
      <c r="D48" s="24" t="s">
        <v>560</v>
      </c>
      <c r="E48" s="24" t="s">
        <v>901</v>
      </c>
      <c r="F48" s="24" t="s">
        <v>561</v>
      </c>
      <c r="G48" s="27" t="s">
        <v>28</v>
      </c>
      <c r="H48" s="27" t="s">
        <v>28</v>
      </c>
      <c r="I48" s="25"/>
      <c r="J48" s="25"/>
      <c r="K48" s="32">
        <v>0</v>
      </c>
      <c r="L48" s="25" t="str">
        <f>"0,0000"</f>
        <v>0,0000</v>
      </c>
      <c r="M48" s="24"/>
    </row>
    <row r="49" spans="1:13">
      <c r="A49" s="25" t="s">
        <v>220</v>
      </c>
      <c r="B49" s="24" t="s">
        <v>562</v>
      </c>
      <c r="C49" s="24" t="s">
        <v>563</v>
      </c>
      <c r="D49" s="24" t="s">
        <v>564</v>
      </c>
      <c r="E49" s="24" t="s">
        <v>901</v>
      </c>
      <c r="F49" s="24" t="s">
        <v>850</v>
      </c>
      <c r="G49" s="27" t="s">
        <v>28</v>
      </c>
      <c r="H49" s="27" t="s">
        <v>16</v>
      </c>
      <c r="I49" s="27" t="s">
        <v>16</v>
      </c>
      <c r="J49" s="25"/>
      <c r="K49" s="32">
        <v>0</v>
      </c>
      <c r="L49" s="25" t="str">
        <f>"0,0000"</f>
        <v>0,0000</v>
      </c>
      <c r="M49" s="24" t="s">
        <v>831</v>
      </c>
    </row>
    <row r="50" spans="1:13">
      <c r="A50" s="25" t="s">
        <v>74</v>
      </c>
      <c r="B50" s="24" t="s">
        <v>565</v>
      </c>
      <c r="C50" s="24" t="s">
        <v>566</v>
      </c>
      <c r="D50" s="24" t="s">
        <v>567</v>
      </c>
      <c r="E50" s="24" t="s">
        <v>902</v>
      </c>
      <c r="F50" s="24" t="s">
        <v>861</v>
      </c>
      <c r="G50" s="26" t="s">
        <v>28</v>
      </c>
      <c r="H50" s="26" t="s">
        <v>123</v>
      </c>
      <c r="I50" s="25"/>
      <c r="J50" s="25"/>
      <c r="K50" s="32" t="str">
        <f>"145,0"</f>
        <v>145,0</v>
      </c>
      <c r="L50" s="25" t="str">
        <f>"106,5400"</f>
        <v>106,5400</v>
      </c>
      <c r="M50" s="24" t="s">
        <v>604</v>
      </c>
    </row>
    <row r="51" spans="1:13">
      <c r="A51" s="25" t="s">
        <v>76</v>
      </c>
      <c r="B51" s="24" t="s">
        <v>568</v>
      </c>
      <c r="C51" s="24" t="s">
        <v>569</v>
      </c>
      <c r="D51" s="24" t="s">
        <v>570</v>
      </c>
      <c r="E51" s="24" t="s">
        <v>902</v>
      </c>
      <c r="F51" s="24" t="s">
        <v>847</v>
      </c>
      <c r="G51" s="26" t="s">
        <v>149</v>
      </c>
      <c r="H51" s="27" t="s">
        <v>115</v>
      </c>
      <c r="I51" s="27" t="s">
        <v>115</v>
      </c>
      <c r="J51" s="25"/>
      <c r="K51" s="32" t="str">
        <f>"115,0"</f>
        <v>115,0</v>
      </c>
      <c r="L51" s="25" t="str">
        <f>"78,7584"</f>
        <v>78,7584</v>
      </c>
      <c r="M51" s="24"/>
    </row>
    <row r="52" spans="1:13">
      <c r="A52" s="25" t="s">
        <v>221</v>
      </c>
      <c r="B52" s="24" t="s">
        <v>571</v>
      </c>
      <c r="C52" s="24" t="s">
        <v>572</v>
      </c>
      <c r="D52" s="24" t="s">
        <v>573</v>
      </c>
      <c r="E52" s="24" t="s">
        <v>902</v>
      </c>
      <c r="F52" s="24" t="s">
        <v>849</v>
      </c>
      <c r="G52" s="26" t="s">
        <v>148</v>
      </c>
      <c r="H52" s="26" t="s">
        <v>113</v>
      </c>
      <c r="I52" s="27" t="s">
        <v>130</v>
      </c>
      <c r="J52" s="25"/>
      <c r="K52" s="32" t="str">
        <f>"110,0"</f>
        <v>110,0</v>
      </c>
      <c r="L52" s="25" t="str">
        <f>"75,2403"</f>
        <v>75,2403</v>
      </c>
      <c r="M52" s="24"/>
    </row>
    <row r="53" spans="1:13">
      <c r="A53" s="12" t="s">
        <v>74</v>
      </c>
      <c r="B53" s="11" t="s">
        <v>574</v>
      </c>
      <c r="C53" s="11" t="s">
        <v>575</v>
      </c>
      <c r="D53" s="11" t="s">
        <v>576</v>
      </c>
      <c r="E53" s="11" t="s">
        <v>905</v>
      </c>
      <c r="F53" s="11" t="s">
        <v>876</v>
      </c>
      <c r="G53" s="22" t="s">
        <v>113</v>
      </c>
      <c r="H53" s="22" t="s">
        <v>131</v>
      </c>
      <c r="I53" s="22" t="s">
        <v>27</v>
      </c>
      <c r="J53" s="12"/>
      <c r="K53" s="31" t="str">
        <f>"120,0"</f>
        <v>120,0</v>
      </c>
      <c r="L53" s="12" t="str">
        <f>"98,4188"</f>
        <v>98,4188</v>
      </c>
      <c r="M53" s="11"/>
    </row>
    <row r="54" spans="1:13">
      <c r="B54" s="5" t="s">
        <v>75</v>
      </c>
    </row>
    <row r="55" spans="1:13" ht="16">
      <c r="A55" s="33" t="s">
        <v>21</v>
      </c>
      <c r="B55" s="33"/>
      <c r="C55" s="34"/>
      <c r="D55" s="34"/>
      <c r="E55" s="34"/>
      <c r="F55" s="34"/>
      <c r="G55" s="34"/>
      <c r="H55" s="34"/>
      <c r="I55" s="34"/>
      <c r="J55" s="34"/>
    </row>
    <row r="56" spans="1:13">
      <c r="A56" s="10" t="s">
        <v>74</v>
      </c>
      <c r="B56" s="9" t="s">
        <v>577</v>
      </c>
      <c r="C56" s="9" t="s">
        <v>578</v>
      </c>
      <c r="D56" s="9" t="s">
        <v>330</v>
      </c>
      <c r="E56" s="9" t="s">
        <v>909</v>
      </c>
      <c r="F56" s="9" t="s">
        <v>850</v>
      </c>
      <c r="G56" s="21" t="s">
        <v>244</v>
      </c>
      <c r="H56" s="20" t="s">
        <v>189</v>
      </c>
      <c r="I56" s="20" t="s">
        <v>189</v>
      </c>
      <c r="J56" s="10"/>
      <c r="K56" s="30" t="str">
        <f>"142,5"</f>
        <v>142,5</v>
      </c>
      <c r="L56" s="10" t="str">
        <f>"91,4992"</f>
        <v>91,4992</v>
      </c>
      <c r="M56" s="9" t="s">
        <v>828</v>
      </c>
    </row>
    <row r="57" spans="1:13">
      <c r="A57" s="25" t="s">
        <v>74</v>
      </c>
      <c r="B57" s="24" t="s">
        <v>579</v>
      </c>
      <c r="C57" s="24" t="s">
        <v>580</v>
      </c>
      <c r="D57" s="24" t="s">
        <v>581</v>
      </c>
      <c r="E57" s="24" t="s">
        <v>901</v>
      </c>
      <c r="F57" s="24" t="s">
        <v>877</v>
      </c>
      <c r="G57" s="26" t="s">
        <v>36</v>
      </c>
      <c r="H57" s="26" t="s">
        <v>25</v>
      </c>
      <c r="I57" s="26" t="s">
        <v>59</v>
      </c>
      <c r="J57" s="25"/>
      <c r="K57" s="32" t="str">
        <f>"202,5"</f>
        <v>202,5</v>
      </c>
      <c r="L57" s="25" t="str">
        <f>"129,2760"</f>
        <v>129,2760</v>
      </c>
      <c r="M57" s="24" t="s">
        <v>582</v>
      </c>
    </row>
    <row r="58" spans="1:13">
      <c r="A58" s="25" t="s">
        <v>76</v>
      </c>
      <c r="B58" s="24" t="s">
        <v>583</v>
      </c>
      <c r="C58" s="24" t="s">
        <v>584</v>
      </c>
      <c r="D58" s="24" t="s">
        <v>581</v>
      </c>
      <c r="E58" s="24" t="s">
        <v>901</v>
      </c>
      <c r="F58" s="24" t="s">
        <v>847</v>
      </c>
      <c r="G58" s="26" t="s">
        <v>19</v>
      </c>
      <c r="H58" s="27" t="s">
        <v>46</v>
      </c>
      <c r="I58" s="27" t="s">
        <v>46</v>
      </c>
      <c r="J58" s="25"/>
      <c r="K58" s="32" t="str">
        <f>"170,0"</f>
        <v>170,0</v>
      </c>
      <c r="L58" s="25" t="str">
        <f>"108,5280"</f>
        <v>108,5280</v>
      </c>
      <c r="M58" s="24"/>
    </row>
    <row r="59" spans="1:13">
      <c r="A59" s="25" t="s">
        <v>221</v>
      </c>
      <c r="B59" s="24" t="s">
        <v>585</v>
      </c>
      <c r="C59" s="24" t="s">
        <v>586</v>
      </c>
      <c r="D59" s="24" t="s">
        <v>587</v>
      </c>
      <c r="E59" s="24" t="s">
        <v>901</v>
      </c>
      <c r="F59" s="24" t="s">
        <v>876</v>
      </c>
      <c r="G59" s="26" t="s">
        <v>95</v>
      </c>
      <c r="H59" s="27" t="s">
        <v>163</v>
      </c>
      <c r="I59" s="26" t="s">
        <v>163</v>
      </c>
      <c r="J59" s="25"/>
      <c r="K59" s="32" t="str">
        <f>"165,0"</f>
        <v>165,0</v>
      </c>
      <c r="L59" s="25" t="str">
        <f>"107,2995"</f>
        <v>107,2995</v>
      </c>
      <c r="M59" s="24" t="s">
        <v>832</v>
      </c>
    </row>
    <row r="60" spans="1:13">
      <c r="A60" s="25" t="s">
        <v>388</v>
      </c>
      <c r="B60" s="24" t="s">
        <v>588</v>
      </c>
      <c r="C60" s="24" t="s">
        <v>589</v>
      </c>
      <c r="D60" s="24" t="s">
        <v>436</v>
      </c>
      <c r="E60" s="24" t="s">
        <v>901</v>
      </c>
      <c r="F60" s="24" t="s">
        <v>847</v>
      </c>
      <c r="G60" s="27" t="s">
        <v>94</v>
      </c>
      <c r="H60" s="26" t="s">
        <v>190</v>
      </c>
      <c r="I60" s="27" t="s">
        <v>146</v>
      </c>
      <c r="J60" s="25"/>
      <c r="K60" s="32" t="str">
        <f>"157,5"</f>
        <v>157,5</v>
      </c>
      <c r="L60" s="25" t="str">
        <f>"100,6110"</f>
        <v>100,6110</v>
      </c>
      <c r="M60" s="24" t="s">
        <v>590</v>
      </c>
    </row>
    <row r="61" spans="1:13">
      <c r="A61" s="25" t="s">
        <v>640</v>
      </c>
      <c r="B61" s="24" t="s">
        <v>591</v>
      </c>
      <c r="C61" s="24" t="s">
        <v>592</v>
      </c>
      <c r="D61" s="24" t="s">
        <v>593</v>
      </c>
      <c r="E61" s="24" t="s">
        <v>901</v>
      </c>
      <c r="F61" s="24" t="s">
        <v>847</v>
      </c>
      <c r="G61" s="27" t="s">
        <v>16</v>
      </c>
      <c r="H61" s="27" t="s">
        <v>123</v>
      </c>
      <c r="I61" s="26" t="s">
        <v>189</v>
      </c>
      <c r="J61" s="25"/>
      <c r="K61" s="32" t="str">
        <f>"152,5"</f>
        <v>152,5</v>
      </c>
      <c r="L61" s="25" t="str">
        <f>"98,3167"</f>
        <v>98,3167</v>
      </c>
      <c r="M61" s="24" t="s">
        <v>594</v>
      </c>
    </row>
    <row r="62" spans="1:13">
      <c r="A62" s="25" t="s">
        <v>641</v>
      </c>
      <c r="B62" s="24" t="s">
        <v>595</v>
      </c>
      <c r="C62" s="24" t="s">
        <v>596</v>
      </c>
      <c r="D62" s="24" t="s">
        <v>597</v>
      </c>
      <c r="E62" s="24" t="s">
        <v>901</v>
      </c>
      <c r="F62" s="24" t="s">
        <v>561</v>
      </c>
      <c r="G62" s="26" t="s">
        <v>123</v>
      </c>
      <c r="H62" s="27" t="s">
        <v>189</v>
      </c>
      <c r="I62" s="27" t="s">
        <v>189</v>
      </c>
      <c r="J62" s="25"/>
      <c r="K62" s="32" t="str">
        <f>"145,0"</f>
        <v>145,0</v>
      </c>
      <c r="L62" s="25" t="str">
        <f>"93,3800"</f>
        <v>93,3800</v>
      </c>
      <c r="M62" s="24"/>
    </row>
    <row r="63" spans="1:13">
      <c r="A63" s="25" t="s">
        <v>642</v>
      </c>
      <c r="B63" s="24" t="s">
        <v>598</v>
      </c>
      <c r="C63" s="24" t="s">
        <v>599</v>
      </c>
      <c r="D63" s="24" t="s">
        <v>600</v>
      </c>
      <c r="E63" s="24" t="s">
        <v>901</v>
      </c>
      <c r="F63" s="24" t="s">
        <v>847</v>
      </c>
      <c r="G63" s="26" t="s">
        <v>102</v>
      </c>
      <c r="H63" s="26" t="s">
        <v>15</v>
      </c>
      <c r="I63" s="26" t="s">
        <v>243</v>
      </c>
      <c r="J63" s="25"/>
      <c r="K63" s="32" t="str">
        <f>"132,5"</f>
        <v>132,5</v>
      </c>
      <c r="L63" s="25" t="str">
        <f>"84,9325"</f>
        <v>84,9325</v>
      </c>
      <c r="M63" s="24"/>
    </row>
    <row r="64" spans="1:13">
      <c r="A64" s="25" t="s">
        <v>74</v>
      </c>
      <c r="B64" s="24" t="s">
        <v>601</v>
      </c>
      <c r="C64" s="24" t="s">
        <v>602</v>
      </c>
      <c r="D64" s="24" t="s">
        <v>603</v>
      </c>
      <c r="E64" s="24" t="s">
        <v>902</v>
      </c>
      <c r="F64" s="24" t="s">
        <v>878</v>
      </c>
      <c r="G64" s="26" t="s">
        <v>102</v>
      </c>
      <c r="H64" s="26" t="s">
        <v>243</v>
      </c>
      <c r="I64" s="26" t="s">
        <v>28</v>
      </c>
      <c r="J64" s="25"/>
      <c r="K64" s="32" t="str">
        <f>"135,0"</f>
        <v>135,0</v>
      </c>
      <c r="L64" s="25" t="str">
        <f>"88,8165"</f>
        <v>88,8165</v>
      </c>
      <c r="M64" s="24" t="s">
        <v>604</v>
      </c>
    </row>
    <row r="65" spans="1:13">
      <c r="A65" s="12" t="s">
        <v>74</v>
      </c>
      <c r="B65" s="11" t="s">
        <v>605</v>
      </c>
      <c r="C65" s="11" t="s">
        <v>606</v>
      </c>
      <c r="D65" s="11" t="s">
        <v>607</v>
      </c>
      <c r="E65" s="11" t="s">
        <v>906</v>
      </c>
      <c r="F65" s="11" t="s">
        <v>847</v>
      </c>
      <c r="G65" s="22" t="s">
        <v>94</v>
      </c>
      <c r="H65" s="22" t="s">
        <v>95</v>
      </c>
      <c r="I65" s="22" t="s">
        <v>146</v>
      </c>
      <c r="J65" s="12"/>
      <c r="K65" s="31" t="str">
        <f>"160,0"</f>
        <v>160,0</v>
      </c>
      <c r="L65" s="12" t="str">
        <f>"145,3766"</f>
        <v>145,3766</v>
      </c>
      <c r="M65" s="11"/>
    </row>
    <row r="66" spans="1:13">
      <c r="B66" s="5" t="s">
        <v>75</v>
      </c>
    </row>
    <row r="67" spans="1:13" ht="16">
      <c r="A67" s="33" t="s">
        <v>169</v>
      </c>
      <c r="B67" s="33"/>
      <c r="C67" s="34"/>
      <c r="D67" s="34"/>
      <c r="E67" s="34"/>
      <c r="F67" s="34"/>
      <c r="G67" s="34"/>
      <c r="H67" s="34"/>
      <c r="I67" s="34"/>
      <c r="J67" s="34"/>
    </row>
    <row r="68" spans="1:13">
      <c r="A68" s="10" t="s">
        <v>74</v>
      </c>
      <c r="B68" s="9" t="s">
        <v>608</v>
      </c>
      <c r="C68" s="9" t="s">
        <v>609</v>
      </c>
      <c r="D68" s="9" t="s">
        <v>610</v>
      </c>
      <c r="E68" s="9" t="s">
        <v>909</v>
      </c>
      <c r="F68" s="9" t="s">
        <v>850</v>
      </c>
      <c r="G68" s="21" t="s">
        <v>15</v>
      </c>
      <c r="H68" s="21" t="s">
        <v>16</v>
      </c>
      <c r="I68" s="20" t="s">
        <v>244</v>
      </c>
      <c r="J68" s="10"/>
      <c r="K68" s="30" t="str">
        <f>"140,0"</f>
        <v>140,0</v>
      </c>
      <c r="L68" s="10" t="str">
        <f>"86,5200"</f>
        <v>86,5200</v>
      </c>
      <c r="M68" s="9" t="s">
        <v>828</v>
      </c>
    </row>
    <row r="69" spans="1:13">
      <c r="A69" s="25" t="s">
        <v>74</v>
      </c>
      <c r="B69" s="24" t="s">
        <v>611</v>
      </c>
      <c r="C69" s="24" t="s">
        <v>612</v>
      </c>
      <c r="D69" s="24" t="s">
        <v>613</v>
      </c>
      <c r="E69" s="24" t="s">
        <v>901</v>
      </c>
      <c r="F69" s="24" t="s">
        <v>876</v>
      </c>
      <c r="G69" s="26" t="s">
        <v>20</v>
      </c>
      <c r="H69" s="26" t="s">
        <v>150</v>
      </c>
      <c r="I69" s="27" t="s">
        <v>36</v>
      </c>
      <c r="J69" s="25"/>
      <c r="K69" s="32" t="str">
        <f>"190,0"</f>
        <v>190,0</v>
      </c>
      <c r="L69" s="25" t="str">
        <f>"117,6290"</f>
        <v>117,6290</v>
      </c>
      <c r="M69" s="24"/>
    </row>
    <row r="70" spans="1:13">
      <c r="A70" s="25" t="s">
        <v>76</v>
      </c>
      <c r="B70" s="24" t="s">
        <v>614</v>
      </c>
      <c r="C70" s="24" t="s">
        <v>615</v>
      </c>
      <c r="D70" s="24" t="s">
        <v>616</v>
      </c>
      <c r="E70" s="24" t="s">
        <v>901</v>
      </c>
      <c r="F70" s="24" t="s">
        <v>847</v>
      </c>
      <c r="G70" s="26" t="s">
        <v>46</v>
      </c>
      <c r="H70" s="27" t="s">
        <v>48</v>
      </c>
      <c r="I70" s="26" t="s">
        <v>150</v>
      </c>
      <c r="J70" s="25"/>
      <c r="K70" s="32" t="str">
        <f>"190,0"</f>
        <v>190,0</v>
      </c>
      <c r="L70" s="25" t="str">
        <f>"116,1470"</f>
        <v>116,1470</v>
      </c>
      <c r="M70" s="24"/>
    </row>
    <row r="71" spans="1:13">
      <c r="A71" s="25" t="s">
        <v>221</v>
      </c>
      <c r="B71" s="24" t="s">
        <v>617</v>
      </c>
      <c r="C71" s="24" t="s">
        <v>618</v>
      </c>
      <c r="D71" s="24" t="s">
        <v>397</v>
      </c>
      <c r="E71" s="24" t="s">
        <v>901</v>
      </c>
      <c r="F71" s="24" t="s">
        <v>850</v>
      </c>
      <c r="G71" s="26" t="s">
        <v>15</v>
      </c>
      <c r="H71" s="26" t="s">
        <v>16</v>
      </c>
      <c r="I71" s="26" t="s">
        <v>123</v>
      </c>
      <c r="J71" s="25"/>
      <c r="K71" s="32" t="str">
        <f>"145,0"</f>
        <v>145,0</v>
      </c>
      <c r="L71" s="25" t="str">
        <f>"89,0880"</f>
        <v>89,0880</v>
      </c>
      <c r="M71" s="24" t="s">
        <v>831</v>
      </c>
    </row>
    <row r="72" spans="1:13">
      <c r="A72" s="25" t="s">
        <v>388</v>
      </c>
      <c r="B72" s="24" t="s">
        <v>619</v>
      </c>
      <c r="C72" s="24" t="s">
        <v>620</v>
      </c>
      <c r="D72" s="24" t="s">
        <v>616</v>
      </c>
      <c r="E72" s="24" t="s">
        <v>901</v>
      </c>
      <c r="F72" s="24" t="s">
        <v>847</v>
      </c>
      <c r="G72" s="26" t="s">
        <v>16</v>
      </c>
      <c r="H72" s="27" t="s">
        <v>123</v>
      </c>
      <c r="I72" s="27" t="s">
        <v>123</v>
      </c>
      <c r="J72" s="25"/>
      <c r="K72" s="32" t="str">
        <f>"140,0"</f>
        <v>140,0</v>
      </c>
      <c r="L72" s="25" t="str">
        <f>"85,5820"</f>
        <v>85,5820</v>
      </c>
      <c r="M72" s="24"/>
    </row>
    <row r="73" spans="1:13">
      <c r="A73" s="12" t="s">
        <v>74</v>
      </c>
      <c r="B73" s="11" t="s">
        <v>621</v>
      </c>
      <c r="C73" s="11" t="s">
        <v>622</v>
      </c>
      <c r="D73" s="11" t="s">
        <v>623</v>
      </c>
      <c r="E73" s="11" t="s">
        <v>902</v>
      </c>
      <c r="F73" s="11" t="s">
        <v>847</v>
      </c>
      <c r="G73" s="23" t="s">
        <v>123</v>
      </c>
      <c r="H73" s="23" t="s">
        <v>123</v>
      </c>
      <c r="I73" s="22" t="s">
        <v>123</v>
      </c>
      <c r="J73" s="12"/>
      <c r="K73" s="31" t="str">
        <f>"145,0"</f>
        <v>145,0</v>
      </c>
      <c r="L73" s="12" t="str">
        <f>"100,3880"</f>
        <v>100,3880</v>
      </c>
      <c r="M73" s="11"/>
    </row>
    <row r="74" spans="1:13">
      <c r="B74" s="5" t="s">
        <v>75</v>
      </c>
    </row>
    <row r="75" spans="1:13" ht="16">
      <c r="A75" s="33" t="s">
        <v>29</v>
      </c>
      <c r="B75" s="33"/>
      <c r="C75" s="34"/>
      <c r="D75" s="34"/>
      <c r="E75" s="34"/>
      <c r="F75" s="34"/>
      <c r="G75" s="34"/>
      <c r="H75" s="34"/>
      <c r="I75" s="34"/>
      <c r="J75" s="34"/>
    </row>
    <row r="76" spans="1:13">
      <c r="A76" s="10" t="s">
        <v>74</v>
      </c>
      <c r="B76" s="9" t="s">
        <v>624</v>
      </c>
      <c r="C76" s="9" t="s">
        <v>625</v>
      </c>
      <c r="D76" s="9" t="s">
        <v>626</v>
      </c>
      <c r="E76" s="9" t="s">
        <v>901</v>
      </c>
      <c r="F76" s="9" t="s">
        <v>847</v>
      </c>
      <c r="G76" s="20" t="s">
        <v>146</v>
      </c>
      <c r="H76" s="21" t="s">
        <v>627</v>
      </c>
      <c r="I76" s="20" t="s">
        <v>355</v>
      </c>
      <c r="J76" s="10"/>
      <c r="K76" s="30" t="str">
        <f>"167,5"</f>
        <v>167,5</v>
      </c>
      <c r="L76" s="10" t="str">
        <f>"99,5452"</f>
        <v>99,5452</v>
      </c>
      <c r="M76" s="9" t="s">
        <v>833</v>
      </c>
    </row>
    <row r="77" spans="1:13">
      <c r="A77" s="25" t="s">
        <v>76</v>
      </c>
      <c r="B77" s="24" t="s">
        <v>628</v>
      </c>
      <c r="C77" s="24" t="s">
        <v>629</v>
      </c>
      <c r="D77" s="24" t="s">
        <v>630</v>
      </c>
      <c r="E77" s="24" t="s">
        <v>901</v>
      </c>
      <c r="F77" s="24" t="s">
        <v>847</v>
      </c>
      <c r="G77" s="26" t="s">
        <v>95</v>
      </c>
      <c r="H77" s="26" t="s">
        <v>146</v>
      </c>
      <c r="I77" s="26" t="s">
        <v>163</v>
      </c>
      <c r="J77" s="25"/>
      <c r="K77" s="32" t="str">
        <f>"165,0"</f>
        <v>165,0</v>
      </c>
      <c r="L77" s="25" t="str">
        <f>"99,5280"</f>
        <v>99,5280</v>
      </c>
      <c r="M77" s="24"/>
    </row>
    <row r="78" spans="1:13">
      <c r="A78" s="12" t="s">
        <v>221</v>
      </c>
      <c r="B78" s="11" t="s">
        <v>631</v>
      </c>
      <c r="C78" s="11" t="s">
        <v>632</v>
      </c>
      <c r="D78" s="11" t="s">
        <v>633</v>
      </c>
      <c r="E78" s="11" t="s">
        <v>901</v>
      </c>
      <c r="F78" s="11" t="s">
        <v>879</v>
      </c>
      <c r="G78" s="22" t="s">
        <v>27</v>
      </c>
      <c r="H78" s="22" t="s">
        <v>102</v>
      </c>
      <c r="I78" s="22" t="s">
        <v>115</v>
      </c>
      <c r="J78" s="12"/>
      <c r="K78" s="31" t="str">
        <f>"127,5"</f>
        <v>127,5</v>
      </c>
      <c r="L78" s="12" t="str">
        <f>"76,1685"</f>
        <v>76,1685</v>
      </c>
      <c r="M78" s="11" t="s">
        <v>834</v>
      </c>
    </row>
    <row r="79" spans="1:13">
      <c r="B79" s="5" t="s">
        <v>75</v>
      </c>
    </row>
    <row r="82" spans="2:6" ht="18">
      <c r="B82" s="13" t="s">
        <v>66</v>
      </c>
      <c r="C82" s="13"/>
    </row>
    <row r="83" spans="2:6" ht="16">
      <c r="B83" s="14" t="s">
        <v>105</v>
      </c>
      <c r="C83" s="14"/>
    </row>
    <row r="84" spans="2:6" ht="14">
      <c r="B84" s="15"/>
      <c r="C84" s="16" t="s">
        <v>68</v>
      </c>
    </row>
    <row r="85" spans="2:6" ht="14">
      <c r="B85" s="17" t="s">
        <v>69</v>
      </c>
      <c r="C85" s="17" t="s">
        <v>70</v>
      </c>
      <c r="D85" s="17" t="s">
        <v>817</v>
      </c>
      <c r="E85" s="17" t="s">
        <v>405</v>
      </c>
      <c r="F85" s="17" t="s">
        <v>72</v>
      </c>
    </row>
    <row r="86" spans="2:6">
      <c r="B86" s="5" t="s">
        <v>510</v>
      </c>
      <c r="C86" s="5" t="s">
        <v>68</v>
      </c>
      <c r="D86" s="6" t="s">
        <v>209</v>
      </c>
      <c r="E86" s="6" t="s">
        <v>87</v>
      </c>
      <c r="F86" s="6" t="s">
        <v>634</v>
      </c>
    </row>
    <row r="87" spans="2:6">
      <c r="B87" s="5" t="s">
        <v>223</v>
      </c>
      <c r="C87" s="5" t="s">
        <v>68</v>
      </c>
      <c r="D87" s="6" t="s">
        <v>376</v>
      </c>
      <c r="E87" s="6" t="s">
        <v>227</v>
      </c>
      <c r="F87" s="6" t="s">
        <v>635</v>
      </c>
    </row>
    <row r="88" spans="2:6">
      <c r="B88" s="5" t="s">
        <v>503</v>
      </c>
      <c r="C88" s="5" t="s">
        <v>68</v>
      </c>
      <c r="D88" s="6" t="s">
        <v>376</v>
      </c>
      <c r="E88" s="6" t="s">
        <v>226</v>
      </c>
      <c r="F88" s="6" t="s">
        <v>636</v>
      </c>
    </row>
    <row r="90" spans="2:6" ht="16">
      <c r="B90" s="14" t="s">
        <v>67</v>
      </c>
      <c r="C90" s="14"/>
    </row>
    <row r="91" spans="2:6" ht="14">
      <c r="B91" s="15"/>
      <c r="C91" s="16" t="s">
        <v>68</v>
      </c>
    </row>
    <row r="92" spans="2:6" ht="14">
      <c r="B92" s="17" t="s">
        <v>69</v>
      </c>
      <c r="C92" s="17" t="s">
        <v>70</v>
      </c>
      <c r="D92" s="17" t="s">
        <v>817</v>
      </c>
      <c r="E92" s="17" t="s">
        <v>405</v>
      </c>
      <c r="F92" s="17" t="s">
        <v>72</v>
      </c>
    </row>
    <row r="93" spans="2:6">
      <c r="B93" s="5" t="s">
        <v>579</v>
      </c>
      <c r="C93" s="5" t="s">
        <v>68</v>
      </c>
      <c r="D93" s="6" t="s">
        <v>107</v>
      </c>
      <c r="E93" s="6" t="s">
        <v>59</v>
      </c>
      <c r="F93" s="6" t="s">
        <v>637</v>
      </c>
    </row>
    <row r="94" spans="2:6">
      <c r="B94" s="5" t="s">
        <v>611</v>
      </c>
      <c r="C94" s="5" t="s">
        <v>68</v>
      </c>
      <c r="D94" s="6" t="s">
        <v>215</v>
      </c>
      <c r="E94" s="6" t="s">
        <v>150</v>
      </c>
      <c r="F94" s="6" t="s">
        <v>638</v>
      </c>
    </row>
    <row r="95" spans="2:6">
      <c r="B95" s="5" t="s">
        <v>614</v>
      </c>
      <c r="C95" s="5" t="s">
        <v>68</v>
      </c>
      <c r="D95" s="6" t="s">
        <v>215</v>
      </c>
      <c r="E95" s="6" t="s">
        <v>150</v>
      </c>
      <c r="F95" s="6" t="s">
        <v>639</v>
      </c>
    </row>
    <row r="96" spans="2:6">
      <c r="B96" s="5" t="s">
        <v>75</v>
      </c>
    </row>
    <row r="97" spans="2:2">
      <c r="B97" s="5" t="s">
        <v>75</v>
      </c>
    </row>
  </sheetData>
  <mergeCells count="24"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  <mergeCell ref="A5:J5"/>
    <mergeCell ref="B3:B4"/>
    <mergeCell ref="A75:J75"/>
    <mergeCell ref="A8:J8"/>
    <mergeCell ref="A13:J13"/>
    <mergeCell ref="A18:J18"/>
    <mergeCell ref="A22:J22"/>
    <mergeCell ref="A26:J26"/>
    <mergeCell ref="A29:J29"/>
    <mergeCell ref="A32:J32"/>
    <mergeCell ref="A35:J35"/>
    <mergeCell ref="A41:J41"/>
    <mergeCell ref="A55:J55"/>
    <mergeCell ref="A67:J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8F1D4-C2EC-4B65-861A-F5A8EA56DDB6}">
  <dimension ref="A1:M74"/>
  <sheetViews>
    <sheetView topLeftCell="A24" workbookViewId="0">
      <selection activeCell="E58" sqref="E58"/>
    </sheetView>
  </sheetViews>
  <sheetFormatPr baseColWidth="10" defaultColWidth="9.1640625" defaultRowHeight="13"/>
  <cols>
    <col min="1" max="1" width="7.1640625" style="5" bestFit="1" customWidth="1"/>
    <col min="2" max="2" width="22.33203125" style="5" bestFit="1" customWidth="1"/>
    <col min="3" max="3" width="27.5" style="5" bestFit="1" customWidth="1"/>
    <col min="4" max="4" width="20.83203125" style="5" bestFit="1" customWidth="1"/>
    <col min="5" max="5" width="10.1640625" style="5" bestFit="1" customWidth="1"/>
    <col min="6" max="6" width="20.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24.33203125" style="5" customWidth="1"/>
    <col min="14" max="16384" width="9.1640625" style="3"/>
  </cols>
  <sheetData>
    <row r="1" spans="1:13" s="2" customFormat="1" ht="29" customHeight="1">
      <c r="A1" s="45" t="s">
        <v>798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898</v>
      </c>
      <c r="B3" s="43" t="s">
        <v>0</v>
      </c>
      <c r="C3" s="55" t="s">
        <v>899</v>
      </c>
      <c r="D3" s="55" t="s">
        <v>5</v>
      </c>
      <c r="E3" s="37" t="s">
        <v>900</v>
      </c>
      <c r="F3" s="37" t="s">
        <v>6</v>
      </c>
      <c r="G3" s="37" t="s">
        <v>8</v>
      </c>
      <c r="H3" s="37"/>
      <c r="I3" s="37"/>
      <c r="J3" s="37"/>
      <c r="K3" s="37" t="s">
        <v>406</v>
      </c>
      <c r="L3" s="37" t="s">
        <v>3</v>
      </c>
      <c r="M3" s="39" t="s">
        <v>2</v>
      </c>
    </row>
    <row r="4" spans="1:13" s="1" customFormat="1" ht="21" customHeight="1" thickBot="1">
      <c r="A4" s="54"/>
      <c r="B4" s="44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38"/>
      <c r="L4" s="38"/>
      <c r="M4" s="40"/>
    </row>
    <row r="5" spans="1:13" ht="16">
      <c r="A5" s="41" t="s">
        <v>77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8" t="s">
        <v>74</v>
      </c>
      <c r="B6" s="7" t="s">
        <v>407</v>
      </c>
      <c r="C6" s="7" t="s">
        <v>408</v>
      </c>
      <c r="D6" s="7" t="s">
        <v>80</v>
      </c>
      <c r="E6" s="7" t="s">
        <v>902</v>
      </c>
      <c r="F6" s="7" t="s">
        <v>880</v>
      </c>
      <c r="G6" s="18" t="s">
        <v>132</v>
      </c>
      <c r="H6" s="19" t="s">
        <v>133</v>
      </c>
      <c r="I6" s="19" t="s">
        <v>133</v>
      </c>
      <c r="J6" s="8"/>
      <c r="K6" s="8" t="str">
        <f>"65,0"</f>
        <v>65,0</v>
      </c>
      <c r="L6" s="8" t="str">
        <f>"95,0769"</f>
        <v>95,0769</v>
      </c>
      <c r="M6" s="7" t="s">
        <v>819</v>
      </c>
    </row>
    <row r="7" spans="1:13">
      <c r="B7" s="5" t="s">
        <v>75</v>
      </c>
    </row>
    <row r="8" spans="1:13" ht="16">
      <c r="A8" s="33" t="s">
        <v>118</v>
      </c>
      <c r="B8" s="33"/>
      <c r="C8" s="34"/>
      <c r="D8" s="34"/>
      <c r="E8" s="34"/>
      <c r="F8" s="34"/>
      <c r="G8" s="34"/>
      <c r="H8" s="34"/>
      <c r="I8" s="34"/>
      <c r="J8" s="34"/>
    </row>
    <row r="9" spans="1:13">
      <c r="A9" s="10" t="s">
        <v>74</v>
      </c>
      <c r="B9" s="9" t="s">
        <v>409</v>
      </c>
      <c r="C9" s="9" t="s">
        <v>410</v>
      </c>
      <c r="D9" s="9" t="s">
        <v>411</v>
      </c>
      <c r="E9" s="9" t="s">
        <v>901</v>
      </c>
      <c r="F9" s="9" t="s">
        <v>847</v>
      </c>
      <c r="G9" s="21" t="s">
        <v>81</v>
      </c>
      <c r="H9" s="21" t="s">
        <v>232</v>
      </c>
      <c r="I9" s="20" t="s">
        <v>82</v>
      </c>
      <c r="J9" s="10"/>
      <c r="K9" s="10" t="str">
        <f>"85,0"</f>
        <v>85,0</v>
      </c>
      <c r="L9" s="10" t="str">
        <f>"101,5750"</f>
        <v>101,5750</v>
      </c>
      <c r="M9" s="9"/>
    </row>
    <row r="10" spans="1:13">
      <c r="A10" s="25" t="s">
        <v>76</v>
      </c>
      <c r="B10" s="24" t="s">
        <v>119</v>
      </c>
      <c r="C10" s="24" t="s">
        <v>120</v>
      </c>
      <c r="D10" s="24" t="s">
        <v>121</v>
      </c>
      <c r="E10" s="24" t="s">
        <v>901</v>
      </c>
      <c r="F10" s="24" t="s">
        <v>859</v>
      </c>
      <c r="G10" s="26" t="s">
        <v>124</v>
      </c>
      <c r="H10" s="26" t="s">
        <v>81</v>
      </c>
      <c r="I10" s="26" t="s">
        <v>87</v>
      </c>
      <c r="J10" s="25"/>
      <c r="K10" s="25" t="str">
        <f>"82,5"</f>
        <v>82,5</v>
      </c>
      <c r="L10" s="25" t="str">
        <f>"97,4820"</f>
        <v>97,4820</v>
      </c>
      <c r="M10" s="24" t="s">
        <v>117</v>
      </c>
    </row>
    <row r="11" spans="1:13">
      <c r="A11" s="12" t="s">
        <v>221</v>
      </c>
      <c r="B11" s="11" t="s">
        <v>126</v>
      </c>
      <c r="C11" s="11" t="s">
        <v>127</v>
      </c>
      <c r="D11" s="11" t="s">
        <v>128</v>
      </c>
      <c r="E11" s="11" t="s">
        <v>901</v>
      </c>
      <c r="F11" s="11" t="s">
        <v>853</v>
      </c>
      <c r="G11" s="22" t="s">
        <v>132</v>
      </c>
      <c r="H11" s="22" t="s">
        <v>133</v>
      </c>
      <c r="I11" s="22" t="s">
        <v>134</v>
      </c>
      <c r="J11" s="12"/>
      <c r="K11" s="12" t="str">
        <f>"72,5"</f>
        <v>72,5</v>
      </c>
      <c r="L11" s="12" t="str">
        <f>"85,9053"</f>
        <v>85,9053</v>
      </c>
      <c r="M11" s="11" t="s">
        <v>135</v>
      </c>
    </row>
    <row r="12" spans="1:13">
      <c r="B12" s="5" t="s">
        <v>75</v>
      </c>
    </row>
    <row r="13" spans="1:13" ht="16">
      <c r="A13" s="33" t="s">
        <v>270</v>
      </c>
      <c r="B13" s="33"/>
      <c r="C13" s="34"/>
      <c r="D13" s="34"/>
      <c r="E13" s="34"/>
      <c r="F13" s="34"/>
      <c r="G13" s="34"/>
      <c r="H13" s="34"/>
      <c r="I13" s="34"/>
      <c r="J13" s="34"/>
    </row>
    <row r="14" spans="1:13">
      <c r="A14" s="10" t="s">
        <v>74</v>
      </c>
      <c r="B14" s="9" t="s">
        <v>412</v>
      </c>
      <c r="C14" s="9" t="s">
        <v>413</v>
      </c>
      <c r="D14" s="9" t="s">
        <v>414</v>
      </c>
      <c r="E14" s="9" t="s">
        <v>901</v>
      </c>
      <c r="F14" s="9" t="s">
        <v>847</v>
      </c>
      <c r="G14" s="21" t="s">
        <v>415</v>
      </c>
      <c r="H14" s="20" t="s">
        <v>131</v>
      </c>
      <c r="I14" s="21" t="s">
        <v>131</v>
      </c>
      <c r="J14" s="10"/>
      <c r="K14" s="10" t="str">
        <f>"117,5"</f>
        <v>117,5</v>
      </c>
      <c r="L14" s="10" t="str">
        <f>"120,5668"</f>
        <v>120,5668</v>
      </c>
      <c r="M14" s="9" t="s">
        <v>417</v>
      </c>
    </row>
    <row r="15" spans="1:13">
      <c r="A15" s="25" t="s">
        <v>76</v>
      </c>
      <c r="B15" s="24" t="s">
        <v>418</v>
      </c>
      <c r="C15" s="24" t="s">
        <v>419</v>
      </c>
      <c r="D15" s="24" t="s">
        <v>420</v>
      </c>
      <c r="E15" s="24" t="s">
        <v>901</v>
      </c>
      <c r="F15" s="24" t="s">
        <v>849</v>
      </c>
      <c r="G15" s="26" t="s">
        <v>18</v>
      </c>
      <c r="H15" s="26" t="s">
        <v>111</v>
      </c>
      <c r="I15" s="26" t="s">
        <v>129</v>
      </c>
      <c r="J15" s="25"/>
      <c r="K15" s="25" t="str">
        <f>"107,5"</f>
        <v>107,5</v>
      </c>
      <c r="L15" s="25" t="str">
        <f>"109,7145"</f>
        <v>109,7145</v>
      </c>
      <c r="M15" s="24" t="s">
        <v>822</v>
      </c>
    </row>
    <row r="16" spans="1:13">
      <c r="A16" s="12" t="s">
        <v>74</v>
      </c>
      <c r="B16" s="11" t="s">
        <v>412</v>
      </c>
      <c r="C16" s="11" t="s">
        <v>421</v>
      </c>
      <c r="D16" s="11" t="s">
        <v>414</v>
      </c>
      <c r="E16" s="11" t="s">
        <v>905</v>
      </c>
      <c r="F16" s="11" t="s">
        <v>847</v>
      </c>
      <c r="G16" s="22" t="s">
        <v>415</v>
      </c>
      <c r="H16" s="23" t="s">
        <v>131</v>
      </c>
      <c r="I16" s="22" t="s">
        <v>131</v>
      </c>
      <c r="J16" s="12"/>
      <c r="K16" s="12" t="str">
        <f>"117,5"</f>
        <v>117,5</v>
      </c>
      <c r="L16" s="12" t="str">
        <f>"140,8220"</f>
        <v>140,8220</v>
      </c>
      <c r="M16" s="11" t="s">
        <v>417</v>
      </c>
    </row>
    <row r="17" spans="1:13">
      <c r="B17" s="5" t="s">
        <v>75</v>
      </c>
    </row>
    <row r="18" spans="1:13" ht="16">
      <c r="A18" s="33" t="s">
        <v>137</v>
      </c>
      <c r="B18" s="33"/>
      <c r="C18" s="34"/>
      <c r="D18" s="34"/>
      <c r="E18" s="34"/>
      <c r="F18" s="34"/>
      <c r="G18" s="34"/>
      <c r="H18" s="34"/>
      <c r="I18" s="34"/>
      <c r="J18" s="34"/>
    </row>
    <row r="19" spans="1:13">
      <c r="A19" s="10" t="s">
        <v>74</v>
      </c>
      <c r="B19" s="9" t="s">
        <v>422</v>
      </c>
      <c r="C19" s="9" t="s">
        <v>423</v>
      </c>
      <c r="D19" s="9" t="s">
        <v>424</v>
      </c>
      <c r="E19" s="9" t="s">
        <v>901</v>
      </c>
      <c r="F19" s="9" t="s">
        <v>847</v>
      </c>
      <c r="G19" s="20" t="s">
        <v>123</v>
      </c>
      <c r="H19" s="21" t="s">
        <v>94</v>
      </c>
      <c r="I19" s="20" t="s">
        <v>95</v>
      </c>
      <c r="J19" s="10"/>
      <c r="K19" s="10" t="str">
        <f>"150,0"</f>
        <v>150,0</v>
      </c>
      <c r="L19" s="10" t="str">
        <f>"108,7350"</f>
        <v>108,7350</v>
      </c>
      <c r="M19" s="9"/>
    </row>
    <row r="20" spans="1:13">
      <c r="A20" s="12" t="s">
        <v>74</v>
      </c>
      <c r="B20" s="11" t="s">
        <v>389</v>
      </c>
      <c r="C20" s="11" t="s">
        <v>425</v>
      </c>
      <c r="D20" s="11" t="s">
        <v>391</v>
      </c>
      <c r="E20" s="11" t="s">
        <v>905</v>
      </c>
      <c r="F20" s="11" t="s">
        <v>859</v>
      </c>
      <c r="G20" s="22" t="s">
        <v>46</v>
      </c>
      <c r="H20" s="22" t="s">
        <v>147</v>
      </c>
      <c r="I20" s="23" t="s">
        <v>426</v>
      </c>
      <c r="J20" s="12"/>
      <c r="K20" s="12" t="str">
        <f>"177,5"</f>
        <v>177,5</v>
      </c>
      <c r="L20" s="12" t="str">
        <f>"153,1945"</f>
        <v>153,1945</v>
      </c>
      <c r="M20" s="11" t="s">
        <v>392</v>
      </c>
    </row>
    <row r="21" spans="1:13">
      <c r="B21" s="5" t="s">
        <v>75</v>
      </c>
    </row>
    <row r="22" spans="1:13" ht="16">
      <c r="A22" s="33" t="s">
        <v>151</v>
      </c>
      <c r="B22" s="33"/>
      <c r="C22" s="34"/>
      <c r="D22" s="34"/>
      <c r="E22" s="34"/>
      <c r="F22" s="34"/>
      <c r="G22" s="34"/>
      <c r="H22" s="34"/>
      <c r="I22" s="34"/>
      <c r="J22" s="34"/>
    </row>
    <row r="23" spans="1:13">
      <c r="A23" s="8" t="s">
        <v>74</v>
      </c>
      <c r="B23" s="7" t="s">
        <v>427</v>
      </c>
      <c r="C23" s="7" t="s">
        <v>428</v>
      </c>
      <c r="D23" s="7" t="s">
        <v>429</v>
      </c>
      <c r="E23" s="7" t="s">
        <v>901</v>
      </c>
      <c r="F23" s="7" t="s">
        <v>873</v>
      </c>
      <c r="G23" s="18" t="s">
        <v>123</v>
      </c>
      <c r="H23" s="18" t="s">
        <v>189</v>
      </c>
      <c r="I23" s="18" t="s">
        <v>190</v>
      </c>
      <c r="J23" s="8"/>
      <c r="K23" s="8" t="str">
        <f>"157,5"</f>
        <v>157,5</v>
      </c>
      <c r="L23" s="8" t="str">
        <f>"105,9030"</f>
        <v>105,9030</v>
      </c>
      <c r="M23" s="7" t="s">
        <v>430</v>
      </c>
    </row>
    <row r="24" spans="1:13">
      <c r="B24" s="5" t="s">
        <v>75</v>
      </c>
    </row>
    <row r="25" spans="1:13" ht="16">
      <c r="A25" s="33" t="s">
        <v>21</v>
      </c>
      <c r="B25" s="33"/>
      <c r="C25" s="34"/>
      <c r="D25" s="34"/>
      <c r="E25" s="34"/>
      <c r="F25" s="34"/>
      <c r="G25" s="34"/>
      <c r="H25" s="34"/>
      <c r="I25" s="34"/>
      <c r="J25" s="34"/>
    </row>
    <row r="26" spans="1:13">
      <c r="A26" s="10" t="s">
        <v>74</v>
      </c>
      <c r="B26" s="9" t="s">
        <v>431</v>
      </c>
      <c r="C26" s="9" t="s">
        <v>432</v>
      </c>
      <c r="D26" s="9" t="s">
        <v>433</v>
      </c>
      <c r="E26" s="9" t="s">
        <v>901</v>
      </c>
      <c r="F26" s="9" t="s">
        <v>881</v>
      </c>
      <c r="G26" s="21" t="s">
        <v>25</v>
      </c>
      <c r="H26" s="21" t="s">
        <v>101</v>
      </c>
      <c r="I26" s="21" t="s">
        <v>141</v>
      </c>
      <c r="J26" s="10"/>
      <c r="K26" s="10" t="str">
        <f>"215,0"</f>
        <v>215,0</v>
      </c>
      <c r="L26" s="10" t="str">
        <f>"138,9545"</f>
        <v>138,9545</v>
      </c>
      <c r="M26" s="9" t="s">
        <v>823</v>
      </c>
    </row>
    <row r="27" spans="1:13">
      <c r="A27" s="25" t="s">
        <v>76</v>
      </c>
      <c r="B27" s="24" t="s">
        <v>434</v>
      </c>
      <c r="C27" s="24" t="s">
        <v>435</v>
      </c>
      <c r="D27" s="24" t="s">
        <v>436</v>
      </c>
      <c r="E27" s="24" t="s">
        <v>901</v>
      </c>
      <c r="F27" s="24" t="s">
        <v>866</v>
      </c>
      <c r="G27" s="26" t="s">
        <v>19</v>
      </c>
      <c r="H27" s="26" t="s">
        <v>20</v>
      </c>
      <c r="I27" s="26" t="s">
        <v>48</v>
      </c>
      <c r="J27" s="25"/>
      <c r="K27" s="25" t="str">
        <f>"187,5"</f>
        <v>187,5</v>
      </c>
      <c r="L27" s="25" t="str">
        <f>"119,7750"</f>
        <v>119,7750</v>
      </c>
      <c r="M27" s="24" t="s">
        <v>812</v>
      </c>
    </row>
    <row r="28" spans="1:13">
      <c r="A28" s="25" t="s">
        <v>221</v>
      </c>
      <c r="B28" s="24" t="s">
        <v>437</v>
      </c>
      <c r="C28" s="24" t="s">
        <v>438</v>
      </c>
      <c r="D28" s="24" t="s">
        <v>439</v>
      </c>
      <c r="E28" s="24" t="s">
        <v>901</v>
      </c>
      <c r="F28" s="24" t="s">
        <v>876</v>
      </c>
      <c r="G28" s="26" t="s">
        <v>94</v>
      </c>
      <c r="H28" s="26" t="s">
        <v>190</v>
      </c>
      <c r="I28" s="27" t="s">
        <v>306</v>
      </c>
      <c r="J28" s="25"/>
      <c r="K28" s="25" t="str">
        <f>"157,5"</f>
        <v>157,5</v>
      </c>
      <c r="L28" s="25" t="str">
        <f>"101,0678"</f>
        <v>101,0678</v>
      </c>
      <c r="M28" s="24" t="s">
        <v>440</v>
      </c>
    </row>
    <row r="29" spans="1:13">
      <c r="A29" s="25" t="s">
        <v>388</v>
      </c>
      <c r="B29" s="24" t="s">
        <v>441</v>
      </c>
      <c r="C29" s="24" t="s">
        <v>442</v>
      </c>
      <c r="D29" s="24" t="s">
        <v>443</v>
      </c>
      <c r="E29" s="24" t="s">
        <v>901</v>
      </c>
      <c r="F29" s="24" t="s">
        <v>847</v>
      </c>
      <c r="G29" s="27" t="s">
        <v>94</v>
      </c>
      <c r="H29" s="26" t="s">
        <v>94</v>
      </c>
      <c r="I29" s="27" t="s">
        <v>190</v>
      </c>
      <c r="J29" s="25"/>
      <c r="K29" s="25" t="str">
        <f>"150,0"</f>
        <v>150,0</v>
      </c>
      <c r="L29" s="25" t="str">
        <f>"96,5400"</f>
        <v>96,5400</v>
      </c>
      <c r="M29" s="24" t="s">
        <v>444</v>
      </c>
    </row>
    <row r="30" spans="1:13">
      <c r="A30" s="12" t="s">
        <v>74</v>
      </c>
      <c r="B30" s="11" t="s">
        <v>431</v>
      </c>
      <c r="C30" s="11" t="s">
        <v>445</v>
      </c>
      <c r="D30" s="11" t="s">
        <v>433</v>
      </c>
      <c r="E30" s="11" t="s">
        <v>902</v>
      </c>
      <c r="F30" s="11" t="s">
        <v>881</v>
      </c>
      <c r="G30" s="22" t="s">
        <v>25</v>
      </c>
      <c r="H30" s="22" t="s">
        <v>101</v>
      </c>
      <c r="I30" s="22" t="s">
        <v>141</v>
      </c>
      <c r="J30" s="12"/>
      <c r="K30" s="12" t="str">
        <f>"215,0"</f>
        <v>215,0</v>
      </c>
      <c r="L30" s="12" t="str">
        <f>"139,6493"</f>
        <v>139,6493</v>
      </c>
      <c r="M30" s="11" t="s">
        <v>823</v>
      </c>
    </row>
    <row r="31" spans="1:13">
      <c r="B31" s="5" t="s">
        <v>75</v>
      </c>
    </row>
    <row r="32" spans="1:13" ht="16">
      <c r="A32" s="33" t="s">
        <v>169</v>
      </c>
      <c r="B32" s="33"/>
      <c r="C32" s="34"/>
      <c r="D32" s="34"/>
      <c r="E32" s="34"/>
      <c r="F32" s="34"/>
      <c r="G32" s="34"/>
      <c r="H32" s="34"/>
      <c r="I32" s="34"/>
      <c r="J32" s="34"/>
    </row>
    <row r="33" spans="1:13">
      <c r="A33" s="10" t="s">
        <v>74</v>
      </c>
      <c r="B33" s="9" t="s">
        <v>446</v>
      </c>
      <c r="C33" s="9" t="s">
        <v>447</v>
      </c>
      <c r="D33" s="9" t="s">
        <v>448</v>
      </c>
      <c r="E33" s="9" t="s">
        <v>901</v>
      </c>
      <c r="F33" s="9" t="s">
        <v>847</v>
      </c>
      <c r="G33" s="21" t="s">
        <v>363</v>
      </c>
      <c r="H33" s="21" t="s">
        <v>59</v>
      </c>
      <c r="I33" s="20" t="s">
        <v>100</v>
      </c>
      <c r="J33" s="10"/>
      <c r="K33" s="10" t="str">
        <f>"202,5"</f>
        <v>202,5</v>
      </c>
      <c r="L33" s="10" t="str">
        <f>"125,6107"</f>
        <v>125,6107</v>
      </c>
      <c r="M33" s="9" t="s">
        <v>824</v>
      </c>
    </row>
    <row r="34" spans="1:13">
      <c r="A34" s="25" t="s">
        <v>76</v>
      </c>
      <c r="B34" s="24" t="s">
        <v>449</v>
      </c>
      <c r="C34" s="24" t="s">
        <v>450</v>
      </c>
      <c r="D34" s="24" t="s">
        <v>451</v>
      </c>
      <c r="E34" s="24" t="s">
        <v>901</v>
      </c>
      <c r="F34" s="24" t="s">
        <v>850</v>
      </c>
      <c r="G34" s="26" t="s">
        <v>20</v>
      </c>
      <c r="H34" s="26" t="s">
        <v>150</v>
      </c>
      <c r="I34" s="27" t="s">
        <v>36</v>
      </c>
      <c r="J34" s="25"/>
      <c r="K34" s="25" t="str">
        <f>"190,0"</f>
        <v>190,0</v>
      </c>
      <c r="L34" s="25" t="str">
        <f>"115,7290"</f>
        <v>115,7290</v>
      </c>
      <c r="M34" s="24"/>
    </row>
    <row r="35" spans="1:13">
      <c r="A35" s="25" t="s">
        <v>221</v>
      </c>
      <c r="B35" s="24" t="s">
        <v>452</v>
      </c>
      <c r="C35" s="24" t="s">
        <v>453</v>
      </c>
      <c r="D35" s="24" t="s">
        <v>176</v>
      </c>
      <c r="E35" s="24" t="s">
        <v>901</v>
      </c>
      <c r="F35" s="24" t="s">
        <v>847</v>
      </c>
      <c r="G35" s="26" t="s">
        <v>19</v>
      </c>
      <c r="H35" s="26" t="s">
        <v>20</v>
      </c>
      <c r="I35" s="27" t="s">
        <v>47</v>
      </c>
      <c r="J35" s="25"/>
      <c r="K35" s="25" t="str">
        <f>"180,0"</f>
        <v>180,0</v>
      </c>
      <c r="L35" s="25" t="str">
        <f>"110,1240"</f>
        <v>110,1240</v>
      </c>
      <c r="M35" s="24" t="s">
        <v>825</v>
      </c>
    </row>
    <row r="36" spans="1:13">
      <c r="A36" s="25" t="s">
        <v>74</v>
      </c>
      <c r="B36" s="24" t="s">
        <v>449</v>
      </c>
      <c r="C36" s="24" t="s">
        <v>454</v>
      </c>
      <c r="D36" s="24" t="s">
        <v>451</v>
      </c>
      <c r="E36" s="24" t="s">
        <v>902</v>
      </c>
      <c r="F36" s="24" t="s">
        <v>850</v>
      </c>
      <c r="G36" s="26" t="s">
        <v>20</v>
      </c>
      <c r="H36" s="26" t="s">
        <v>150</v>
      </c>
      <c r="I36" s="27" t="s">
        <v>36</v>
      </c>
      <c r="J36" s="25"/>
      <c r="K36" s="25" t="str">
        <f>"190,0"</f>
        <v>190,0</v>
      </c>
      <c r="L36" s="25" t="str">
        <f>"126,8390"</f>
        <v>126,8390</v>
      </c>
      <c r="M36" s="24"/>
    </row>
    <row r="37" spans="1:13">
      <c r="A37" s="12" t="s">
        <v>74</v>
      </c>
      <c r="B37" s="11" t="s">
        <v>455</v>
      </c>
      <c r="C37" s="11" t="s">
        <v>456</v>
      </c>
      <c r="D37" s="11" t="s">
        <v>176</v>
      </c>
      <c r="E37" s="11" t="s">
        <v>908</v>
      </c>
      <c r="F37" s="11" t="s">
        <v>859</v>
      </c>
      <c r="G37" s="22" t="s">
        <v>269</v>
      </c>
      <c r="H37" s="22" t="s">
        <v>115</v>
      </c>
      <c r="I37" s="23" t="s">
        <v>15</v>
      </c>
      <c r="J37" s="12"/>
      <c r="K37" s="12" t="str">
        <f>"127,5"</f>
        <v>127,5</v>
      </c>
      <c r="L37" s="12" t="str">
        <f>"157,5691"</f>
        <v>157,5691</v>
      </c>
      <c r="M37" s="11" t="s">
        <v>392</v>
      </c>
    </row>
    <row r="38" spans="1:13">
      <c r="B38" s="5" t="s">
        <v>75</v>
      </c>
    </row>
    <row r="39" spans="1:13" ht="16">
      <c r="A39" s="33" t="s">
        <v>29</v>
      </c>
      <c r="B39" s="33"/>
      <c r="C39" s="34"/>
      <c r="D39" s="34"/>
      <c r="E39" s="34"/>
      <c r="F39" s="34"/>
      <c r="G39" s="34"/>
      <c r="H39" s="34"/>
      <c r="I39" s="34"/>
      <c r="J39" s="34"/>
    </row>
    <row r="40" spans="1:13">
      <c r="A40" s="10" t="s">
        <v>74</v>
      </c>
      <c r="B40" s="9" t="s">
        <v>457</v>
      </c>
      <c r="C40" s="9" t="s">
        <v>458</v>
      </c>
      <c r="D40" s="9" t="s">
        <v>459</v>
      </c>
      <c r="E40" s="9" t="s">
        <v>901</v>
      </c>
      <c r="F40" s="9" t="s">
        <v>853</v>
      </c>
      <c r="G40" s="20" t="s">
        <v>47</v>
      </c>
      <c r="H40" s="21" t="s">
        <v>47</v>
      </c>
      <c r="I40" s="20" t="s">
        <v>36</v>
      </c>
      <c r="J40" s="10"/>
      <c r="K40" s="10" t="str">
        <f>"185,0"</f>
        <v>185,0</v>
      </c>
      <c r="L40" s="10" t="str">
        <f>"109,6680"</f>
        <v>109,6680</v>
      </c>
      <c r="M40" s="9"/>
    </row>
    <row r="41" spans="1:13">
      <c r="A41" s="25" t="s">
        <v>76</v>
      </c>
      <c r="B41" s="24" t="s">
        <v>460</v>
      </c>
      <c r="C41" s="24" t="s">
        <v>461</v>
      </c>
      <c r="D41" s="24" t="s">
        <v>462</v>
      </c>
      <c r="E41" s="24" t="s">
        <v>901</v>
      </c>
      <c r="F41" s="24" t="s">
        <v>882</v>
      </c>
      <c r="G41" s="26" t="s">
        <v>19</v>
      </c>
      <c r="H41" s="27" t="s">
        <v>46</v>
      </c>
      <c r="I41" s="27" t="s">
        <v>46</v>
      </c>
      <c r="J41" s="25"/>
      <c r="K41" s="25" t="str">
        <f>"170,0"</f>
        <v>170,0</v>
      </c>
      <c r="L41" s="25" t="str">
        <f>"100,9630"</f>
        <v>100,9630</v>
      </c>
      <c r="M41" s="24"/>
    </row>
    <row r="42" spans="1:13">
      <c r="A42" s="25" t="s">
        <v>74</v>
      </c>
      <c r="B42" s="24" t="s">
        <v>457</v>
      </c>
      <c r="C42" s="24" t="s">
        <v>463</v>
      </c>
      <c r="D42" s="24" t="s">
        <v>459</v>
      </c>
      <c r="E42" s="24" t="s">
        <v>902</v>
      </c>
      <c r="F42" s="24" t="s">
        <v>853</v>
      </c>
      <c r="G42" s="27" t="s">
        <v>47</v>
      </c>
      <c r="H42" s="26" t="s">
        <v>47</v>
      </c>
      <c r="I42" s="27" t="s">
        <v>36</v>
      </c>
      <c r="J42" s="25"/>
      <c r="K42" s="25" t="str">
        <f>"185,0"</f>
        <v>185,0</v>
      </c>
      <c r="L42" s="25" t="str">
        <f>"111,2034"</f>
        <v>111,2034</v>
      </c>
      <c r="M42" s="24"/>
    </row>
    <row r="43" spans="1:13">
      <c r="A43" s="12" t="s">
        <v>76</v>
      </c>
      <c r="B43" s="11" t="s">
        <v>464</v>
      </c>
      <c r="C43" s="11" t="s">
        <v>465</v>
      </c>
      <c r="D43" s="11" t="s">
        <v>466</v>
      </c>
      <c r="E43" s="11" t="s">
        <v>902</v>
      </c>
      <c r="F43" s="11" t="s">
        <v>847</v>
      </c>
      <c r="G43" s="22" t="s">
        <v>95</v>
      </c>
      <c r="H43" s="22" t="s">
        <v>146</v>
      </c>
      <c r="I43" s="23" t="s">
        <v>306</v>
      </c>
      <c r="J43" s="12"/>
      <c r="K43" s="12" t="str">
        <f>"160,0"</f>
        <v>160,0</v>
      </c>
      <c r="L43" s="12" t="str">
        <f>"106,5875"</f>
        <v>106,5875</v>
      </c>
      <c r="M43" s="11"/>
    </row>
    <row r="44" spans="1:13">
      <c r="B44" s="5" t="s">
        <v>75</v>
      </c>
    </row>
    <row r="45" spans="1:13" ht="16">
      <c r="A45" s="33" t="s">
        <v>52</v>
      </c>
      <c r="B45" s="33"/>
      <c r="C45" s="34"/>
      <c r="D45" s="34"/>
      <c r="E45" s="34"/>
      <c r="F45" s="34"/>
      <c r="G45" s="34"/>
      <c r="H45" s="34"/>
      <c r="I45" s="34"/>
      <c r="J45" s="34"/>
    </row>
    <row r="46" spans="1:13">
      <c r="A46" s="10" t="s">
        <v>74</v>
      </c>
      <c r="B46" s="9" t="s">
        <v>467</v>
      </c>
      <c r="C46" s="9" t="s">
        <v>468</v>
      </c>
      <c r="D46" s="9" t="s">
        <v>469</v>
      </c>
      <c r="E46" s="9" t="s">
        <v>901</v>
      </c>
      <c r="F46" s="9" t="s">
        <v>861</v>
      </c>
      <c r="G46" s="21" t="s">
        <v>101</v>
      </c>
      <c r="H46" s="21" t="s">
        <v>103</v>
      </c>
      <c r="I46" s="21" t="s">
        <v>104</v>
      </c>
      <c r="J46" s="10"/>
      <c r="K46" s="10" t="str">
        <f>"225,0"</f>
        <v>225,0</v>
      </c>
      <c r="L46" s="10" t="str">
        <f>"131,6700"</f>
        <v>131,6700</v>
      </c>
      <c r="M46" s="9" t="s">
        <v>826</v>
      </c>
    </row>
    <row r="47" spans="1:13">
      <c r="A47" s="25" t="s">
        <v>76</v>
      </c>
      <c r="B47" s="24" t="s">
        <v>470</v>
      </c>
      <c r="C47" s="24" t="s">
        <v>471</v>
      </c>
      <c r="D47" s="24" t="s">
        <v>472</v>
      </c>
      <c r="E47" s="24" t="s">
        <v>901</v>
      </c>
      <c r="F47" s="24" t="s">
        <v>883</v>
      </c>
      <c r="G47" s="26" t="s">
        <v>101</v>
      </c>
      <c r="H47" s="26" t="s">
        <v>103</v>
      </c>
      <c r="I47" s="27" t="s">
        <v>104</v>
      </c>
      <c r="J47" s="25"/>
      <c r="K47" s="25" t="str">
        <f>"220,0"</f>
        <v>220,0</v>
      </c>
      <c r="L47" s="25" t="str">
        <f>"125,7960"</f>
        <v>125,7960</v>
      </c>
      <c r="M47" s="24" t="s">
        <v>825</v>
      </c>
    </row>
    <row r="48" spans="1:13">
      <c r="A48" s="25" t="s">
        <v>221</v>
      </c>
      <c r="B48" s="24" t="s">
        <v>473</v>
      </c>
      <c r="C48" s="24" t="s">
        <v>474</v>
      </c>
      <c r="D48" s="24" t="s">
        <v>475</v>
      </c>
      <c r="E48" s="24" t="s">
        <v>901</v>
      </c>
      <c r="F48" s="24" t="s">
        <v>853</v>
      </c>
      <c r="G48" s="26" t="s">
        <v>100</v>
      </c>
      <c r="H48" s="26" t="s">
        <v>60</v>
      </c>
      <c r="I48" s="27" t="s">
        <v>141</v>
      </c>
      <c r="J48" s="25"/>
      <c r="K48" s="25" t="str">
        <f>"212,5"</f>
        <v>212,5</v>
      </c>
      <c r="L48" s="25" t="str">
        <f>"122,0387"</f>
        <v>122,0387</v>
      </c>
      <c r="M48" s="24"/>
    </row>
    <row r="49" spans="1:13">
      <c r="A49" s="25" t="s">
        <v>74</v>
      </c>
      <c r="B49" s="24" t="s">
        <v>473</v>
      </c>
      <c r="C49" s="24" t="s">
        <v>476</v>
      </c>
      <c r="D49" s="24" t="s">
        <v>475</v>
      </c>
      <c r="E49" s="24" t="s">
        <v>902</v>
      </c>
      <c r="F49" s="24" t="s">
        <v>853</v>
      </c>
      <c r="G49" s="26" t="s">
        <v>100</v>
      </c>
      <c r="H49" s="26" t="s">
        <v>60</v>
      </c>
      <c r="I49" s="27" t="s">
        <v>141</v>
      </c>
      <c r="J49" s="25"/>
      <c r="K49" s="25" t="str">
        <f>"212,5"</f>
        <v>212,5</v>
      </c>
      <c r="L49" s="25" t="str">
        <f>"133,7545"</f>
        <v>133,7545</v>
      </c>
      <c r="M49" s="24"/>
    </row>
    <row r="50" spans="1:13">
      <c r="A50" s="25" t="s">
        <v>74</v>
      </c>
      <c r="B50" s="24" t="s">
        <v>477</v>
      </c>
      <c r="C50" s="24" t="s">
        <v>478</v>
      </c>
      <c r="D50" s="24" t="s">
        <v>472</v>
      </c>
      <c r="E50" s="24" t="s">
        <v>905</v>
      </c>
      <c r="F50" s="24" t="s">
        <v>847</v>
      </c>
      <c r="G50" s="26" t="s">
        <v>100</v>
      </c>
      <c r="H50" s="26" t="s">
        <v>60</v>
      </c>
      <c r="I50" s="25"/>
      <c r="J50" s="25"/>
      <c r="K50" s="25" t="str">
        <f>"212,5"</f>
        <v>212,5</v>
      </c>
      <c r="L50" s="25" t="str">
        <f>"157,5952"</f>
        <v>157,5952</v>
      </c>
      <c r="M50" s="24" t="s">
        <v>827</v>
      </c>
    </row>
    <row r="51" spans="1:13">
      <c r="A51" s="12" t="s">
        <v>74</v>
      </c>
      <c r="B51" s="11" t="s">
        <v>479</v>
      </c>
      <c r="C51" s="11" t="s">
        <v>480</v>
      </c>
      <c r="D51" s="11" t="s">
        <v>481</v>
      </c>
      <c r="E51" s="11" t="s">
        <v>906</v>
      </c>
      <c r="F51" s="11" t="s">
        <v>847</v>
      </c>
      <c r="G51" s="22" t="s">
        <v>150</v>
      </c>
      <c r="H51" s="22" t="s">
        <v>25</v>
      </c>
      <c r="I51" s="12"/>
      <c r="J51" s="12"/>
      <c r="K51" s="12" t="str">
        <f>"200,0"</f>
        <v>200,0</v>
      </c>
      <c r="L51" s="12" t="str">
        <f>"166,6656"</f>
        <v>166,6656</v>
      </c>
      <c r="M51" s="11"/>
    </row>
    <row r="52" spans="1:13">
      <c r="B52" s="5" t="s">
        <v>75</v>
      </c>
    </row>
    <row r="53" spans="1:13" ht="16">
      <c r="A53" s="33" t="s">
        <v>199</v>
      </c>
      <c r="B53" s="33"/>
      <c r="C53" s="34"/>
      <c r="D53" s="34"/>
      <c r="E53" s="34"/>
      <c r="F53" s="34"/>
      <c r="G53" s="34"/>
      <c r="H53" s="34"/>
      <c r="I53" s="34"/>
      <c r="J53" s="34"/>
    </row>
    <row r="54" spans="1:13">
      <c r="A54" s="8" t="s">
        <v>74</v>
      </c>
      <c r="B54" s="7" t="s">
        <v>482</v>
      </c>
      <c r="C54" s="7" t="s">
        <v>483</v>
      </c>
      <c r="D54" s="7" t="s">
        <v>484</v>
      </c>
      <c r="E54" s="7" t="s">
        <v>902</v>
      </c>
      <c r="F54" s="7" t="s">
        <v>861</v>
      </c>
      <c r="G54" s="18" t="s">
        <v>25</v>
      </c>
      <c r="H54" s="18" t="s">
        <v>100</v>
      </c>
      <c r="I54" s="19" t="s">
        <v>101</v>
      </c>
      <c r="J54" s="8"/>
      <c r="K54" s="8" t="str">
        <f>"205,0"</f>
        <v>205,0</v>
      </c>
      <c r="L54" s="8" t="str">
        <f>"115,5380"</f>
        <v>115,5380</v>
      </c>
      <c r="M54" s="7"/>
    </row>
    <row r="55" spans="1:13">
      <c r="B55" s="5" t="s">
        <v>75</v>
      </c>
    </row>
    <row r="56" spans="1:13" ht="16">
      <c r="A56" s="33" t="s">
        <v>485</v>
      </c>
      <c r="B56" s="33"/>
      <c r="C56" s="34"/>
      <c r="D56" s="34"/>
      <c r="E56" s="34"/>
      <c r="F56" s="34"/>
      <c r="G56" s="34"/>
      <c r="H56" s="34"/>
      <c r="I56" s="34"/>
      <c r="J56" s="34"/>
    </row>
    <row r="57" spans="1:13">
      <c r="A57" s="8" t="s">
        <v>74</v>
      </c>
      <c r="B57" s="7" t="s">
        <v>486</v>
      </c>
      <c r="C57" s="7" t="s">
        <v>487</v>
      </c>
      <c r="D57" s="7" t="s">
        <v>488</v>
      </c>
      <c r="E57" s="7" t="s">
        <v>901</v>
      </c>
      <c r="F57" s="7" t="s">
        <v>847</v>
      </c>
      <c r="G57" s="18" t="s">
        <v>141</v>
      </c>
      <c r="H57" s="18" t="s">
        <v>374</v>
      </c>
      <c r="I57" s="19" t="s">
        <v>104</v>
      </c>
      <c r="J57" s="8"/>
      <c r="K57" s="8" t="str">
        <f>"222,5"</f>
        <v>222,5</v>
      </c>
      <c r="L57" s="8" t="str">
        <f>"121,8632"</f>
        <v>121,8632</v>
      </c>
      <c r="M57" s="7" t="s">
        <v>489</v>
      </c>
    </row>
    <row r="58" spans="1:13">
      <c r="B58" s="5" t="s">
        <v>75</v>
      </c>
    </row>
    <row r="61" spans="1:13" ht="18">
      <c r="B61" s="13" t="s">
        <v>66</v>
      </c>
      <c r="C61" s="13"/>
    </row>
    <row r="62" spans="1:13" ht="16">
      <c r="B62" s="14" t="s">
        <v>67</v>
      </c>
      <c r="C62" s="14"/>
    </row>
    <row r="63" spans="1:13" ht="14">
      <c r="B63" s="15"/>
      <c r="C63" s="16" t="s">
        <v>68</v>
      </c>
    </row>
    <row r="64" spans="1:13" ht="14">
      <c r="B64" s="17" t="s">
        <v>69</v>
      </c>
      <c r="C64" s="17" t="s">
        <v>70</v>
      </c>
      <c r="D64" s="17" t="s">
        <v>817</v>
      </c>
      <c r="E64" s="17" t="s">
        <v>405</v>
      </c>
      <c r="F64" s="17" t="s">
        <v>72</v>
      </c>
    </row>
    <row r="65" spans="2:6">
      <c r="B65" s="5" t="s">
        <v>431</v>
      </c>
      <c r="C65" s="5" t="s">
        <v>68</v>
      </c>
      <c r="D65" s="6" t="s">
        <v>107</v>
      </c>
      <c r="E65" s="6" t="s">
        <v>141</v>
      </c>
      <c r="F65" s="6" t="s">
        <v>490</v>
      </c>
    </row>
    <row r="66" spans="2:6">
      <c r="B66" s="5" t="s">
        <v>467</v>
      </c>
      <c r="C66" s="5" t="s">
        <v>68</v>
      </c>
      <c r="D66" s="6" t="s">
        <v>73</v>
      </c>
      <c r="E66" s="6" t="s">
        <v>104</v>
      </c>
      <c r="F66" s="6" t="s">
        <v>491</v>
      </c>
    </row>
    <row r="67" spans="2:6">
      <c r="B67" s="5" t="s">
        <v>470</v>
      </c>
      <c r="C67" s="5" t="s">
        <v>68</v>
      </c>
      <c r="D67" s="6" t="s">
        <v>73</v>
      </c>
      <c r="E67" s="6" t="s">
        <v>103</v>
      </c>
      <c r="F67" s="6" t="s">
        <v>492</v>
      </c>
    </row>
    <row r="69" spans="2:6" ht="14">
      <c r="B69" s="15"/>
      <c r="C69" s="16" t="s">
        <v>211</v>
      </c>
    </row>
    <row r="70" spans="2:6" ht="14">
      <c r="B70" s="17" t="s">
        <v>69</v>
      </c>
      <c r="C70" s="17" t="s">
        <v>70</v>
      </c>
      <c r="D70" s="17" t="s">
        <v>817</v>
      </c>
      <c r="E70" s="17" t="s">
        <v>405</v>
      </c>
      <c r="F70" s="17" t="s">
        <v>72</v>
      </c>
    </row>
    <row r="71" spans="2:6">
      <c r="B71" s="5" t="s">
        <v>479</v>
      </c>
      <c r="C71" s="5" t="s">
        <v>493</v>
      </c>
      <c r="D71" s="6" t="s">
        <v>73</v>
      </c>
      <c r="E71" s="6" t="s">
        <v>25</v>
      </c>
      <c r="F71" s="6" t="s">
        <v>494</v>
      </c>
    </row>
    <row r="72" spans="2:6">
      <c r="B72" s="5" t="s">
        <v>477</v>
      </c>
      <c r="C72" s="5" t="s">
        <v>380</v>
      </c>
      <c r="D72" s="6" t="s">
        <v>73</v>
      </c>
      <c r="E72" s="6" t="s">
        <v>60</v>
      </c>
      <c r="F72" s="6" t="s">
        <v>495</v>
      </c>
    </row>
    <row r="73" spans="2:6">
      <c r="B73" s="5" t="s">
        <v>455</v>
      </c>
      <c r="C73" s="5" t="s">
        <v>496</v>
      </c>
      <c r="D73" s="6" t="s">
        <v>215</v>
      </c>
      <c r="E73" s="6" t="s">
        <v>115</v>
      </c>
      <c r="F73" s="6" t="s">
        <v>497</v>
      </c>
    </row>
    <row r="74" spans="2:6">
      <c r="B74" s="5" t="s">
        <v>75</v>
      </c>
    </row>
  </sheetData>
  <mergeCells count="22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9:J39"/>
    <mergeCell ref="A45:J45"/>
    <mergeCell ref="A53:J53"/>
    <mergeCell ref="A56:J56"/>
    <mergeCell ref="B3:B4"/>
    <mergeCell ref="A8:J8"/>
    <mergeCell ref="A13:J13"/>
    <mergeCell ref="A18:J18"/>
    <mergeCell ref="A22:J22"/>
    <mergeCell ref="A25:J25"/>
    <mergeCell ref="A32:J3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C7A12-AE7C-4093-998D-3A1AAE8FFAC5}">
  <dimension ref="A1:M10"/>
  <sheetViews>
    <sheetView workbookViewId="0">
      <selection activeCell="E10" sqref="E10"/>
    </sheetView>
  </sheetViews>
  <sheetFormatPr baseColWidth="10" defaultColWidth="9.1640625" defaultRowHeight="13"/>
  <cols>
    <col min="1" max="1" width="7.1640625" style="5" bestFit="1" customWidth="1"/>
    <col min="2" max="2" width="19" style="5" bestFit="1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18.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5.83203125" style="5" bestFit="1" customWidth="1"/>
    <col min="14" max="16384" width="9.1640625" style="3"/>
  </cols>
  <sheetData>
    <row r="1" spans="1:13" s="2" customFormat="1" ht="29" customHeight="1">
      <c r="A1" s="45" t="s">
        <v>799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898</v>
      </c>
      <c r="B3" s="43" t="s">
        <v>0</v>
      </c>
      <c r="C3" s="55" t="s">
        <v>899</v>
      </c>
      <c r="D3" s="55" t="s">
        <v>5</v>
      </c>
      <c r="E3" s="37" t="s">
        <v>900</v>
      </c>
      <c r="F3" s="37" t="s">
        <v>6</v>
      </c>
      <c r="G3" s="37" t="s">
        <v>8</v>
      </c>
      <c r="H3" s="37"/>
      <c r="I3" s="37"/>
      <c r="J3" s="37"/>
      <c r="K3" s="37" t="s">
        <v>406</v>
      </c>
      <c r="L3" s="37" t="s">
        <v>3</v>
      </c>
      <c r="M3" s="39" t="s">
        <v>2</v>
      </c>
    </row>
    <row r="4" spans="1:13" s="1" customFormat="1" ht="21" customHeight="1" thickBot="1">
      <c r="A4" s="54"/>
      <c r="B4" s="44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38"/>
      <c r="L4" s="38"/>
      <c r="M4" s="40"/>
    </row>
    <row r="5" spans="1:13" ht="16">
      <c r="A5" s="41" t="s">
        <v>270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8" t="s">
        <v>74</v>
      </c>
      <c r="B6" s="7" t="s">
        <v>643</v>
      </c>
      <c r="C6" s="7" t="s">
        <v>644</v>
      </c>
      <c r="D6" s="7" t="s">
        <v>645</v>
      </c>
      <c r="E6" s="7" t="s">
        <v>901</v>
      </c>
      <c r="F6" s="7" t="s">
        <v>873</v>
      </c>
      <c r="G6" s="18" t="s">
        <v>113</v>
      </c>
      <c r="H6" s="19" t="s">
        <v>149</v>
      </c>
      <c r="I6" s="19" t="s">
        <v>149</v>
      </c>
      <c r="J6" s="8"/>
      <c r="K6" s="8" t="str">
        <f>"110,0"</f>
        <v>110,0</v>
      </c>
      <c r="L6" s="8" t="str">
        <f>"99,1925"</f>
        <v>99,1925</v>
      </c>
      <c r="M6" s="7" t="s">
        <v>821</v>
      </c>
    </row>
    <row r="7" spans="1:13">
      <c r="B7" s="5" t="s">
        <v>75</v>
      </c>
    </row>
    <row r="8" spans="1:13" ht="16">
      <c r="A8" s="33" t="s">
        <v>169</v>
      </c>
      <c r="B8" s="33"/>
      <c r="C8" s="34"/>
      <c r="D8" s="34"/>
      <c r="E8" s="34"/>
      <c r="F8" s="34"/>
      <c r="G8" s="34"/>
      <c r="H8" s="34"/>
      <c r="I8" s="34"/>
      <c r="J8" s="34"/>
    </row>
    <row r="9" spans="1:13">
      <c r="A9" s="8" t="s">
        <v>74</v>
      </c>
      <c r="B9" s="7" t="s">
        <v>646</v>
      </c>
      <c r="C9" s="7" t="s">
        <v>647</v>
      </c>
      <c r="D9" s="7" t="s">
        <v>648</v>
      </c>
      <c r="E9" s="7" t="s">
        <v>901</v>
      </c>
      <c r="F9" s="7" t="s">
        <v>884</v>
      </c>
      <c r="G9" s="18" t="s">
        <v>25</v>
      </c>
      <c r="H9" s="18" t="s">
        <v>141</v>
      </c>
      <c r="I9" s="18" t="s">
        <v>103</v>
      </c>
      <c r="J9" s="8"/>
      <c r="K9" s="8" t="str">
        <f>"220,0"</f>
        <v>220,0</v>
      </c>
      <c r="L9" s="8" t="str">
        <f>"128,9970"</f>
        <v>128,9970</v>
      </c>
      <c r="M9" s="7"/>
    </row>
    <row r="10" spans="1:13">
      <c r="B10" s="5" t="s">
        <v>75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WRPF ПЛ без экипировки ДК</vt:lpstr>
      <vt:lpstr>WRPF ПЛ без экипировки</vt:lpstr>
      <vt:lpstr>WRPF ПЛ в бинтах ДК</vt:lpstr>
      <vt:lpstr>WRPF ПЛ в бинтах</vt:lpstr>
      <vt:lpstr>WRPF Двоеборье без экип ДК</vt:lpstr>
      <vt:lpstr>WRPF Двоеборье без экип</vt:lpstr>
      <vt:lpstr>WRPF Жим лежа без экип ДК</vt:lpstr>
      <vt:lpstr>WRPF Жим лежа без экип</vt:lpstr>
      <vt:lpstr>WEPF Жим софт однопетельная ДК</vt:lpstr>
      <vt:lpstr>WEPF Жим софт однопетельная</vt:lpstr>
      <vt:lpstr>WEPF Жим софт многопетельнаяДК</vt:lpstr>
      <vt:lpstr>WEPF Жим софт многопетельная</vt:lpstr>
      <vt:lpstr>WRPF Тяга без экипировки ДК</vt:lpstr>
      <vt:lpstr>WRPF Тяга без экипировки</vt:lpstr>
      <vt:lpstr>WEPF Тяга экип</vt:lpstr>
      <vt:lpstr>WRPF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2021-05-01T08:48:28Z</dcterms:modified>
</cp:coreProperties>
</file>