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wnloads/"/>
    </mc:Choice>
  </mc:AlternateContent>
  <xr:revisionPtr revIDLastSave="0" documentId="13_ncr:1_{123BE4C4-749D-E145-84A7-7AC587CFBF60}" xr6:coauthVersionLast="45" xr6:coauthVersionMax="47" xr10:uidLastSave="{00000000-0000-0000-0000-000000000000}"/>
  <bookViews>
    <workbookView xWindow="480" yWindow="460" windowWidth="28320" windowHeight="15860" tabRatio="929" xr2:uid="{00000000-000D-0000-FFFF-FFFF00000000}"/>
  </bookViews>
  <sheets>
    <sheet name="WRPF ПЛ без экипировки" sheetId="6" r:id="rId1"/>
    <sheet name="WRPF ПЛ в бинтах" sheetId="5" r:id="rId2"/>
    <sheet name="WRPF Двоеборье без экип" sheetId="12" r:id="rId3"/>
    <sheet name="WRPF Жим лежа без экип" sheetId="8" r:id="rId4"/>
    <sheet name="WRPF Тяга без экипировки" sheetId="10" r:id="rId5"/>
    <sheet name="СПР Подъем на бицепс" sheetId="20" r:id="rId6"/>
  </sheets>
  <definedNames>
    <definedName name="_FilterDatabase" localSheetId="1" hidden="1">'WRPF ПЛ в бинтах'!$A$1:$S$3</definedName>
  </definedName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9" i="20" l="1"/>
  <c r="K29" i="20"/>
  <c r="L26" i="20"/>
  <c r="K26" i="20"/>
  <c r="L25" i="20"/>
  <c r="K25" i="20"/>
  <c r="L22" i="20"/>
  <c r="K22" i="20"/>
  <c r="L19" i="20"/>
  <c r="K19" i="20"/>
  <c r="L18" i="20"/>
  <c r="K18" i="20"/>
  <c r="L15" i="20"/>
  <c r="K15" i="20"/>
  <c r="L12" i="20"/>
  <c r="K12" i="20"/>
  <c r="L9" i="20"/>
  <c r="K9" i="20"/>
  <c r="L6" i="20"/>
  <c r="K6" i="20"/>
  <c r="P16" i="12"/>
  <c r="O16" i="12"/>
  <c r="P13" i="12"/>
  <c r="O13" i="12"/>
  <c r="P10" i="12"/>
  <c r="O10" i="12"/>
  <c r="P9" i="12"/>
  <c r="O9" i="12"/>
  <c r="P6" i="12"/>
  <c r="O6" i="12"/>
  <c r="L32" i="10"/>
  <c r="K32" i="10"/>
  <c r="L31" i="10"/>
  <c r="K31" i="10"/>
  <c r="L30" i="10"/>
  <c r="K30" i="10"/>
  <c r="L29" i="10"/>
  <c r="K29" i="10"/>
  <c r="L26" i="10"/>
  <c r="K26" i="10"/>
  <c r="L23" i="10"/>
  <c r="K23" i="10"/>
  <c r="L20" i="10"/>
  <c r="K20" i="10"/>
  <c r="L19" i="10"/>
  <c r="K19" i="10"/>
  <c r="L18" i="10"/>
  <c r="K18" i="10"/>
  <c r="L15" i="10"/>
  <c r="K15" i="10"/>
  <c r="L12" i="10"/>
  <c r="K12" i="10"/>
  <c r="L9" i="10"/>
  <c r="K9" i="10"/>
  <c r="L6" i="10"/>
  <c r="K6" i="10"/>
  <c r="L58" i="8"/>
  <c r="K58" i="8"/>
  <c r="L57" i="8"/>
  <c r="K57" i="8"/>
  <c r="L54" i="8"/>
  <c r="K54" i="8"/>
  <c r="L53" i="8"/>
  <c r="K53" i="8"/>
  <c r="L52" i="8"/>
  <c r="K52" i="8"/>
  <c r="L51" i="8"/>
  <c r="K51" i="8"/>
  <c r="L48" i="8"/>
  <c r="K48" i="8"/>
  <c r="L47" i="8"/>
  <c r="K47" i="8"/>
  <c r="L46" i="8"/>
  <c r="K46" i="8"/>
  <c r="L45" i="8"/>
  <c r="K45" i="8"/>
  <c r="L44" i="8"/>
  <c r="K44" i="8"/>
  <c r="L43" i="8"/>
  <c r="K43" i="8"/>
  <c r="L40" i="8"/>
  <c r="K40" i="8"/>
  <c r="L39" i="8"/>
  <c r="K39" i="8"/>
  <c r="L38" i="8"/>
  <c r="K38" i="8"/>
  <c r="L37" i="8"/>
  <c r="K37" i="8"/>
  <c r="L36" i="8"/>
  <c r="K36" i="8"/>
  <c r="L35" i="8"/>
  <c r="K35" i="8"/>
  <c r="L34" i="8"/>
  <c r="K34" i="8"/>
  <c r="L31" i="8"/>
  <c r="K31" i="8"/>
  <c r="L30" i="8"/>
  <c r="K30" i="8"/>
  <c r="L29" i="8"/>
  <c r="K29" i="8"/>
  <c r="L28" i="8"/>
  <c r="K28" i="8"/>
  <c r="L25" i="8"/>
  <c r="K25" i="8"/>
  <c r="L24" i="8"/>
  <c r="K24" i="8"/>
  <c r="L21" i="8"/>
  <c r="K21" i="8"/>
  <c r="L20" i="8"/>
  <c r="K20" i="8"/>
  <c r="L17" i="8"/>
  <c r="K17" i="8"/>
  <c r="L14" i="8"/>
  <c r="K14" i="8"/>
  <c r="L11" i="8"/>
  <c r="K11" i="8"/>
  <c r="L10" i="8"/>
  <c r="K10" i="8"/>
  <c r="L7" i="8"/>
  <c r="K7" i="8"/>
  <c r="L6" i="8"/>
  <c r="K6" i="8"/>
  <c r="T60" i="6"/>
  <c r="S60" i="6"/>
  <c r="T57" i="6"/>
  <c r="S57" i="6"/>
  <c r="T56" i="6"/>
  <c r="S56" i="6"/>
  <c r="T55" i="6"/>
  <c r="S55" i="6"/>
  <c r="T52" i="6"/>
  <c r="S52" i="6"/>
  <c r="T51" i="6"/>
  <c r="T50" i="6"/>
  <c r="S50" i="6"/>
  <c r="T49" i="6"/>
  <c r="T48" i="6"/>
  <c r="S48" i="6"/>
  <c r="T45" i="6"/>
  <c r="S45" i="6"/>
  <c r="T42" i="6"/>
  <c r="S42" i="6"/>
  <c r="T39" i="6"/>
  <c r="S39" i="6"/>
  <c r="T38" i="6"/>
  <c r="S38" i="6"/>
  <c r="T37" i="6"/>
  <c r="S37" i="6"/>
  <c r="T34" i="6"/>
  <c r="S34" i="6"/>
  <c r="T33" i="6"/>
  <c r="S33" i="6"/>
  <c r="T30" i="6"/>
  <c r="S30" i="6"/>
  <c r="T29" i="6"/>
  <c r="S29" i="6"/>
  <c r="T26" i="6"/>
  <c r="S26" i="6"/>
  <c r="T23" i="6"/>
  <c r="S23" i="6"/>
  <c r="T20" i="6"/>
  <c r="S20" i="6"/>
  <c r="T17" i="6"/>
  <c r="S17" i="6"/>
  <c r="T14" i="6"/>
  <c r="S14" i="6"/>
  <c r="T13" i="6"/>
  <c r="S13" i="6"/>
  <c r="T10" i="6"/>
  <c r="S10" i="6"/>
  <c r="T9" i="6"/>
  <c r="S9" i="6"/>
  <c r="T6" i="6"/>
  <c r="S6" i="6"/>
  <c r="T26" i="5"/>
  <c r="S26" i="5"/>
  <c r="T23" i="5"/>
  <c r="S23" i="5"/>
  <c r="T22" i="5"/>
  <c r="S22" i="5"/>
  <c r="T19" i="5"/>
  <c r="S19" i="5"/>
  <c r="T16" i="5"/>
  <c r="S16" i="5"/>
  <c r="T13" i="5"/>
  <c r="S13" i="5"/>
  <c r="T10" i="5"/>
  <c r="S10" i="5"/>
  <c r="T9" i="5"/>
  <c r="S9" i="5"/>
  <c r="T6" i="5"/>
  <c r="S6" i="5"/>
</calcChain>
</file>

<file path=xl/sharedStrings.xml><?xml version="1.0" encoding="utf-8"?>
<sst xmlns="http://schemas.openxmlformats.org/spreadsheetml/2006/main" count="1445" uniqueCount="445">
  <si>
    <t>Открытый Чемпионат «Титаны Забайкалья: Непобедимая Держава»
WRPF любители Пауэрлифтинг без экипировки
Чита/Забайкальский край, 10 апреля 2021 года</t>
  </si>
  <si>
    <t>ФИО</t>
  </si>
  <si>
    <t>Собственный 
вес</t>
  </si>
  <si>
    <t>Город/Область</t>
  </si>
  <si>
    <t>Приседание</t>
  </si>
  <si>
    <t>Жим лёжа</t>
  </si>
  <si>
    <t>Становая тяга</t>
  </si>
  <si>
    <t>Сумма</t>
  </si>
  <si>
    <t>Очки</t>
  </si>
  <si>
    <t>Тренер</t>
  </si>
  <si>
    <t>Рек</t>
  </si>
  <si>
    <t>ВЕСОВАЯ КАТЕГОРИЯ   48</t>
  </si>
  <si>
    <t>1</t>
  </si>
  <si>
    <t>Овчинникова Людмила</t>
  </si>
  <si>
    <t>Открытая (15.10.1988)/32</t>
  </si>
  <si>
    <t>45,20</t>
  </si>
  <si>
    <t xml:space="preserve">Чита/Забайкальский край </t>
  </si>
  <si>
    <t>70,0</t>
  </si>
  <si>
    <t>75,0</t>
  </si>
  <si>
    <t>77,5</t>
  </si>
  <si>
    <t>40,0</t>
  </si>
  <si>
    <t>45,0</t>
  </si>
  <si>
    <t>80,0</t>
  </si>
  <si>
    <t>Ловцов И.</t>
  </si>
  <si>
    <t/>
  </si>
  <si>
    <t>ВЕСОВАЯ КАТЕГОРИЯ   52</t>
  </si>
  <si>
    <t>Буракова Мария</t>
  </si>
  <si>
    <t>Открытая (14.11.1988)/32</t>
  </si>
  <si>
    <t>51,60</t>
  </si>
  <si>
    <t>85,0</t>
  </si>
  <si>
    <t>90,0</t>
  </si>
  <si>
    <t>47,5</t>
  </si>
  <si>
    <t>50,0</t>
  </si>
  <si>
    <t>52,5</t>
  </si>
  <si>
    <t>110,0</t>
  </si>
  <si>
    <t>117,5</t>
  </si>
  <si>
    <t>122,5</t>
  </si>
  <si>
    <t>Карнаухова Юлия</t>
  </si>
  <si>
    <t>Мастера 40-49 (26.10.1977)/43</t>
  </si>
  <si>
    <t>51,50</t>
  </si>
  <si>
    <t>95,0</t>
  </si>
  <si>
    <t>55,0</t>
  </si>
  <si>
    <t>100,0</t>
  </si>
  <si>
    <t>ВЕСОВАЯ КАТЕГОРИЯ   56</t>
  </si>
  <si>
    <t>Михайлова Анастасия</t>
  </si>
  <si>
    <t>Открытая (27.07.1992)/28</t>
  </si>
  <si>
    <t>54,80</t>
  </si>
  <si>
    <t xml:space="preserve">Кокуй/Забайкальский край </t>
  </si>
  <si>
    <t>105,0</t>
  </si>
  <si>
    <t>60,0</t>
  </si>
  <si>
    <t>120,0</t>
  </si>
  <si>
    <t>125,0</t>
  </si>
  <si>
    <t>Ильченко В.</t>
  </si>
  <si>
    <t>2</t>
  </si>
  <si>
    <t>Перминова Анна</t>
  </si>
  <si>
    <t>Открытая (05.08.1990)/30</t>
  </si>
  <si>
    <t>55,80</t>
  </si>
  <si>
    <t xml:space="preserve">Борзя/Забайкальский край </t>
  </si>
  <si>
    <t>Лебедев В.</t>
  </si>
  <si>
    <t>ВЕСОВАЯ КАТЕГОРИЯ   60</t>
  </si>
  <si>
    <t>Учайкина Вероника</t>
  </si>
  <si>
    <t>Девушки 14-16 (17.02.2005)/16</t>
  </si>
  <si>
    <t>57,90</t>
  </si>
  <si>
    <t>82,5</t>
  </si>
  <si>
    <t>107,5</t>
  </si>
  <si>
    <t>ВЕСОВАЯ КАТЕГОРИЯ   67.5</t>
  </si>
  <si>
    <t>Ларионова Анастасия</t>
  </si>
  <si>
    <t>Открытая (18.10.1994)/26</t>
  </si>
  <si>
    <t>65,50</t>
  </si>
  <si>
    <t>72,5</t>
  </si>
  <si>
    <t>ВЕСОВАЯ КАТЕГОРИЯ   82.5</t>
  </si>
  <si>
    <t>Насритдинов Тимур</t>
  </si>
  <si>
    <t>Девушки 14-16 (24.04.2004)/16</t>
  </si>
  <si>
    <t>82,40</t>
  </si>
  <si>
    <t>130,0</t>
  </si>
  <si>
    <t>145,0</t>
  </si>
  <si>
    <t>160,0</t>
  </si>
  <si>
    <t>Марков Николай</t>
  </si>
  <si>
    <t>Юноши 14-16 (30.09.2009)/11</t>
  </si>
  <si>
    <t>29,15</t>
  </si>
  <si>
    <t xml:space="preserve">Александровский завод/Забайкал </t>
  </si>
  <si>
    <t>30,0</t>
  </si>
  <si>
    <t>32,5</t>
  </si>
  <si>
    <t>35,0</t>
  </si>
  <si>
    <t>20,0</t>
  </si>
  <si>
    <t>22,5</t>
  </si>
  <si>
    <t>25,0</t>
  </si>
  <si>
    <t>Соколов Ф.</t>
  </si>
  <si>
    <t>Соколов Дмитрий</t>
  </si>
  <si>
    <t>Юноши 14-16 (18.08.2008)/12</t>
  </si>
  <si>
    <t>54,30</t>
  </si>
  <si>
    <t>Александровский-Завод/Забайкальский край</t>
  </si>
  <si>
    <t>65,0</t>
  </si>
  <si>
    <t>Березин Александр</t>
  </si>
  <si>
    <t>Юноши 17-19 (30.03.2002)/19</t>
  </si>
  <si>
    <t>55,40</t>
  </si>
  <si>
    <t>135,0</t>
  </si>
  <si>
    <t>97,5</t>
  </si>
  <si>
    <t>170,0</t>
  </si>
  <si>
    <t>180,0</t>
  </si>
  <si>
    <t>Емеличев Дмитрий</t>
  </si>
  <si>
    <t>Юноши 14-16 (08.11.2005)/15</t>
  </si>
  <si>
    <t>57,80</t>
  </si>
  <si>
    <t>115,0</t>
  </si>
  <si>
    <t>87,5</t>
  </si>
  <si>
    <t>140,0</t>
  </si>
  <si>
    <t>150,0</t>
  </si>
  <si>
    <t>Дроботушенко Егор</t>
  </si>
  <si>
    <t>Юноши 14-16 (27.03.2005)/16</t>
  </si>
  <si>
    <t>59,00</t>
  </si>
  <si>
    <t>127,5</t>
  </si>
  <si>
    <t>Попов Александр</t>
  </si>
  <si>
    <t>Юноши 14-16 (18.02.2005)/16</t>
  </si>
  <si>
    <t>64,30</t>
  </si>
  <si>
    <t>Савин Дмитрий</t>
  </si>
  <si>
    <t>Юноши 17-19 (19.12.2003)/17</t>
  </si>
  <si>
    <t>62,50</t>
  </si>
  <si>
    <t xml:space="preserve">Калга/Забайкальский край </t>
  </si>
  <si>
    <t>67,5</t>
  </si>
  <si>
    <t>137,5</t>
  </si>
  <si>
    <t>Редикульцев А.</t>
  </si>
  <si>
    <t>Шпильман Альберт</t>
  </si>
  <si>
    <t>Юноши 17-19 (10.12.2003)/17</t>
  </si>
  <si>
    <t>63,00</t>
  </si>
  <si>
    <t>92,5</t>
  </si>
  <si>
    <t>ВЕСОВАЯ КАТЕГОРИЯ   75</t>
  </si>
  <si>
    <t>Фомичёв Илья</t>
  </si>
  <si>
    <t>Юниоры (27.06.2000)/20</t>
  </si>
  <si>
    <t>73,00</t>
  </si>
  <si>
    <t>132,5</t>
  </si>
  <si>
    <t>192,5</t>
  </si>
  <si>
    <t>200,0</t>
  </si>
  <si>
    <t>Фрей М.</t>
  </si>
  <si>
    <t>Герасимов Вадим</t>
  </si>
  <si>
    <t>Открытая (17.05.1994)/26</t>
  </si>
  <si>
    <t>80,60</t>
  </si>
  <si>
    <t>190,0</t>
  </si>
  <si>
    <t>215,0</t>
  </si>
  <si>
    <t>ВЕСОВАЯ КАТЕГОРИЯ   90</t>
  </si>
  <si>
    <t>Кравцов Владислав</t>
  </si>
  <si>
    <t>Юноши 14-16 (16.08.2004)/16</t>
  </si>
  <si>
    <t>88,20</t>
  </si>
  <si>
    <t>162,5</t>
  </si>
  <si>
    <t>-</t>
  </si>
  <si>
    <t>Сучков Никита</t>
  </si>
  <si>
    <t>Юниоры (16.10.2000)/20</t>
  </si>
  <si>
    <t>85,80</t>
  </si>
  <si>
    <t>157,5</t>
  </si>
  <si>
    <t>Мишин Евгений</t>
  </si>
  <si>
    <t>Открытая (11.12.1989)/31</t>
  </si>
  <si>
    <t>87,10</t>
  </si>
  <si>
    <t>225,0</t>
  </si>
  <si>
    <t>240,0</t>
  </si>
  <si>
    <t>Головков Дмитрий</t>
  </si>
  <si>
    <t>Открытая (01.06.1994)/26</t>
  </si>
  <si>
    <t>89,30</t>
  </si>
  <si>
    <t>220,0</t>
  </si>
  <si>
    <t>Федоров Александр</t>
  </si>
  <si>
    <t>Мастера 40-49 (01.02.1976)/45</t>
  </si>
  <si>
    <t>86,80</t>
  </si>
  <si>
    <t>152,5</t>
  </si>
  <si>
    <t>155,0</t>
  </si>
  <si>
    <t>ВЕСОВАЯ КАТЕГОРИЯ   100</t>
  </si>
  <si>
    <t>Болдырев Андрей</t>
  </si>
  <si>
    <t>Юноши 17-19 (29.04.2003)/17</t>
  </si>
  <si>
    <t>91,20</t>
  </si>
  <si>
    <t>195,0</t>
  </si>
  <si>
    <t>175,0</t>
  </si>
  <si>
    <t>185,0</t>
  </si>
  <si>
    <t>Варфоломеев Владимр</t>
  </si>
  <si>
    <t>Открытая (10.08.1987)/33</t>
  </si>
  <si>
    <t>96,50</t>
  </si>
  <si>
    <t>250,0</t>
  </si>
  <si>
    <t>Семёнов Семён</t>
  </si>
  <si>
    <t>Открытая (14.11.1993)/27</t>
  </si>
  <si>
    <t>99,50</t>
  </si>
  <si>
    <t>182,5</t>
  </si>
  <si>
    <t>ВЕСОВАЯ КАТЕГОРИЯ   110</t>
  </si>
  <si>
    <t>Пешков Дмитрий</t>
  </si>
  <si>
    <t>Открытая (06.07.1991)/29</t>
  </si>
  <si>
    <t>108,40</t>
  </si>
  <si>
    <t xml:space="preserve">Приаргунск/Забайкальский край </t>
  </si>
  <si>
    <t>165,0</t>
  </si>
  <si>
    <t>265,0</t>
  </si>
  <si>
    <t>275,0</t>
  </si>
  <si>
    <t xml:space="preserve">Абсолютный зачёт </t>
  </si>
  <si>
    <t xml:space="preserve">Мужчины </t>
  </si>
  <si>
    <t xml:space="preserve">Юноши </t>
  </si>
  <si>
    <t xml:space="preserve">ФИО </t>
  </si>
  <si>
    <t xml:space="preserve">Возрастная группа </t>
  </si>
  <si>
    <t>Весовая категория</t>
  </si>
  <si>
    <t xml:space="preserve">Сумма </t>
  </si>
  <si>
    <t xml:space="preserve">Wilks </t>
  </si>
  <si>
    <t xml:space="preserve">Юноши 17-19 </t>
  </si>
  <si>
    <t>56</t>
  </si>
  <si>
    <t>412,5</t>
  </si>
  <si>
    <t>379,5000</t>
  </si>
  <si>
    <t>100</t>
  </si>
  <si>
    <t>512,5</t>
  </si>
  <si>
    <t>325,0275</t>
  </si>
  <si>
    <t xml:space="preserve">Юноши 14-16 </t>
  </si>
  <si>
    <t>60</t>
  </si>
  <si>
    <t>347,5</t>
  </si>
  <si>
    <t>306,8425</t>
  </si>
  <si>
    <t>Открытый Чемпионат «Титаны Забайкалья: Непобедимая Держава»
WRPF любители Пауэрлифтинг классический в бинтах
Чита/Забайкальский край, 10 апреля 2021 года</t>
  </si>
  <si>
    <t>Ушакова Елена</t>
  </si>
  <si>
    <t>Открытая (01.03.1992)/29</t>
  </si>
  <si>
    <t>47,10</t>
  </si>
  <si>
    <t>27,5</t>
  </si>
  <si>
    <t>Самостоятельно</t>
  </si>
  <si>
    <t>Прокопьева Татьяна</t>
  </si>
  <si>
    <t>Открытая (18.09.1985)/35</t>
  </si>
  <si>
    <t>54,00</t>
  </si>
  <si>
    <t>Мохова Эльвира</t>
  </si>
  <si>
    <t>Мастера 40-49 (12.08.1972)/48</t>
  </si>
  <si>
    <t>55,70</t>
  </si>
  <si>
    <t>Редикульцева Жанна</t>
  </si>
  <si>
    <t>Мастера 40-49 (21.08.1976)/44</t>
  </si>
  <si>
    <t>63,80</t>
  </si>
  <si>
    <t>Наринян Серж</t>
  </si>
  <si>
    <t>Юноши 14-16 (21.05.2004)/16</t>
  </si>
  <si>
    <t>72,80</t>
  </si>
  <si>
    <t xml:space="preserve">Чернышевск/Забайкальский край </t>
  </si>
  <si>
    <t>Дедков В.</t>
  </si>
  <si>
    <t>Ушаков Григорий</t>
  </si>
  <si>
    <t>Открытая (20.02.1983)/38</t>
  </si>
  <si>
    <t>78,00</t>
  </si>
  <si>
    <t>Коновалов Максим</t>
  </si>
  <si>
    <t>Открытая (22.10.1993)/27</t>
  </si>
  <si>
    <t>89,00</t>
  </si>
  <si>
    <t>142,5</t>
  </si>
  <si>
    <t>197,5</t>
  </si>
  <si>
    <t>210,0</t>
  </si>
  <si>
    <t>Соколов Фёдор</t>
  </si>
  <si>
    <t>Мастера 60-69 (31.07.1953)/67</t>
  </si>
  <si>
    <t>87,50</t>
  </si>
  <si>
    <t>Соколов С.</t>
  </si>
  <si>
    <t>ВЕСОВАЯ КАТЕГОРИЯ   125</t>
  </si>
  <si>
    <t>Епифанцев Сергей</t>
  </si>
  <si>
    <t>Открытая (06.10.1986)/34</t>
  </si>
  <si>
    <t>115,40</t>
  </si>
  <si>
    <t>330,0</t>
  </si>
  <si>
    <t>345,0</t>
  </si>
  <si>
    <t>355,0</t>
  </si>
  <si>
    <t>300,0</t>
  </si>
  <si>
    <t>310,0</t>
  </si>
  <si>
    <t>Семенов К.</t>
  </si>
  <si>
    <t>Открытый Чемпионат «Титаны Забайкалья: Непобедимая Держава»
WRPF любители Силовое двоеборье без экипировки
Чита/Забайкальский край, 10 апреля 2021 года</t>
  </si>
  <si>
    <t>Ложеницын Леонид</t>
  </si>
  <si>
    <t>Юноши 14-16 (18.04.2006)/14</t>
  </si>
  <si>
    <t>69,50</t>
  </si>
  <si>
    <t>Епифанцев С.</t>
  </si>
  <si>
    <t>Ташлыков Сергей</t>
  </si>
  <si>
    <t>Открытая (01.06.1982)/38</t>
  </si>
  <si>
    <t>78,30</t>
  </si>
  <si>
    <t>Безотецкий Евгений</t>
  </si>
  <si>
    <t>Мастера 40-49 (09.01.1979)/42</t>
  </si>
  <si>
    <t>80,00</t>
  </si>
  <si>
    <t>Трухин В.</t>
  </si>
  <si>
    <t>89,40</t>
  </si>
  <si>
    <t>235,0</t>
  </si>
  <si>
    <t>242,5</t>
  </si>
  <si>
    <t>Русин Андрей</t>
  </si>
  <si>
    <t>Открытая (17.02.1984)/37</t>
  </si>
  <si>
    <t>102,10</t>
  </si>
  <si>
    <t>260,0</t>
  </si>
  <si>
    <t>280,0</t>
  </si>
  <si>
    <t>Открытый Чемпионат «Титаны Забайкалья: Непобедимая Держава»
WRPF любители Жим лежа без экипировки
Чита/Забайкальский край, 10 апреля 2021 года</t>
  </si>
  <si>
    <t>Результат</t>
  </si>
  <si>
    <t>Филиппова Олеся</t>
  </si>
  <si>
    <t>Открытая (04.06.1989)/31</t>
  </si>
  <si>
    <t>53,30</t>
  </si>
  <si>
    <t>Красноштанова Зинаида</t>
  </si>
  <si>
    <t>Открытая (28.09.1989)/31</t>
  </si>
  <si>
    <t>54,60</t>
  </si>
  <si>
    <t>57,5</t>
  </si>
  <si>
    <t>Попова Кристина</t>
  </si>
  <si>
    <t>Юниорки (10.10.2000)/20</t>
  </si>
  <si>
    <t>58,30</t>
  </si>
  <si>
    <t>Днепровская Екатерина</t>
  </si>
  <si>
    <t>Открытая (08.10.1986)/34</t>
  </si>
  <si>
    <t>59,50</t>
  </si>
  <si>
    <t>Широков М.</t>
  </si>
  <si>
    <t>Токмакова Екатерина</t>
  </si>
  <si>
    <t>Открытая (13.01.1987)/34</t>
  </si>
  <si>
    <t>61,00</t>
  </si>
  <si>
    <t>Шондра Ольга</t>
  </si>
  <si>
    <t>Юниорки (03.10.1997)/23</t>
  </si>
  <si>
    <t>79,10</t>
  </si>
  <si>
    <t>62,5</t>
  </si>
  <si>
    <t>Сверкунов Кирилл</t>
  </si>
  <si>
    <t>Юноши 14-16 (18.08.2005)/15</t>
  </si>
  <si>
    <t>61,50</t>
  </si>
  <si>
    <t>Сороканюк О.</t>
  </si>
  <si>
    <t>Филатов Николай</t>
  </si>
  <si>
    <t>Юноши 17-19 (10.01.2003)/18</t>
  </si>
  <si>
    <t>63,40</t>
  </si>
  <si>
    <t>Серазитинов Александр</t>
  </si>
  <si>
    <t>Открытая (19.05.1990)/30</t>
  </si>
  <si>
    <t>74,50</t>
  </si>
  <si>
    <t>Ляпин А.</t>
  </si>
  <si>
    <t>Рабданов Сокто</t>
  </si>
  <si>
    <t>Открытая (07.06.1991)/29</t>
  </si>
  <si>
    <t>74,00</t>
  </si>
  <si>
    <t>Архипов Антон</t>
  </si>
  <si>
    <t>Юноши 14-16 (01.07.2004)/16</t>
  </si>
  <si>
    <t>76,00</t>
  </si>
  <si>
    <t>Щегрин Н.</t>
  </si>
  <si>
    <t>Никитин Дмитрий</t>
  </si>
  <si>
    <t>Открытая (05.06.1993)/27</t>
  </si>
  <si>
    <t>82,00</t>
  </si>
  <si>
    <t>177,5</t>
  </si>
  <si>
    <t>Суслов Н.</t>
  </si>
  <si>
    <t>Оболонков Вячеслав</t>
  </si>
  <si>
    <t>Открытая (09.03.1995)/26</t>
  </si>
  <si>
    <t>82,20</t>
  </si>
  <si>
    <t>Пермяков Алексей</t>
  </si>
  <si>
    <t>Юноши 14-16 (23.07.2005)/15</t>
  </si>
  <si>
    <t>90,00</t>
  </si>
  <si>
    <t>Родионов Ерофей</t>
  </si>
  <si>
    <t>Юноши 17-19 (14.10.2002)/18</t>
  </si>
  <si>
    <t>87,80</t>
  </si>
  <si>
    <t xml:space="preserve">Чита/Забайкальский край. </t>
  </si>
  <si>
    <t>Хасанов С.</t>
  </si>
  <si>
    <t>Воробьёв Максим</t>
  </si>
  <si>
    <t>Открытая (10.03.1994)/27</t>
  </si>
  <si>
    <t>167,5</t>
  </si>
  <si>
    <t>Кандауров Ю.</t>
  </si>
  <si>
    <t>Мыльников Дмитрий</t>
  </si>
  <si>
    <t>Открытая (10.05.1987)/33</t>
  </si>
  <si>
    <t>89,50</t>
  </si>
  <si>
    <t>3</t>
  </si>
  <si>
    <t>Тараканов Юрий</t>
  </si>
  <si>
    <t>Открытая (29.11.1983)/37</t>
  </si>
  <si>
    <t>Никитин Д.</t>
  </si>
  <si>
    <t>Суханов Александр</t>
  </si>
  <si>
    <t>Открытая (28.12.1982)/38</t>
  </si>
  <si>
    <t>99,70</t>
  </si>
  <si>
    <t>172,5</t>
  </si>
  <si>
    <t>Середин Виктор</t>
  </si>
  <si>
    <t>Открытая (23.05.1991)/29</t>
  </si>
  <si>
    <t>97,00</t>
  </si>
  <si>
    <t>Чеканов Евгений</t>
  </si>
  <si>
    <t>Открытая (02.01.1991)/30</t>
  </si>
  <si>
    <t>4</t>
  </si>
  <si>
    <t>Войтенко Владимир</t>
  </si>
  <si>
    <t>Открытая (26.07.1956)/64</t>
  </si>
  <si>
    <t>93,00</t>
  </si>
  <si>
    <t>Ларионов Дмитрий</t>
  </si>
  <si>
    <t>Мастера 40-49 (07.02.1981)/40</t>
  </si>
  <si>
    <t>94,50</t>
  </si>
  <si>
    <t>Мастера 60-69 (26.07.1956)/64</t>
  </si>
  <si>
    <t>Николаев Иван</t>
  </si>
  <si>
    <t>Открытая (24.10.1989)/31</t>
  </si>
  <si>
    <t>108,50</t>
  </si>
  <si>
    <t>Бородин Альберт</t>
  </si>
  <si>
    <t>Открытая (19.07.1984)/36</t>
  </si>
  <si>
    <t>109,90</t>
  </si>
  <si>
    <t>Зайцев Артем</t>
  </si>
  <si>
    <t>Открытая (30.10.1990)/30</t>
  </si>
  <si>
    <t>108,80</t>
  </si>
  <si>
    <t>Цильке Николай</t>
  </si>
  <si>
    <t>Мастера 50-59 (23.05.1965)/55</t>
  </si>
  <si>
    <t>107,00</t>
  </si>
  <si>
    <t>Бутаков Георгий</t>
  </si>
  <si>
    <t>Открытая (09.12.1990)/30</t>
  </si>
  <si>
    <t>114,80</t>
  </si>
  <si>
    <t>Белослюдцев Дмитрий</t>
  </si>
  <si>
    <t>Мастера 40-49 (25.12.1972)/48</t>
  </si>
  <si>
    <t>122,90</t>
  </si>
  <si>
    <t xml:space="preserve">Открытая </t>
  </si>
  <si>
    <t xml:space="preserve">Результат </t>
  </si>
  <si>
    <t>82.5</t>
  </si>
  <si>
    <t>119,3510</t>
  </si>
  <si>
    <t>110</t>
  </si>
  <si>
    <t>115,2450</t>
  </si>
  <si>
    <t>125</t>
  </si>
  <si>
    <t>114,8068</t>
  </si>
  <si>
    <t xml:space="preserve">Мастера </t>
  </si>
  <si>
    <t xml:space="preserve">Мастера 60-69 </t>
  </si>
  <si>
    <t>143,7965</t>
  </si>
  <si>
    <t>90</t>
  </si>
  <si>
    <t>113,8166</t>
  </si>
  <si>
    <t xml:space="preserve">Мастера 40-49 </t>
  </si>
  <si>
    <t>101,9355</t>
  </si>
  <si>
    <t>Таракановский Михаил</t>
  </si>
  <si>
    <t>Юноши 13-19 (07.11.2004)/16</t>
  </si>
  <si>
    <t>56,00</t>
  </si>
  <si>
    <t>Даурия/Забайкальский край</t>
  </si>
  <si>
    <t>Ярлыков Дмитрий</t>
  </si>
  <si>
    <t>Юноши 13-19 (16.07.2006)/14</t>
  </si>
  <si>
    <t>60,00</t>
  </si>
  <si>
    <t xml:space="preserve">Александровский-Завод/Забайкальский край </t>
  </si>
  <si>
    <t>Юноши 13-19 (10.01.2003)/18</t>
  </si>
  <si>
    <t>37,5</t>
  </si>
  <si>
    <t>42,5</t>
  </si>
  <si>
    <t>Мастера 60+ (31.07.1953)/67</t>
  </si>
  <si>
    <t>Открытый Чемпионат «Титаны Забайкалья: Непобедимая Держава»
WRPF любители Становая тяга без экипировки
Чита/Забайкальский край, 10 апреля 2021 года</t>
  </si>
  <si>
    <t>Пермякова Елена</t>
  </si>
  <si>
    <t>Открытая (14.12.1987)/33</t>
  </si>
  <si>
    <t>71,00</t>
  </si>
  <si>
    <t>112,5</t>
  </si>
  <si>
    <t>Дедков Владимир</t>
  </si>
  <si>
    <t>Открытая (10.07.1992)/28</t>
  </si>
  <si>
    <t>88,30</t>
  </si>
  <si>
    <t>Козлов Владеслав</t>
  </si>
  <si>
    <t>Мастера 40-49 (30.10.1980)/40</t>
  </si>
  <si>
    <t>88,50</t>
  </si>
  <si>
    <t>202,5</t>
  </si>
  <si>
    <t>Викулов Виктор</t>
  </si>
  <si>
    <t>Открытая (09.03.1985)/36</t>
  </si>
  <si>
    <t>98,20</t>
  </si>
  <si>
    <t>Русин А.</t>
  </si>
  <si>
    <t>245,0</t>
  </si>
  <si>
    <t>257,5</t>
  </si>
  <si>
    <t>Гришин Александр</t>
  </si>
  <si>
    <t>Открытая (23.08.1976)/44</t>
  </si>
  <si>
    <t>122,00</t>
  </si>
  <si>
    <t>Фёдоров А.</t>
  </si>
  <si>
    <t>Мастера 40-49 (23.08.1976)/44</t>
  </si>
  <si>
    <t>Открытый Чемпионат «Титаны Забайкалья: Непобедимая Держава»
СПР Строгий подъем штанги на бицепс
Чита/Забайкальский край, 10 апреля 2021 года</t>
  </si>
  <si>
    <t>Богатырев Александр</t>
  </si>
  <si>
    <t>Мастера 40-49 (01.10.1973)/47</t>
  </si>
  <si>
    <t>Зинчук С.</t>
  </si>
  <si>
    <t>Дедковский Сергей</t>
  </si>
  <si>
    <t>Открытая (02.03.1997)/24</t>
  </si>
  <si>
    <t>71,40</t>
  </si>
  <si>
    <t>Миронов Константин</t>
  </si>
  <si>
    <t>Открытая (18.07.1991)/29</t>
  </si>
  <si>
    <t>Данильчук Максим</t>
  </si>
  <si>
    <t>Юниоры 20-23 (17.02.2000)/21</t>
  </si>
  <si>
    <t>82,15</t>
  </si>
  <si>
    <t>Юноши 13-19 (14.10.2002)/18</t>
  </si>
  <si>
    <t>Жим</t>
  </si>
  <si>
    <t>№</t>
  </si>
  <si>
    <t xml:space="preserve">
Дата рождения/Возраст</t>
  </si>
  <si>
    <t>Возрастная группа</t>
  </si>
  <si>
    <t>M1</t>
  </si>
  <si>
    <t>T</t>
  </si>
  <si>
    <t>O</t>
  </si>
  <si>
    <t>J</t>
  </si>
  <si>
    <t>M3</t>
  </si>
  <si>
    <t>T2</t>
  </si>
  <si>
    <t>T1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</si>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</sst>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2"/>
  <sheetViews>
    <sheetView tabSelected="1" topLeftCell="A24" workbookViewId="0">
      <selection activeCell="E61" sqref="E61"/>
    </sheetView>
  </sheetViews>
  <sheetFormatPr baseColWidth="10" defaultColWidth="9.1640625" defaultRowHeight="13"/>
  <cols>
    <col min="1" max="1" width="7.5" style="4" bestFit="1" customWidth="1"/>
    <col min="2" max="2" width="21.5" style="4" bestFit="1" customWidth="1"/>
    <col min="3" max="3" width="27.83203125" style="4" customWidth="1"/>
    <col min="4" max="4" width="21.5" style="4" bestFit="1" customWidth="1"/>
    <col min="5" max="5" width="10.5" style="4" bestFit="1" customWidth="1"/>
    <col min="6" max="6" width="31.83203125" style="4" bestFit="1" customWidth="1"/>
    <col min="7" max="9" width="5.5" style="5" customWidth="1"/>
    <col min="10" max="10" width="4.83203125" style="5" customWidth="1"/>
    <col min="11" max="13" width="5.5" style="5" customWidth="1"/>
    <col min="14" max="14" width="4.83203125" style="5" customWidth="1"/>
    <col min="15" max="17" width="5.5" style="5" customWidth="1"/>
    <col min="18" max="18" width="4.83203125" style="5" customWidth="1"/>
    <col min="19" max="19" width="7.83203125" style="32" bestFit="1" customWidth="1"/>
    <col min="20" max="20" width="8.5" style="5" bestFit="1" customWidth="1"/>
    <col min="21" max="21" width="15.6640625" style="4" bestFit="1" customWidth="1"/>
    <col min="22" max="16384" width="9.1640625" style="3"/>
  </cols>
  <sheetData>
    <row r="1" spans="1:21" s="2" customFormat="1" ht="29" customHeight="1">
      <c r="A1" s="49" t="s">
        <v>0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/>
    </row>
    <row r="2" spans="1:21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6"/>
    </row>
    <row r="3" spans="1:21" s="1" customFormat="1" ht="12.75" customHeight="1">
      <c r="A3" s="57" t="s">
        <v>434</v>
      </c>
      <c r="B3" s="39" t="s">
        <v>1</v>
      </c>
      <c r="C3" s="59" t="s">
        <v>435</v>
      </c>
      <c r="D3" s="59" t="s">
        <v>2</v>
      </c>
      <c r="E3" s="43" t="s">
        <v>436</v>
      </c>
      <c r="F3" s="43" t="s">
        <v>3</v>
      </c>
      <c r="G3" s="43" t="s">
        <v>4</v>
      </c>
      <c r="H3" s="43"/>
      <c r="I3" s="43"/>
      <c r="J3" s="43"/>
      <c r="K3" s="43" t="s">
        <v>5</v>
      </c>
      <c r="L3" s="43"/>
      <c r="M3" s="43"/>
      <c r="N3" s="43"/>
      <c r="O3" s="43" t="s">
        <v>6</v>
      </c>
      <c r="P3" s="43"/>
      <c r="Q3" s="43"/>
      <c r="R3" s="43"/>
      <c r="S3" s="41" t="s">
        <v>7</v>
      </c>
      <c r="T3" s="43" t="s">
        <v>8</v>
      </c>
      <c r="U3" s="45" t="s">
        <v>9</v>
      </c>
    </row>
    <row r="4" spans="1:21" s="1" customFormat="1" ht="21" customHeight="1" thickBot="1">
      <c r="A4" s="58"/>
      <c r="B4" s="40"/>
      <c r="C4" s="44"/>
      <c r="D4" s="44"/>
      <c r="E4" s="44"/>
      <c r="F4" s="44"/>
      <c r="G4" s="26">
        <v>1</v>
      </c>
      <c r="H4" s="26">
        <v>2</v>
      </c>
      <c r="I4" s="26">
        <v>3</v>
      </c>
      <c r="J4" s="26" t="s">
        <v>10</v>
      </c>
      <c r="K4" s="26">
        <v>1</v>
      </c>
      <c r="L4" s="26">
        <v>2</v>
      </c>
      <c r="M4" s="26">
        <v>3</v>
      </c>
      <c r="N4" s="26" t="s">
        <v>10</v>
      </c>
      <c r="O4" s="26">
        <v>1</v>
      </c>
      <c r="P4" s="26">
        <v>2</v>
      </c>
      <c r="Q4" s="26">
        <v>3</v>
      </c>
      <c r="R4" s="26" t="s">
        <v>10</v>
      </c>
      <c r="S4" s="42"/>
      <c r="T4" s="44"/>
      <c r="U4" s="46"/>
    </row>
    <row r="5" spans="1:21" ht="16">
      <c r="A5" s="47" t="s">
        <v>11</v>
      </c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21">
      <c r="A6" s="7" t="s">
        <v>12</v>
      </c>
      <c r="B6" s="6" t="s">
        <v>13</v>
      </c>
      <c r="C6" s="6" t="s">
        <v>14</v>
      </c>
      <c r="D6" s="6" t="s">
        <v>15</v>
      </c>
      <c r="E6" s="6" t="s">
        <v>439</v>
      </c>
      <c r="F6" s="6" t="s">
        <v>16</v>
      </c>
      <c r="G6" s="16" t="s">
        <v>17</v>
      </c>
      <c r="H6" s="16" t="s">
        <v>18</v>
      </c>
      <c r="I6" s="16" t="s">
        <v>19</v>
      </c>
      <c r="J6" s="7"/>
      <c r="K6" s="16" t="s">
        <v>20</v>
      </c>
      <c r="L6" s="17" t="s">
        <v>21</v>
      </c>
      <c r="M6" s="16" t="s">
        <v>21</v>
      </c>
      <c r="N6" s="7"/>
      <c r="O6" s="16" t="s">
        <v>17</v>
      </c>
      <c r="P6" s="16" t="s">
        <v>18</v>
      </c>
      <c r="Q6" s="16" t="s">
        <v>22</v>
      </c>
      <c r="R6" s="7"/>
      <c r="S6" s="33" t="str">
        <f>"202,5"</f>
        <v>202,5</v>
      </c>
      <c r="T6" s="7" t="str">
        <f>"279,9563"</f>
        <v>279,9563</v>
      </c>
      <c r="U6" s="28" t="s">
        <v>23</v>
      </c>
    </row>
    <row r="7" spans="1:21">
      <c r="B7" s="4" t="s">
        <v>24</v>
      </c>
    </row>
    <row r="8" spans="1:21" ht="16">
      <c r="A8" s="37" t="s">
        <v>25</v>
      </c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1:21">
      <c r="A9" s="9" t="s">
        <v>12</v>
      </c>
      <c r="B9" s="8" t="s">
        <v>26</v>
      </c>
      <c r="C9" s="8" t="s">
        <v>27</v>
      </c>
      <c r="D9" s="8" t="s">
        <v>28</v>
      </c>
      <c r="E9" s="8" t="s">
        <v>439</v>
      </c>
      <c r="F9" s="8" t="s">
        <v>16</v>
      </c>
      <c r="G9" s="19" t="s">
        <v>29</v>
      </c>
      <c r="H9" s="18" t="s">
        <v>29</v>
      </c>
      <c r="I9" s="18" t="s">
        <v>30</v>
      </c>
      <c r="J9" s="9"/>
      <c r="K9" s="18" t="s">
        <v>31</v>
      </c>
      <c r="L9" s="18" t="s">
        <v>32</v>
      </c>
      <c r="M9" s="19" t="s">
        <v>33</v>
      </c>
      <c r="N9" s="9"/>
      <c r="O9" s="18" t="s">
        <v>34</v>
      </c>
      <c r="P9" s="18" t="s">
        <v>35</v>
      </c>
      <c r="Q9" s="18" t="s">
        <v>36</v>
      </c>
      <c r="R9" s="9"/>
      <c r="S9" s="34" t="str">
        <f>"262,5"</f>
        <v>262,5</v>
      </c>
      <c r="T9" s="9" t="str">
        <f>"329,2012"</f>
        <v>329,2012</v>
      </c>
      <c r="U9" s="29"/>
    </row>
    <row r="10" spans="1:21">
      <c r="A10" s="11" t="s">
        <v>12</v>
      </c>
      <c r="B10" s="10" t="s">
        <v>37</v>
      </c>
      <c r="C10" s="10" t="s">
        <v>38</v>
      </c>
      <c r="D10" s="10" t="s">
        <v>39</v>
      </c>
      <c r="E10" s="10" t="s">
        <v>437</v>
      </c>
      <c r="F10" s="10" t="s">
        <v>16</v>
      </c>
      <c r="G10" s="21" t="s">
        <v>29</v>
      </c>
      <c r="H10" s="21" t="s">
        <v>30</v>
      </c>
      <c r="I10" s="21" t="s">
        <v>40</v>
      </c>
      <c r="J10" s="11"/>
      <c r="K10" s="21" t="s">
        <v>32</v>
      </c>
      <c r="L10" s="21" t="s">
        <v>33</v>
      </c>
      <c r="M10" s="21" t="s">
        <v>41</v>
      </c>
      <c r="N10" s="11"/>
      <c r="O10" s="21" t="s">
        <v>22</v>
      </c>
      <c r="P10" s="21" t="s">
        <v>30</v>
      </c>
      <c r="Q10" s="21" t="s">
        <v>42</v>
      </c>
      <c r="R10" s="11"/>
      <c r="S10" s="35" t="str">
        <f>"250,0"</f>
        <v>250,0</v>
      </c>
      <c r="T10" s="11" t="str">
        <f>"322,7920"</f>
        <v>322,7920</v>
      </c>
      <c r="U10" s="10"/>
    </row>
    <row r="11" spans="1:21">
      <c r="B11" s="4" t="s">
        <v>24</v>
      </c>
    </row>
    <row r="12" spans="1:21" ht="16">
      <c r="A12" s="37" t="s">
        <v>43</v>
      </c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21">
      <c r="A13" s="9" t="s">
        <v>12</v>
      </c>
      <c r="B13" s="8" t="s">
        <v>44</v>
      </c>
      <c r="C13" s="8" t="s">
        <v>45</v>
      </c>
      <c r="D13" s="8" t="s">
        <v>46</v>
      </c>
      <c r="E13" s="8" t="s">
        <v>439</v>
      </c>
      <c r="F13" s="29" t="s">
        <v>47</v>
      </c>
      <c r="G13" s="18" t="s">
        <v>40</v>
      </c>
      <c r="H13" s="18" t="s">
        <v>42</v>
      </c>
      <c r="I13" s="18" t="s">
        <v>48</v>
      </c>
      <c r="J13" s="9"/>
      <c r="K13" s="18" t="s">
        <v>32</v>
      </c>
      <c r="L13" s="18" t="s">
        <v>41</v>
      </c>
      <c r="M13" s="18" t="s">
        <v>49</v>
      </c>
      <c r="N13" s="9"/>
      <c r="O13" s="18" t="s">
        <v>34</v>
      </c>
      <c r="P13" s="18" t="s">
        <v>50</v>
      </c>
      <c r="Q13" s="18" t="s">
        <v>51</v>
      </c>
      <c r="R13" s="9"/>
      <c r="S13" s="34" t="str">
        <f>"290,0"</f>
        <v>290,0</v>
      </c>
      <c r="T13" s="9" t="str">
        <f>"347,0430"</f>
        <v>347,0430</v>
      </c>
      <c r="U13" s="29" t="s">
        <v>52</v>
      </c>
    </row>
    <row r="14" spans="1:21">
      <c r="A14" s="11" t="s">
        <v>53</v>
      </c>
      <c r="B14" s="10" t="s">
        <v>54</v>
      </c>
      <c r="C14" s="10" t="s">
        <v>55</v>
      </c>
      <c r="D14" s="10" t="s">
        <v>56</v>
      </c>
      <c r="E14" s="10" t="s">
        <v>439</v>
      </c>
      <c r="F14" s="10" t="s">
        <v>57</v>
      </c>
      <c r="G14" s="21" t="s">
        <v>30</v>
      </c>
      <c r="H14" s="20" t="s">
        <v>40</v>
      </c>
      <c r="I14" s="20" t="s">
        <v>40</v>
      </c>
      <c r="J14" s="11"/>
      <c r="K14" s="21" t="s">
        <v>31</v>
      </c>
      <c r="L14" s="21" t="s">
        <v>32</v>
      </c>
      <c r="M14" s="20" t="s">
        <v>41</v>
      </c>
      <c r="N14" s="11"/>
      <c r="O14" s="21" t="s">
        <v>42</v>
      </c>
      <c r="P14" s="21" t="s">
        <v>48</v>
      </c>
      <c r="Q14" s="20" t="s">
        <v>34</v>
      </c>
      <c r="R14" s="11"/>
      <c r="S14" s="35" t="str">
        <f>"245,0"</f>
        <v>245,0</v>
      </c>
      <c r="T14" s="11" t="str">
        <f>"289,0755"</f>
        <v>289,0755</v>
      </c>
      <c r="U14" s="30" t="s">
        <v>58</v>
      </c>
    </row>
    <row r="15" spans="1:21">
      <c r="B15" s="4" t="s">
        <v>24</v>
      </c>
    </row>
    <row r="16" spans="1:21" ht="16">
      <c r="A16" s="37" t="s">
        <v>59</v>
      </c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21">
      <c r="A17" s="7" t="s">
        <v>12</v>
      </c>
      <c r="B17" s="6" t="s">
        <v>60</v>
      </c>
      <c r="C17" s="6" t="s">
        <v>61</v>
      </c>
      <c r="D17" s="6" t="s">
        <v>62</v>
      </c>
      <c r="E17" s="6" t="s">
        <v>443</v>
      </c>
      <c r="F17" s="28" t="s">
        <v>47</v>
      </c>
      <c r="G17" s="17" t="s">
        <v>22</v>
      </c>
      <c r="H17" s="16" t="s">
        <v>22</v>
      </c>
      <c r="I17" s="17" t="s">
        <v>63</v>
      </c>
      <c r="J17" s="7"/>
      <c r="K17" s="16" t="s">
        <v>20</v>
      </c>
      <c r="L17" s="16" t="s">
        <v>21</v>
      </c>
      <c r="M17" s="16" t="s">
        <v>31</v>
      </c>
      <c r="N17" s="7"/>
      <c r="O17" s="16" t="s">
        <v>30</v>
      </c>
      <c r="P17" s="16" t="s">
        <v>42</v>
      </c>
      <c r="Q17" s="17" t="s">
        <v>64</v>
      </c>
      <c r="R17" s="7"/>
      <c r="S17" s="33" t="str">
        <f>"227,5"</f>
        <v>227,5</v>
      </c>
      <c r="T17" s="7" t="str">
        <f>"260,7832"</f>
        <v>260,7832</v>
      </c>
      <c r="U17" s="28" t="s">
        <v>52</v>
      </c>
    </row>
    <row r="18" spans="1:21">
      <c r="B18" s="4" t="s">
        <v>24</v>
      </c>
    </row>
    <row r="19" spans="1:21" ht="16">
      <c r="A19" s="37" t="s">
        <v>65</v>
      </c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</row>
    <row r="20" spans="1:21">
      <c r="A20" s="7" t="s">
        <v>12</v>
      </c>
      <c r="B20" s="6" t="s">
        <v>66</v>
      </c>
      <c r="C20" s="6" t="s">
        <v>67</v>
      </c>
      <c r="D20" s="6" t="s">
        <v>68</v>
      </c>
      <c r="E20" s="6" t="s">
        <v>439</v>
      </c>
      <c r="F20" s="6" t="s">
        <v>16</v>
      </c>
      <c r="G20" s="16" t="s">
        <v>69</v>
      </c>
      <c r="H20" s="16" t="s">
        <v>18</v>
      </c>
      <c r="I20" s="17" t="s">
        <v>19</v>
      </c>
      <c r="J20" s="7"/>
      <c r="K20" s="16" t="s">
        <v>21</v>
      </c>
      <c r="L20" s="17" t="s">
        <v>31</v>
      </c>
      <c r="M20" s="17" t="s">
        <v>31</v>
      </c>
      <c r="N20" s="7"/>
      <c r="O20" s="16" t="s">
        <v>30</v>
      </c>
      <c r="P20" s="16" t="s">
        <v>40</v>
      </c>
      <c r="Q20" s="16" t="s">
        <v>42</v>
      </c>
      <c r="R20" s="7"/>
      <c r="S20" s="33" t="str">
        <f>"220,0"</f>
        <v>220,0</v>
      </c>
      <c r="T20" s="7" t="str">
        <f>"229,5040"</f>
        <v>229,5040</v>
      </c>
      <c r="U20" s="28"/>
    </row>
    <row r="21" spans="1:21">
      <c r="B21" s="4" t="s">
        <v>24</v>
      </c>
    </row>
    <row r="22" spans="1:21" ht="16">
      <c r="A22" s="37" t="s">
        <v>70</v>
      </c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</row>
    <row r="23" spans="1:21">
      <c r="A23" s="7" t="s">
        <v>12</v>
      </c>
      <c r="B23" s="6" t="s">
        <v>71</v>
      </c>
      <c r="C23" s="6" t="s">
        <v>72</v>
      </c>
      <c r="D23" s="6" t="s">
        <v>73</v>
      </c>
      <c r="E23" s="6" t="s">
        <v>443</v>
      </c>
      <c r="F23" s="6" t="s">
        <v>16</v>
      </c>
      <c r="G23" s="16" t="s">
        <v>50</v>
      </c>
      <c r="H23" s="17" t="s">
        <v>74</v>
      </c>
      <c r="I23" s="16" t="s">
        <v>74</v>
      </c>
      <c r="J23" s="7"/>
      <c r="K23" s="16" t="s">
        <v>48</v>
      </c>
      <c r="L23" s="16" t="s">
        <v>34</v>
      </c>
      <c r="M23" s="16" t="s">
        <v>35</v>
      </c>
      <c r="N23" s="7"/>
      <c r="O23" s="16" t="s">
        <v>74</v>
      </c>
      <c r="P23" s="16" t="s">
        <v>75</v>
      </c>
      <c r="Q23" s="16" t="s">
        <v>76</v>
      </c>
      <c r="R23" s="7"/>
      <c r="S23" s="33" t="str">
        <f>"407,5"</f>
        <v>407,5</v>
      </c>
      <c r="T23" s="7" t="str">
        <f>"366,9537"</f>
        <v>366,9537</v>
      </c>
      <c r="U23" s="6"/>
    </row>
    <row r="24" spans="1:21">
      <c r="B24" s="4" t="s">
        <v>24</v>
      </c>
    </row>
    <row r="25" spans="1:21" ht="16">
      <c r="A25" s="37" t="s">
        <v>25</v>
      </c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21">
      <c r="A26" s="7" t="s">
        <v>12</v>
      </c>
      <c r="B26" s="6" t="s">
        <v>77</v>
      </c>
      <c r="C26" s="6" t="s">
        <v>78</v>
      </c>
      <c r="D26" s="6" t="s">
        <v>79</v>
      </c>
      <c r="E26" s="6" t="s">
        <v>443</v>
      </c>
      <c r="F26" s="6" t="s">
        <v>80</v>
      </c>
      <c r="G26" s="16" t="s">
        <v>81</v>
      </c>
      <c r="H26" s="16" t="s">
        <v>82</v>
      </c>
      <c r="I26" s="16" t="s">
        <v>83</v>
      </c>
      <c r="J26" s="7"/>
      <c r="K26" s="16" t="s">
        <v>84</v>
      </c>
      <c r="L26" s="16" t="s">
        <v>85</v>
      </c>
      <c r="M26" s="16" t="s">
        <v>86</v>
      </c>
      <c r="N26" s="7"/>
      <c r="O26" s="16" t="s">
        <v>20</v>
      </c>
      <c r="P26" s="16" t="s">
        <v>21</v>
      </c>
      <c r="Q26" s="16" t="s">
        <v>32</v>
      </c>
      <c r="R26" s="7"/>
      <c r="S26" s="33" t="str">
        <f>"110,0"</f>
        <v>110,0</v>
      </c>
      <c r="T26" s="7" t="str">
        <f>"146,8940"</f>
        <v>146,8940</v>
      </c>
      <c r="U26" s="28" t="s">
        <v>87</v>
      </c>
    </row>
    <row r="27" spans="1:21">
      <c r="B27" s="4" t="s">
        <v>24</v>
      </c>
    </row>
    <row r="28" spans="1:21" ht="16">
      <c r="A28" s="37" t="s">
        <v>43</v>
      </c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</row>
    <row r="29" spans="1:21">
      <c r="A29" s="9" t="s">
        <v>12</v>
      </c>
      <c r="B29" s="8" t="s">
        <v>88</v>
      </c>
      <c r="C29" s="8" t="s">
        <v>89</v>
      </c>
      <c r="D29" s="8" t="s">
        <v>90</v>
      </c>
      <c r="E29" s="8" t="s">
        <v>443</v>
      </c>
      <c r="F29" s="29" t="s">
        <v>91</v>
      </c>
      <c r="G29" s="18" t="s">
        <v>41</v>
      </c>
      <c r="H29" s="18" t="s">
        <v>49</v>
      </c>
      <c r="I29" s="18" t="s">
        <v>92</v>
      </c>
      <c r="J29" s="9"/>
      <c r="K29" s="18" t="s">
        <v>81</v>
      </c>
      <c r="L29" s="18" t="s">
        <v>83</v>
      </c>
      <c r="M29" s="18" t="s">
        <v>20</v>
      </c>
      <c r="N29" s="9"/>
      <c r="O29" s="18" t="s">
        <v>92</v>
      </c>
      <c r="P29" s="18" t="s">
        <v>17</v>
      </c>
      <c r="Q29" s="18" t="s">
        <v>22</v>
      </c>
      <c r="R29" s="9"/>
      <c r="S29" s="34" t="str">
        <f>"185,0"</f>
        <v>185,0</v>
      </c>
      <c r="T29" s="9" t="str">
        <f>"173,6410"</f>
        <v>173,6410</v>
      </c>
      <c r="U29" s="29" t="s">
        <v>87</v>
      </c>
    </row>
    <row r="30" spans="1:21">
      <c r="A30" s="11" t="s">
        <v>12</v>
      </c>
      <c r="B30" s="10" t="s">
        <v>93</v>
      </c>
      <c r="C30" s="10" t="s">
        <v>94</v>
      </c>
      <c r="D30" s="10" t="s">
        <v>95</v>
      </c>
      <c r="E30" s="10" t="s">
        <v>442</v>
      </c>
      <c r="F30" s="10" t="s">
        <v>57</v>
      </c>
      <c r="G30" s="21" t="s">
        <v>96</v>
      </c>
      <c r="H30" s="20" t="s">
        <v>75</v>
      </c>
      <c r="I30" s="20" t="s">
        <v>75</v>
      </c>
      <c r="J30" s="11"/>
      <c r="K30" s="21" t="s">
        <v>30</v>
      </c>
      <c r="L30" s="20" t="s">
        <v>97</v>
      </c>
      <c r="M30" s="21" t="s">
        <v>97</v>
      </c>
      <c r="N30" s="11"/>
      <c r="O30" s="21" t="s">
        <v>98</v>
      </c>
      <c r="P30" s="20" t="s">
        <v>99</v>
      </c>
      <c r="Q30" s="21" t="s">
        <v>99</v>
      </c>
      <c r="R30" s="11"/>
      <c r="S30" s="35" t="str">
        <f>"412,5"</f>
        <v>412,5</v>
      </c>
      <c r="T30" s="11" t="str">
        <f>"379,5000"</f>
        <v>379,5000</v>
      </c>
      <c r="U30" s="30" t="s">
        <v>58</v>
      </c>
    </row>
    <row r="31" spans="1:21">
      <c r="B31" s="4" t="s">
        <v>24</v>
      </c>
    </row>
    <row r="32" spans="1:21" ht="16">
      <c r="A32" s="37" t="s">
        <v>59</v>
      </c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</row>
    <row r="33" spans="1:21">
      <c r="A33" s="9" t="s">
        <v>12</v>
      </c>
      <c r="B33" s="8" t="s">
        <v>100</v>
      </c>
      <c r="C33" s="8" t="s">
        <v>101</v>
      </c>
      <c r="D33" s="8" t="s">
        <v>102</v>
      </c>
      <c r="E33" s="8" t="s">
        <v>443</v>
      </c>
      <c r="F33" s="29" t="s">
        <v>47</v>
      </c>
      <c r="G33" s="18" t="s">
        <v>42</v>
      </c>
      <c r="H33" s="18" t="s">
        <v>34</v>
      </c>
      <c r="I33" s="19" t="s">
        <v>103</v>
      </c>
      <c r="J33" s="9"/>
      <c r="K33" s="18" t="s">
        <v>22</v>
      </c>
      <c r="L33" s="18" t="s">
        <v>104</v>
      </c>
      <c r="M33" s="19" t="s">
        <v>30</v>
      </c>
      <c r="N33" s="9"/>
      <c r="O33" s="18" t="s">
        <v>74</v>
      </c>
      <c r="P33" s="18" t="s">
        <v>105</v>
      </c>
      <c r="Q33" s="18" t="s">
        <v>106</v>
      </c>
      <c r="R33" s="9"/>
      <c r="S33" s="34" t="str">
        <f>"347,5"</f>
        <v>347,5</v>
      </c>
      <c r="T33" s="9" t="str">
        <f>"306,8425"</f>
        <v>306,8425</v>
      </c>
      <c r="U33" s="29" t="s">
        <v>52</v>
      </c>
    </row>
    <row r="34" spans="1:21">
      <c r="A34" s="11" t="s">
        <v>53</v>
      </c>
      <c r="B34" s="10" t="s">
        <v>107</v>
      </c>
      <c r="C34" s="10" t="s">
        <v>108</v>
      </c>
      <c r="D34" s="10" t="s">
        <v>109</v>
      </c>
      <c r="E34" s="10" t="s">
        <v>443</v>
      </c>
      <c r="F34" s="10" t="s">
        <v>16</v>
      </c>
      <c r="G34" s="21" t="s">
        <v>18</v>
      </c>
      <c r="H34" s="21" t="s">
        <v>22</v>
      </c>
      <c r="I34" s="20" t="s">
        <v>29</v>
      </c>
      <c r="J34" s="11"/>
      <c r="K34" s="20" t="s">
        <v>21</v>
      </c>
      <c r="L34" s="21" t="s">
        <v>31</v>
      </c>
      <c r="M34" s="20" t="s">
        <v>32</v>
      </c>
      <c r="N34" s="11"/>
      <c r="O34" s="21" t="s">
        <v>103</v>
      </c>
      <c r="P34" s="21" t="s">
        <v>50</v>
      </c>
      <c r="Q34" s="21" t="s">
        <v>110</v>
      </c>
      <c r="R34" s="11"/>
      <c r="S34" s="35" t="str">
        <f>"255,0"</f>
        <v>255,0</v>
      </c>
      <c r="T34" s="11" t="str">
        <f>"220,8810"</f>
        <v>220,8810</v>
      </c>
      <c r="U34" s="30"/>
    </row>
    <row r="35" spans="1:21">
      <c r="B35" s="4" t="s">
        <v>24</v>
      </c>
    </row>
    <row r="36" spans="1:21" ht="16">
      <c r="A36" s="37" t="s">
        <v>65</v>
      </c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</row>
    <row r="37" spans="1:21">
      <c r="A37" s="9" t="s">
        <v>12</v>
      </c>
      <c r="B37" s="8" t="s">
        <v>111</v>
      </c>
      <c r="C37" s="8" t="s">
        <v>112</v>
      </c>
      <c r="D37" s="8" t="s">
        <v>113</v>
      </c>
      <c r="E37" s="8" t="s">
        <v>443</v>
      </c>
      <c r="F37" s="8" t="s">
        <v>16</v>
      </c>
      <c r="G37" s="18" t="s">
        <v>40</v>
      </c>
      <c r="H37" s="18" t="s">
        <v>48</v>
      </c>
      <c r="I37" s="19" t="s">
        <v>103</v>
      </c>
      <c r="J37" s="9"/>
      <c r="K37" s="18" t="s">
        <v>49</v>
      </c>
      <c r="L37" s="18" t="s">
        <v>92</v>
      </c>
      <c r="M37" s="18" t="s">
        <v>17</v>
      </c>
      <c r="N37" s="9"/>
      <c r="O37" s="18" t="s">
        <v>50</v>
      </c>
      <c r="P37" s="18" t="s">
        <v>74</v>
      </c>
      <c r="Q37" s="18" t="s">
        <v>105</v>
      </c>
      <c r="R37" s="9"/>
      <c r="S37" s="34" t="str">
        <f>"315,0"</f>
        <v>315,0</v>
      </c>
      <c r="T37" s="9" t="str">
        <f>"252,7875"</f>
        <v>252,7875</v>
      </c>
      <c r="U37" s="29"/>
    </row>
    <row r="38" spans="1:21">
      <c r="A38" s="23" t="s">
        <v>12</v>
      </c>
      <c r="B38" s="22" t="s">
        <v>114</v>
      </c>
      <c r="C38" s="31" t="s">
        <v>115</v>
      </c>
      <c r="D38" s="22" t="s">
        <v>116</v>
      </c>
      <c r="E38" s="22" t="s">
        <v>442</v>
      </c>
      <c r="F38" s="31" t="s">
        <v>117</v>
      </c>
      <c r="G38" s="24" t="s">
        <v>30</v>
      </c>
      <c r="H38" s="24" t="s">
        <v>42</v>
      </c>
      <c r="I38" s="25" t="s">
        <v>34</v>
      </c>
      <c r="J38" s="23"/>
      <c r="K38" s="24" t="s">
        <v>49</v>
      </c>
      <c r="L38" s="24" t="s">
        <v>118</v>
      </c>
      <c r="M38" s="24" t="s">
        <v>17</v>
      </c>
      <c r="N38" s="23"/>
      <c r="O38" s="24" t="s">
        <v>50</v>
      </c>
      <c r="P38" s="24" t="s">
        <v>74</v>
      </c>
      <c r="Q38" s="24" t="s">
        <v>119</v>
      </c>
      <c r="R38" s="23"/>
      <c r="S38" s="36" t="str">
        <f>"307,5"</f>
        <v>307,5</v>
      </c>
      <c r="T38" s="23" t="str">
        <f>"252,8573"</f>
        <v>252,8573</v>
      </c>
      <c r="U38" s="31" t="s">
        <v>120</v>
      </c>
    </row>
    <row r="39" spans="1:21">
      <c r="A39" s="11" t="s">
        <v>53</v>
      </c>
      <c r="B39" s="10" t="s">
        <v>121</v>
      </c>
      <c r="C39" s="30" t="s">
        <v>122</v>
      </c>
      <c r="D39" s="10" t="s">
        <v>123</v>
      </c>
      <c r="E39" s="10" t="s">
        <v>442</v>
      </c>
      <c r="F39" s="10" t="s">
        <v>16</v>
      </c>
      <c r="G39" s="21" t="s">
        <v>104</v>
      </c>
      <c r="H39" s="20" t="s">
        <v>124</v>
      </c>
      <c r="I39" s="21" t="s">
        <v>40</v>
      </c>
      <c r="J39" s="11"/>
      <c r="K39" s="21" t="s">
        <v>49</v>
      </c>
      <c r="L39" s="21" t="s">
        <v>92</v>
      </c>
      <c r="M39" s="21" t="s">
        <v>17</v>
      </c>
      <c r="N39" s="11"/>
      <c r="O39" s="21" t="s">
        <v>50</v>
      </c>
      <c r="P39" s="21" t="s">
        <v>110</v>
      </c>
      <c r="Q39" s="21" t="s">
        <v>96</v>
      </c>
      <c r="R39" s="11"/>
      <c r="S39" s="35" t="str">
        <f>"300,0"</f>
        <v>300,0</v>
      </c>
      <c r="T39" s="11" t="str">
        <f>"244,9800"</f>
        <v>244,9800</v>
      </c>
      <c r="U39" s="30"/>
    </row>
    <row r="40" spans="1:21">
      <c r="B40" s="4" t="s">
        <v>24</v>
      </c>
    </row>
    <row r="41" spans="1:21" ht="16">
      <c r="A41" s="37" t="s">
        <v>125</v>
      </c>
      <c r="B41" s="37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</row>
    <row r="42" spans="1:21">
      <c r="A42" s="7" t="s">
        <v>12</v>
      </c>
      <c r="B42" s="6" t="s">
        <v>126</v>
      </c>
      <c r="C42" s="6" t="s">
        <v>127</v>
      </c>
      <c r="D42" s="6" t="s">
        <v>128</v>
      </c>
      <c r="E42" s="6" t="s">
        <v>440</v>
      </c>
      <c r="F42" s="6" t="s">
        <v>16</v>
      </c>
      <c r="G42" s="16" t="s">
        <v>105</v>
      </c>
      <c r="H42" s="16" t="s">
        <v>106</v>
      </c>
      <c r="I42" s="16" t="s">
        <v>76</v>
      </c>
      <c r="J42" s="7"/>
      <c r="K42" s="16" t="s">
        <v>36</v>
      </c>
      <c r="L42" s="16" t="s">
        <v>110</v>
      </c>
      <c r="M42" s="17" t="s">
        <v>129</v>
      </c>
      <c r="N42" s="7"/>
      <c r="O42" s="16" t="s">
        <v>99</v>
      </c>
      <c r="P42" s="16" t="s">
        <v>130</v>
      </c>
      <c r="Q42" s="16" t="s">
        <v>131</v>
      </c>
      <c r="R42" s="7"/>
      <c r="S42" s="33" t="str">
        <f>"487,5"</f>
        <v>487,5</v>
      </c>
      <c r="T42" s="7" t="str">
        <f>"354,1200"</f>
        <v>354,1200</v>
      </c>
      <c r="U42" s="28" t="s">
        <v>132</v>
      </c>
    </row>
    <row r="43" spans="1:21">
      <c r="B43" s="4" t="s">
        <v>24</v>
      </c>
    </row>
    <row r="44" spans="1:21" ht="16">
      <c r="A44" s="37" t="s">
        <v>70</v>
      </c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</row>
    <row r="45" spans="1:21">
      <c r="A45" s="7" t="s">
        <v>12</v>
      </c>
      <c r="B45" s="6" t="s">
        <v>133</v>
      </c>
      <c r="C45" s="6" t="s">
        <v>134</v>
      </c>
      <c r="D45" s="6" t="s">
        <v>135</v>
      </c>
      <c r="E45" s="6" t="s">
        <v>439</v>
      </c>
      <c r="F45" s="6" t="s">
        <v>16</v>
      </c>
      <c r="G45" s="16" t="s">
        <v>98</v>
      </c>
      <c r="H45" s="16" t="s">
        <v>99</v>
      </c>
      <c r="I45" s="16" t="s">
        <v>136</v>
      </c>
      <c r="J45" s="7"/>
      <c r="K45" s="16" t="s">
        <v>50</v>
      </c>
      <c r="L45" s="16" t="s">
        <v>74</v>
      </c>
      <c r="M45" s="16" t="s">
        <v>105</v>
      </c>
      <c r="N45" s="7"/>
      <c r="O45" s="16" t="s">
        <v>136</v>
      </c>
      <c r="P45" s="16" t="s">
        <v>131</v>
      </c>
      <c r="Q45" s="16" t="s">
        <v>137</v>
      </c>
      <c r="R45" s="7"/>
      <c r="S45" s="33" t="str">
        <f>"545,0"</f>
        <v>545,0</v>
      </c>
      <c r="T45" s="7" t="str">
        <f>"370,3275"</f>
        <v>370,3275</v>
      </c>
      <c r="U45" s="28"/>
    </row>
    <row r="46" spans="1:21">
      <c r="B46" s="4" t="s">
        <v>24</v>
      </c>
    </row>
    <row r="47" spans="1:21" ht="16">
      <c r="A47" s="37" t="s">
        <v>138</v>
      </c>
      <c r="B47" s="37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</row>
    <row r="48" spans="1:21">
      <c r="A48" s="9" t="s">
        <v>12</v>
      </c>
      <c r="B48" s="8" t="s">
        <v>139</v>
      </c>
      <c r="C48" s="8" t="s">
        <v>140</v>
      </c>
      <c r="D48" s="8" t="s">
        <v>141</v>
      </c>
      <c r="E48" s="8" t="s">
        <v>443</v>
      </c>
      <c r="F48" s="8" t="s">
        <v>16</v>
      </c>
      <c r="G48" s="18" t="s">
        <v>105</v>
      </c>
      <c r="H48" s="18" t="s">
        <v>106</v>
      </c>
      <c r="I48" s="18" t="s">
        <v>142</v>
      </c>
      <c r="J48" s="9"/>
      <c r="K48" s="18" t="s">
        <v>34</v>
      </c>
      <c r="L48" s="18" t="s">
        <v>50</v>
      </c>
      <c r="M48" s="18" t="s">
        <v>51</v>
      </c>
      <c r="N48" s="9"/>
      <c r="O48" s="18" t="s">
        <v>106</v>
      </c>
      <c r="P48" s="18" t="s">
        <v>76</v>
      </c>
      <c r="Q48" s="18" t="s">
        <v>98</v>
      </c>
      <c r="R48" s="9"/>
      <c r="S48" s="34" t="str">
        <f>"457,5"</f>
        <v>457,5</v>
      </c>
      <c r="T48" s="9" t="str">
        <f>"295,1332"</f>
        <v>295,1332</v>
      </c>
      <c r="U48" s="29" t="s">
        <v>120</v>
      </c>
    </row>
    <row r="49" spans="1:21">
      <c r="A49" s="23" t="s">
        <v>143</v>
      </c>
      <c r="B49" s="22" t="s">
        <v>144</v>
      </c>
      <c r="C49" s="22" t="s">
        <v>145</v>
      </c>
      <c r="D49" s="22" t="s">
        <v>146</v>
      </c>
      <c r="E49" s="22" t="s">
        <v>440</v>
      </c>
      <c r="F49" s="22" t="s">
        <v>16</v>
      </c>
      <c r="G49" s="24" t="s">
        <v>106</v>
      </c>
      <c r="H49" s="25" t="s">
        <v>147</v>
      </c>
      <c r="I49" s="24" t="s">
        <v>147</v>
      </c>
      <c r="J49" s="23"/>
      <c r="K49" s="25" t="s">
        <v>74</v>
      </c>
      <c r="L49" s="25" t="s">
        <v>74</v>
      </c>
      <c r="M49" s="25" t="s">
        <v>74</v>
      </c>
      <c r="N49" s="23"/>
      <c r="O49" s="25"/>
      <c r="P49" s="23"/>
      <c r="Q49" s="23"/>
      <c r="R49" s="23"/>
      <c r="S49" s="36">
        <v>0</v>
      </c>
      <c r="T49" s="23" t="str">
        <f>"0,0000"</f>
        <v>0,0000</v>
      </c>
      <c r="U49" s="22"/>
    </row>
    <row r="50" spans="1:21">
      <c r="A50" s="23" t="s">
        <v>12</v>
      </c>
      <c r="B50" s="22" t="s">
        <v>148</v>
      </c>
      <c r="C50" s="22" t="s">
        <v>149</v>
      </c>
      <c r="D50" s="22" t="s">
        <v>150</v>
      </c>
      <c r="E50" s="22" t="s">
        <v>439</v>
      </c>
      <c r="F50" s="22" t="s">
        <v>16</v>
      </c>
      <c r="G50" s="24" t="s">
        <v>99</v>
      </c>
      <c r="H50" s="24" t="s">
        <v>136</v>
      </c>
      <c r="I50" s="24" t="s">
        <v>131</v>
      </c>
      <c r="J50" s="23"/>
      <c r="K50" s="24" t="s">
        <v>74</v>
      </c>
      <c r="L50" s="24" t="s">
        <v>105</v>
      </c>
      <c r="M50" s="24" t="s">
        <v>106</v>
      </c>
      <c r="N50" s="23"/>
      <c r="O50" s="24" t="s">
        <v>131</v>
      </c>
      <c r="P50" s="24" t="s">
        <v>151</v>
      </c>
      <c r="Q50" s="25" t="s">
        <v>152</v>
      </c>
      <c r="R50" s="23"/>
      <c r="S50" s="36" t="str">
        <f>"575,0"</f>
        <v>575,0</v>
      </c>
      <c r="T50" s="23" t="str">
        <f>"373,4625"</f>
        <v>373,4625</v>
      </c>
      <c r="U50" s="22"/>
    </row>
    <row r="51" spans="1:21">
      <c r="A51" s="23" t="s">
        <v>143</v>
      </c>
      <c r="B51" s="22" t="s">
        <v>153</v>
      </c>
      <c r="C51" s="22" t="s">
        <v>154</v>
      </c>
      <c r="D51" s="22" t="s">
        <v>155</v>
      </c>
      <c r="E51" s="22" t="s">
        <v>439</v>
      </c>
      <c r="F51" s="22" t="s">
        <v>16</v>
      </c>
      <c r="G51" s="25" t="s">
        <v>156</v>
      </c>
      <c r="H51" s="25" t="s">
        <v>156</v>
      </c>
      <c r="I51" s="25" t="s">
        <v>156</v>
      </c>
      <c r="J51" s="23"/>
      <c r="K51" s="25"/>
      <c r="L51" s="23"/>
      <c r="M51" s="23"/>
      <c r="N51" s="23"/>
      <c r="O51" s="25"/>
      <c r="P51" s="23"/>
      <c r="Q51" s="23"/>
      <c r="R51" s="23"/>
      <c r="S51" s="36">
        <v>0</v>
      </c>
      <c r="T51" s="23" t="str">
        <f>"0,0000"</f>
        <v>0,0000</v>
      </c>
      <c r="U51" s="31" t="s">
        <v>23</v>
      </c>
    </row>
    <row r="52" spans="1:21">
      <c r="A52" s="11" t="s">
        <v>12</v>
      </c>
      <c r="B52" s="10" t="s">
        <v>157</v>
      </c>
      <c r="C52" s="10" t="s">
        <v>158</v>
      </c>
      <c r="D52" s="10" t="s">
        <v>159</v>
      </c>
      <c r="E52" s="10" t="s">
        <v>437</v>
      </c>
      <c r="F52" s="10" t="s">
        <v>16</v>
      </c>
      <c r="G52" s="21" t="s">
        <v>75</v>
      </c>
      <c r="H52" s="21" t="s">
        <v>160</v>
      </c>
      <c r="I52" s="20" t="s">
        <v>142</v>
      </c>
      <c r="J52" s="11"/>
      <c r="K52" s="21" t="s">
        <v>34</v>
      </c>
      <c r="L52" s="21" t="s">
        <v>103</v>
      </c>
      <c r="M52" s="20" t="s">
        <v>50</v>
      </c>
      <c r="N52" s="11"/>
      <c r="O52" s="21" t="s">
        <v>161</v>
      </c>
      <c r="P52" s="21" t="s">
        <v>142</v>
      </c>
      <c r="Q52" s="21" t="s">
        <v>98</v>
      </c>
      <c r="R52" s="11"/>
      <c r="S52" s="35" t="str">
        <f>"437,5"</f>
        <v>437,5</v>
      </c>
      <c r="T52" s="11" t="str">
        <f>"301,7621"</f>
        <v>301,7621</v>
      </c>
      <c r="U52" s="30"/>
    </row>
    <row r="53" spans="1:21">
      <c r="B53" s="4" t="s">
        <v>24</v>
      </c>
    </row>
    <row r="54" spans="1:21" ht="16">
      <c r="A54" s="37" t="s">
        <v>162</v>
      </c>
      <c r="B54" s="37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</row>
    <row r="55" spans="1:21">
      <c r="A55" s="9" t="s">
        <v>12</v>
      </c>
      <c r="B55" s="8" t="s">
        <v>163</v>
      </c>
      <c r="C55" s="8" t="s">
        <v>164</v>
      </c>
      <c r="D55" s="8" t="s">
        <v>165</v>
      </c>
      <c r="E55" s="8" t="s">
        <v>442</v>
      </c>
      <c r="F55" s="8" t="s">
        <v>16</v>
      </c>
      <c r="G55" s="18" t="s">
        <v>99</v>
      </c>
      <c r="H55" s="18" t="s">
        <v>136</v>
      </c>
      <c r="I55" s="18" t="s">
        <v>166</v>
      </c>
      <c r="J55" s="9"/>
      <c r="K55" s="18" t="s">
        <v>50</v>
      </c>
      <c r="L55" s="18" t="s">
        <v>110</v>
      </c>
      <c r="M55" s="18" t="s">
        <v>129</v>
      </c>
      <c r="N55" s="9"/>
      <c r="O55" s="18" t="s">
        <v>76</v>
      </c>
      <c r="P55" s="18" t="s">
        <v>167</v>
      </c>
      <c r="Q55" s="18" t="s">
        <v>168</v>
      </c>
      <c r="R55" s="9"/>
      <c r="S55" s="34" t="str">
        <f>"512,5"</f>
        <v>512,5</v>
      </c>
      <c r="T55" s="9" t="str">
        <f>"325,0275"</f>
        <v>325,0275</v>
      </c>
      <c r="U55" s="29" t="s">
        <v>23</v>
      </c>
    </row>
    <row r="56" spans="1:21">
      <c r="A56" s="23" t="s">
        <v>12</v>
      </c>
      <c r="B56" s="22" t="s">
        <v>169</v>
      </c>
      <c r="C56" s="22" t="s">
        <v>170</v>
      </c>
      <c r="D56" s="22" t="s">
        <v>171</v>
      </c>
      <c r="E56" s="22" t="s">
        <v>439</v>
      </c>
      <c r="F56" s="22" t="s">
        <v>16</v>
      </c>
      <c r="G56" s="24" t="s">
        <v>136</v>
      </c>
      <c r="H56" s="25" t="s">
        <v>131</v>
      </c>
      <c r="I56" s="25" t="s">
        <v>131</v>
      </c>
      <c r="J56" s="23"/>
      <c r="K56" s="24" t="s">
        <v>105</v>
      </c>
      <c r="L56" s="24" t="s">
        <v>75</v>
      </c>
      <c r="M56" s="24" t="s">
        <v>160</v>
      </c>
      <c r="N56" s="23"/>
      <c r="O56" s="25" t="s">
        <v>156</v>
      </c>
      <c r="P56" s="24" t="s">
        <v>152</v>
      </c>
      <c r="Q56" s="25" t="s">
        <v>172</v>
      </c>
      <c r="R56" s="23"/>
      <c r="S56" s="36" t="str">
        <f>"582,5"</f>
        <v>582,5</v>
      </c>
      <c r="T56" s="23" t="str">
        <f>"359,8102"</f>
        <v>359,8102</v>
      </c>
      <c r="U56" s="22"/>
    </row>
    <row r="57" spans="1:21">
      <c r="A57" s="11" t="s">
        <v>53</v>
      </c>
      <c r="B57" s="10" t="s">
        <v>173</v>
      </c>
      <c r="C57" s="10" t="s">
        <v>174</v>
      </c>
      <c r="D57" s="10" t="s">
        <v>175</v>
      </c>
      <c r="E57" s="10" t="s">
        <v>439</v>
      </c>
      <c r="F57" s="10" t="s">
        <v>16</v>
      </c>
      <c r="G57" s="21" t="s">
        <v>76</v>
      </c>
      <c r="H57" s="21" t="s">
        <v>98</v>
      </c>
      <c r="I57" s="21" t="s">
        <v>99</v>
      </c>
      <c r="J57" s="11"/>
      <c r="K57" s="21" t="s">
        <v>103</v>
      </c>
      <c r="L57" s="21" t="s">
        <v>50</v>
      </c>
      <c r="M57" s="20" t="s">
        <v>36</v>
      </c>
      <c r="N57" s="11"/>
      <c r="O57" s="21" t="s">
        <v>98</v>
      </c>
      <c r="P57" s="21" t="s">
        <v>176</v>
      </c>
      <c r="Q57" s="21" t="s">
        <v>130</v>
      </c>
      <c r="R57" s="11"/>
      <c r="S57" s="35" t="str">
        <f>"492,5"</f>
        <v>492,5</v>
      </c>
      <c r="T57" s="11" t="str">
        <f>"300,3265"</f>
        <v>300,3265</v>
      </c>
      <c r="U57" s="30" t="s">
        <v>132</v>
      </c>
    </row>
    <row r="58" spans="1:21">
      <c r="B58" s="4" t="s">
        <v>24</v>
      </c>
    </row>
    <row r="59" spans="1:21" ht="16">
      <c r="A59" s="37" t="s">
        <v>177</v>
      </c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</row>
    <row r="60" spans="1:21">
      <c r="A60" s="7" t="s">
        <v>12</v>
      </c>
      <c r="B60" s="6" t="s">
        <v>178</v>
      </c>
      <c r="C60" s="6" t="s">
        <v>179</v>
      </c>
      <c r="D60" s="6" t="s">
        <v>180</v>
      </c>
      <c r="E60" s="6" t="s">
        <v>439</v>
      </c>
      <c r="F60" s="6" t="s">
        <v>181</v>
      </c>
      <c r="G60" s="16" t="s">
        <v>151</v>
      </c>
      <c r="H60" s="16" t="s">
        <v>152</v>
      </c>
      <c r="I60" s="16" t="s">
        <v>172</v>
      </c>
      <c r="J60" s="7"/>
      <c r="K60" s="16" t="s">
        <v>182</v>
      </c>
      <c r="L60" s="16" t="s">
        <v>167</v>
      </c>
      <c r="M60" s="17" t="s">
        <v>99</v>
      </c>
      <c r="N60" s="7"/>
      <c r="O60" s="16" t="s">
        <v>172</v>
      </c>
      <c r="P60" s="16" t="s">
        <v>183</v>
      </c>
      <c r="Q60" s="17" t="s">
        <v>184</v>
      </c>
      <c r="R60" s="7"/>
      <c r="S60" s="33" t="str">
        <f>"690,0"</f>
        <v>690,0</v>
      </c>
      <c r="T60" s="7" t="str">
        <f>"407,9280"</f>
        <v>407,9280</v>
      </c>
      <c r="U60" s="6"/>
    </row>
    <row r="61" spans="1:21">
      <c r="B61" s="4" t="s">
        <v>24</v>
      </c>
    </row>
    <row r="62" spans="1:21">
      <c r="B62" s="4" t="s">
        <v>24</v>
      </c>
    </row>
    <row r="63" spans="1:21">
      <c r="B63" s="4" t="s">
        <v>24</v>
      </c>
    </row>
    <row r="64" spans="1:21" ht="18">
      <c r="B64" s="12" t="s">
        <v>185</v>
      </c>
      <c r="C64" s="12"/>
      <c r="F64" s="3"/>
    </row>
    <row r="65" spans="2:6" ht="16">
      <c r="B65" s="27" t="s">
        <v>186</v>
      </c>
      <c r="C65" s="27"/>
      <c r="F65" s="3"/>
    </row>
    <row r="66" spans="2:6" ht="14">
      <c r="B66" s="13"/>
      <c r="C66" s="14" t="s">
        <v>187</v>
      </c>
      <c r="F66" s="3"/>
    </row>
    <row r="67" spans="2:6" ht="14">
      <c r="B67" s="15" t="s">
        <v>188</v>
      </c>
      <c r="C67" s="15" t="s">
        <v>189</v>
      </c>
      <c r="D67" s="15" t="s">
        <v>190</v>
      </c>
      <c r="E67" s="15" t="s">
        <v>191</v>
      </c>
      <c r="F67" s="15" t="s">
        <v>192</v>
      </c>
    </row>
    <row r="68" spans="2:6">
      <c r="B68" s="4" t="s">
        <v>93</v>
      </c>
      <c r="C68" s="4" t="s">
        <v>193</v>
      </c>
      <c r="D68" s="5" t="s">
        <v>194</v>
      </c>
      <c r="E68" s="5" t="s">
        <v>195</v>
      </c>
      <c r="F68" s="5" t="s">
        <v>196</v>
      </c>
    </row>
    <row r="69" spans="2:6">
      <c r="B69" s="4" t="s">
        <v>163</v>
      </c>
      <c r="C69" s="4" t="s">
        <v>193</v>
      </c>
      <c r="D69" s="5" t="s">
        <v>197</v>
      </c>
      <c r="E69" s="5" t="s">
        <v>198</v>
      </c>
      <c r="F69" s="5" t="s">
        <v>199</v>
      </c>
    </row>
    <row r="70" spans="2:6">
      <c r="B70" s="4" t="s">
        <v>100</v>
      </c>
      <c r="C70" s="4" t="s">
        <v>200</v>
      </c>
      <c r="D70" s="5" t="s">
        <v>201</v>
      </c>
      <c r="E70" s="5" t="s">
        <v>202</v>
      </c>
      <c r="F70" s="5" t="s">
        <v>203</v>
      </c>
    </row>
    <row r="71" spans="2:6">
      <c r="B71" s="4" t="s">
        <v>24</v>
      </c>
    </row>
    <row r="72" spans="2:6">
      <c r="B72" s="4" t="s">
        <v>24</v>
      </c>
    </row>
  </sheetData>
  <mergeCells count="28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54:R54"/>
    <mergeCell ref="A59:R59"/>
    <mergeCell ref="B3:B4"/>
    <mergeCell ref="A28:R28"/>
    <mergeCell ref="A32:R32"/>
    <mergeCell ref="A36:R36"/>
    <mergeCell ref="A41:R41"/>
    <mergeCell ref="A44:R44"/>
    <mergeCell ref="A47:R47"/>
    <mergeCell ref="A8:R8"/>
    <mergeCell ref="A12:R12"/>
    <mergeCell ref="A16:R16"/>
    <mergeCell ref="A19:R19"/>
    <mergeCell ref="A22:R22"/>
    <mergeCell ref="A25:R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pageSetUpPr fitToPage="1"/>
  </sheetPr>
  <dimension ref="A1:U29"/>
  <sheetViews>
    <sheetView workbookViewId="0">
      <selection activeCell="E27" sqref="E27"/>
    </sheetView>
  </sheetViews>
  <sheetFormatPr baseColWidth="10" defaultColWidth="9.1640625" defaultRowHeight="13"/>
  <cols>
    <col min="1" max="1" width="7.5" style="4" bestFit="1" customWidth="1"/>
    <col min="2" max="2" width="19.6640625" style="4" bestFit="1" customWidth="1"/>
    <col min="3" max="3" width="27.5" style="4" bestFit="1" customWidth="1"/>
    <col min="4" max="4" width="15.5" style="4" bestFit="1" customWidth="1"/>
    <col min="5" max="5" width="10.5" style="4" bestFit="1" customWidth="1"/>
    <col min="6" max="6" width="31.83203125" style="4" bestFit="1" customWidth="1"/>
    <col min="7" max="9" width="5.5" style="5" customWidth="1"/>
    <col min="10" max="10" width="4.83203125" style="5" customWidth="1"/>
    <col min="11" max="13" width="5.5" style="5" customWidth="1"/>
    <col min="14" max="14" width="4.83203125" style="5" customWidth="1"/>
    <col min="15" max="17" width="5.5" style="5" customWidth="1"/>
    <col min="18" max="18" width="4.83203125" style="5" customWidth="1"/>
    <col min="19" max="19" width="7.83203125" style="5" bestFit="1" customWidth="1"/>
    <col min="20" max="20" width="8.5" style="5" bestFit="1" customWidth="1"/>
    <col min="21" max="21" width="15.1640625" style="4" bestFit="1" customWidth="1"/>
    <col min="22" max="16384" width="9.1640625" style="3"/>
  </cols>
  <sheetData>
    <row r="1" spans="1:21" s="2" customFormat="1" ht="29" customHeight="1">
      <c r="A1" s="49" t="s">
        <v>204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/>
    </row>
    <row r="2" spans="1:21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6"/>
    </row>
    <row r="3" spans="1:21" s="1" customFormat="1" ht="12.75" customHeight="1">
      <c r="A3" s="57" t="s">
        <v>434</v>
      </c>
      <c r="B3" s="39" t="s">
        <v>1</v>
      </c>
      <c r="C3" s="59" t="s">
        <v>435</v>
      </c>
      <c r="D3" s="59" t="s">
        <v>2</v>
      </c>
      <c r="E3" s="43" t="s">
        <v>436</v>
      </c>
      <c r="F3" s="43" t="s">
        <v>3</v>
      </c>
      <c r="G3" s="43" t="s">
        <v>4</v>
      </c>
      <c r="H3" s="43"/>
      <c r="I3" s="43"/>
      <c r="J3" s="43"/>
      <c r="K3" s="43" t="s">
        <v>5</v>
      </c>
      <c r="L3" s="43"/>
      <c r="M3" s="43"/>
      <c r="N3" s="43"/>
      <c r="O3" s="43" t="s">
        <v>6</v>
      </c>
      <c r="P3" s="43"/>
      <c r="Q3" s="43"/>
      <c r="R3" s="43"/>
      <c r="S3" s="43" t="s">
        <v>7</v>
      </c>
      <c r="T3" s="43" t="s">
        <v>8</v>
      </c>
      <c r="U3" s="45" t="s">
        <v>9</v>
      </c>
    </row>
    <row r="4" spans="1:21" s="1" customFormat="1" ht="21" customHeight="1" thickBot="1">
      <c r="A4" s="58"/>
      <c r="B4" s="40"/>
      <c r="C4" s="44"/>
      <c r="D4" s="44"/>
      <c r="E4" s="44"/>
      <c r="F4" s="44"/>
      <c r="G4" s="26">
        <v>1</v>
      </c>
      <c r="H4" s="26">
        <v>2</v>
      </c>
      <c r="I4" s="26">
        <v>3</v>
      </c>
      <c r="J4" s="26" t="s">
        <v>10</v>
      </c>
      <c r="K4" s="26">
        <v>1</v>
      </c>
      <c r="L4" s="26">
        <v>2</v>
      </c>
      <c r="M4" s="26">
        <v>3</v>
      </c>
      <c r="N4" s="26" t="s">
        <v>10</v>
      </c>
      <c r="O4" s="26">
        <v>1</v>
      </c>
      <c r="P4" s="26">
        <v>2</v>
      </c>
      <c r="Q4" s="26">
        <v>3</v>
      </c>
      <c r="R4" s="26" t="s">
        <v>10</v>
      </c>
      <c r="S4" s="44"/>
      <c r="T4" s="44"/>
      <c r="U4" s="46"/>
    </row>
    <row r="5" spans="1:21" ht="16">
      <c r="A5" s="47" t="s">
        <v>11</v>
      </c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21">
      <c r="A6" s="7" t="s">
        <v>12</v>
      </c>
      <c r="B6" s="6" t="s">
        <v>205</v>
      </c>
      <c r="C6" s="6" t="s">
        <v>206</v>
      </c>
      <c r="D6" s="6" t="s">
        <v>207</v>
      </c>
      <c r="E6" s="6" t="s">
        <v>439</v>
      </c>
      <c r="F6" s="6" t="s">
        <v>16</v>
      </c>
      <c r="G6" s="16" t="s">
        <v>18</v>
      </c>
      <c r="H6" s="16" t="s">
        <v>22</v>
      </c>
      <c r="I6" s="17" t="s">
        <v>29</v>
      </c>
      <c r="J6" s="7"/>
      <c r="K6" s="16" t="s">
        <v>208</v>
      </c>
      <c r="L6" s="16" t="s">
        <v>81</v>
      </c>
      <c r="M6" s="16" t="s">
        <v>82</v>
      </c>
      <c r="N6" s="7"/>
      <c r="O6" s="16" t="s">
        <v>124</v>
      </c>
      <c r="P6" s="16" t="s">
        <v>97</v>
      </c>
      <c r="Q6" s="16" t="s">
        <v>42</v>
      </c>
      <c r="R6" s="7"/>
      <c r="S6" s="7" t="str">
        <f>"212,5"</f>
        <v>212,5</v>
      </c>
      <c r="T6" s="7" t="str">
        <f>"285,3450"</f>
        <v>285,3450</v>
      </c>
      <c r="U6" s="28" t="s">
        <v>209</v>
      </c>
    </row>
    <row r="7" spans="1:21">
      <c r="B7" s="4" t="s">
        <v>24</v>
      </c>
    </row>
    <row r="8" spans="1:21" ht="16">
      <c r="A8" s="37" t="s">
        <v>43</v>
      </c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1:21">
      <c r="A9" s="9" t="s">
        <v>12</v>
      </c>
      <c r="B9" s="8" t="s">
        <v>210</v>
      </c>
      <c r="C9" s="8" t="s">
        <v>211</v>
      </c>
      <c r="D9" s="8" t="s">
        <v>212</v>
      </c>
      <c r="E9" s="8" t="s">
        <v>439</v>
      </c>
      <c r="F9" s="8" t="s">
        <v>16</v>
      </c>
      <c r="G9" s="18" t="s">
        <v>40</v>
      </c>
      <c r="H9" s="18" t="s">
        <v>42</v>
      </c>
      <c r="I9" s="18" t="s">
        <v>48</v>
      </c>
      <c r="J9" s="9"/>
      <c r="K9" s="18" t="s">
        <v>21</v>
      </c>
      <c r="L9" s="19" t="s">
        <v>31</v>
      </c>
      <c r="M9" s="19" t="s">
        <v>31</v>
      </c>
      <c r="N9" s="9"/>
      <c r="O9" s="18" t="s">
        <v>103</v>
      </c>
      <c r="P9" s="18" t="s">
        <v>50</v>
      </c>
      <c r="Q9" s="18" t="s">
        <v>74</v>
      </c>
      <c r="R9" s="9"/>
      <c r="S9" s="9" t="str">
        <f>"280,0"</f>
        <v>280,0</v>
      </c>
      <c r="T9" s="9" t="str">
        <f>"338,9680"</f>
        <v>338,9680</v>
      </c>
      <c r="U9" s="29" t="s">
        <v>209</v>
      </c>
    </row>
    <row r="10" spans="1:21">
      <c r="A10" s="11" t="s">
        <v>12</v>
      </c>
      <c r="B10" s="10" t="s">
        <v>213</v>
      </c>
      <c r="C10" s="10" t="s">
        <v>214</v>
      </c>
      <c r="D10" s="10" t="s">
        <v>215</v>
      </c>
      <c r="E10" s="10" t="s">
        <v>437</v>
      </c>
      <c r="F10" s="10" t="s">
        <v>16</v>
      </c>
      <c r="G10" s="20" t="s">
        <v>18</v>
      </c>
      <c r="H10" s="21" t="s">
        <v>18</v>
      </c>
      <c r="I10" s="20" t="s">
        <v>22</v>
      </c>
      <c r="J10" s="11"/>
      <c r="K10" s="20" t="s">
        <v>20</v>
      </c>
      <c r="L10" s="21" t="s">
        <v>20</v>
      </c>
      <c r="M10" s="20" t="s">
        <v>21</v>
      </c>
      <c r="N10" s="11"/>
      <c r="O10" s="21" t="s">
        <v>103</v>
      </c>
      <c r="P10" s="21" t="s">
        <v>50</v>
      </c>
      <c r="Q10" s="20" t="s">
        <v>74</v>
      </c>
      <c r="R10" s="11"/>
      <c r="S10" s="11" t="str">
        <f>"235,0"</f>
        <v>235,0</v>
      </c>
      <c r="T10" s="11" t="str">
        <f>"309,3311"</f>
        <v>309,3311</v>
      </c>
      <c r="U10" s="30" t="s">
        <v>209</v>
      </c>
    </row>
    <row r="11" spans="1:21">
      <c r="B11" s="4" t="s">
        <v>24</v>
      </c>
    </row>
    <row r="12" spans="1:21" ht="16">
      <c r="A12" s="37" t="s">
        <v>65</v>
      </c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21">
      <c r="A13" s="7" t="s">
        <v>12</v>
      </c>
      <c r="B13" s="6" t="s">
        <v>216</v>
      </c>
      <c r="C13" s="6" t="s">
        <v>217</v>
      </c>
      <c r="D13" s="6" t="s">
        <v>218</v>
      </c>
      <c r="E13" s="6" t="s">
        <v>437</v>
      </c>
      <c r="F13" s="28" t="s">
        <v>117</v>
      </c>
      <c r="G13" s="16" t="s">
        <v>17</v>
      </c>
      <c r="H13" s="16" t="s">
        <v>29</v>
      </c>
      <c r="I13" s="16" t="s">
        <v>30</v>
      </c>
      <c r="J13" s="7"/>
      <c r="K13" s="16" t="s">
        <v>21</v>
      </c>
      <c r="L13" s="16" t="s">
        <v>32</v>
      </c>
      <c r="M13" s="16" t="s">
        <v>33</v>
      </c>
      <c r="N13" s="7"/>
      <c r="O13" s="16" t="s">
        <v>30</v>
      </c>
      <c r="P13" s="16" t="s">
        <v>42</v>
      </c>
      <c r="Q13" s="16" t="s">
        <v>48</v>
      </c>
      <c r="R13" s="7"/>
      <c r="S13" s="7" t="str">
        <f>"247,5"</f>
        <v>247,5</v>
      </c>
      <c r="T13" s="7" t="str">
        <f>"274,8753"</f>
        <v>274,8753</v>
      </c>
      <c r="U13" s="28" t="s">
        <v>120</v>
      </c>
    </row>
    <row r="14" spans="1:21">
      <c r="B14" s="4" t="s">
        <v>24</v>
      </c>
    </row>
    <row r="15" spans="1:21" ht="16">
      <c r="A15" s="37" t="s">
        <v>125</v>
      </c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21">
      <c r="A16" s="7" t="s">
        <v>12</v>
      </c>
      <c r="B16" s="6" t="s">
        <v>219</v>
      </c>
      <c r="C16" s="6" t="s">
        <v>220</v>
      </c>
      <c r="D16" s="6" t="s">
        <v>221</v>
      </c>
      <c r="E16" s="6" t="s">
        <v>443</v>
      </c>
      <c r="F16" s="6" t="s">
        <v>222</v>
      </c>
      <c r="G16" s="16" t="s">
        <v>105</v>
      </c>
      <c r="H16" s="16" t="s">
        <v>106</v>
      </c>
      <c r="I16" s="17" t="s">
        <v>98</v>
      </c>
      <c r="J16" s="7"/>
      <c r="K16" s="16" t="s">
        <v>30</v>
      </c>
      <c r="L16" s="16" t="s">
        <v>40</v>
      </c>
      <c r="M16" s="16" t="s">
        <v>42</v>
      </c>
      <c r="N16" s="7"/>
      <c r="O16" s="16" t="s">
        <v>105</v>
      </c>
      <c r="P16" s="16" t="s">
        <v>76</v>
      </c>
      <c r="Q16" s="17" t="s">
        <v>99</v>
      </c>
      <c r="R16" s="7"/>
      <c r="S16" s="7" t="str">
        <f>"410,0"</f>
        <v>410,0</v>
      </c>
      <c r="T16" s="7" t="str">
        <f>"298,3980"</f>
        <v>298,3980</v>
      </c>
      <c r="U16" s="28" t="s">
        <v>223</v>
      </c>
    </row>
    <row r="17" spans="1:21">
      <c r="B17" s="4" t="s">
        <v>24</v>
      </c>
    </row>
    <row r="18" spans="1:21" ht="16">
      <c r="A18" s="37" t="s">
        <v>70</v>
      </c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</row>
    <row r="19" spans="1:21">
      <c r="A19" s="7" t="s">
        <v>12</v>
      </c>
      <c r="B19" s="6" t="s">
        <v>224</v>
      </c>
      <c r="C19" s="6" t="s">
        <v>225</v>
      </c>
      <c r="D19" s="6" t="s">
        <v>226</v>
      </c>
      <c r="E19" s="6" t="s">
        <v>439</v>
      </c>
      <c r="F19" s="6" t="s">
        <v>222</v>
      </c>
      <c r="G19" s="16" t="s">
        <v>103</v>
      </c>
      <c r="H19" s="16" t="s">
        <v>74</v>
      </c>
      <c r="I19" s="17" t="s">
        <v>105</v>
      </c>
      <c r="J19" s="7"/>
      <c r="K19" s="16" t="s">
        <v>29</v>
      </c>
      <c r="L19" s="16" t="s">
        <v>40</v>
      </c>
      <c r="M19" s="17" t="s">
        <v>42</v>
      </c>
      <c r="N19" s="7"/>
      <c r="O19" s="16" t="s">
        <v>50</v>
      </c>
      <c r="P19" s="16" t="s">
        <v>105</v>
      </c>
      <c r="Q19" s="16" t="s">
        <v>76</v>
      </c>
      <c r="R19" s="7"/>
      <c r="S19" s="7" t="str">
        <f>"385,0"</f>
        <v>385,0</v>
      </c>
      <c r="T19" s="7" t="str">
        <f>"267,1515"</f>
        <v>267,1515</v>
      </c>
      <c r="U19" s="28" t="s">
        <v>223</v>
      </c>
    </row>
    <row r="20" spans="1:21">
      <c r="B20" s="4" t="s">
        <v>24</v>
      </c>
    </row>
    <row r="21" spans="1:21" ht="16">
      <c r="A21" s="37" t="s">
        <v>138</v>
      </c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</row>
    <row r="22" spans="1:21">
      <c r="A22" s="9" t="s">
        <v>12</v>
      </c>
      <c r="B22" s="8" t="s">
        <v>227</v>
      </c>
      <c r="C22" s="8" t="s">
        <v>228</v>
      </c>
      <c r="D22" s="8" t="s">
        <v>229</v>
      </c>
      <c r="E22" s="8" t="s">
        <v>439</v>
      </c>
      <c r="F22" s="8" t="s">
        <v>16</v>
      </c>
      <c r="G22" s="19" t="s">
        <v>99</v>
      </c>
      <c r="H22" s="18" t="s">
        <v>99</v>
      </c>
      <c r="I22" s="18" t="s">
        <v>166</v>
      </c>
      <c r="J22" s="9"/>
      <c r="K22" s="18" t="s">
        <v>74</v>
      </c>
      <c r="L22" s="18" t="s">
        <v>96</v>
      </c>
      <c r="M22" s="18" t="s">
        <v>230</v>
      </c>
      <c r="N22" s="9"/>
      <c r="O22" s="18" t="s">
        <v>168</v>
      </c>
      <c r="P22" s="18" t="s">
        <v>231</v>
      </c>
      <c r="Q22" s="18" t="s">
        <v>232</v>
      </c>
      <c r="R22" s="9"/>
      <c r="S22" s="9" t="str">
        <f>"547,5"</f>
        <v>547,5</v>
      </c>
      <c r="T22" s="9" t="str">
        <f>"351,5497"</f>
        <v>351,5497</v>
      </c>
      <c r="U22" s="29" t="s">
        <v>132</v>
      </c>
    </row>
    <row r="23" spans="1:21">
      <c r="A23" s="11" t="s">
        <v>12</v>
      </c>
      <c r="B23" s="10" t="s">
        <v>233</v>
      </c>
      <c r="C23" s="10" t="s">
        <v>234</v>
      </c>
      <c r="D23" s="10" t="s">
        <v>235</v>
      </c>
      <c r="E23" s="10" t="s">
        <v>441</v>
      </c>
      <c r="F23" s="30" t="s">
        <v>91</v>
      </c>
      <c r="G23" s="21" t="s">
        <v>30</v>
      </c>
      <c r="H23" s="21" t="s">
        <v>42</v>
      </c>
      <c r="I23" s="21" t="s">
        <v>34</v>
      </c>
      <c r="J23" s="11"/>
      <c r="K23" s="21" t="s">
        <v>40</v>
      </c>
      <c r="L23" s="21" t="s">
        <v>48</v>
      </c>
      <c r="M23" s="21" t="s">
        <v>34</v>
      </c>
      <c r="N23" s="11"/>
      <c r="O23" s="21" t="s">
        <v>74</v>
      </c>
      <c r="P23" s="21" t="s">
        <v>105</v>
      </c>
      <c r="Q23" s="21" t="s">
        <v>106</v>
      </c>
      <c r="R23" s="11"/>
      <c r="S23" s="11" t="str">
        <f>"370,0"</f>
        <v>370,0</v>
      </c>
      <c r="T23" s="11" t="str">
        <f>"382,8376"</f>
        <v>382,8376</v>
      </c>
      <c r="U23" s="30" t="s">
        <v>236</v>
      </c>
    </row>
    <row r="24" spans="1:21">
      <c r="B24" s="4" t="s">
        <v>24</v>
      </c>
    </row>
    <row r="25" spans="1:21" ht="16">
      <c r="A25" s="37" t="s">
        <v>237</v>
      </c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21">
      <c r="A26" s="7" t="s">
        <v>12</v>
      </c>
      <c r="B26" s="6" t="s">
        <v>238</v>
      </c>
      <c r="C26" s="6" t="s">
        <v>239</v>
      </c>
      <c r="D26" s="6" t="s">
        <v>240</v>
      </c>
      <c r="E26" s="6" t="s">
        <v>439</v>
      </c>
      <c r="F26" s="6" t="s">
        <v>16</v>
      </c>
      <c r="G26" s="16" t="s">
        <v>241</v>
      </c>
      <c r="H26" s="17" t="s">
        <v>242</v>
      </c>
      <c r="I26" s="17" t="s">
        <v>243</v>
      </c>
      <c r="J26" s="7"/>
      <c r="K26" s="16" t="s">
        <v>136</v>
      </c>
      <c r="L26" s="17" t="s">
        <v>131</v>
      </c>
      <c r="M26" s="17" t="s">
        <v>131</v>
      </c>
      <c r="N26" s="7"/>
      <c r="O26" s="16" t="s">
        <v>244</v>
      </c>
      <c r="P26" s="17" t="s">
        <v>245</v>
      </c>
      <c r="Q26" s="7"/>
      <c r="R26" s="7"/>
      <c r="S26" s="7" t="str">
        <f>"820,0"</f>
        <v>820,0</v>
      </c>
      <c r="T26" s="7" t="str">
        <f>"476,0100"</f>
        <v>476,0100</v>
      </c>
      <c r="U26" s="28" t="s">
        <v>246</v>
      </c>
    </row>
    <row r="27" spans="1:21">
      <c r="B27" s="4" t="s">
        <v>24</v>
      </c>
    </row>
    <row r="28" spans="1:21">
      <c r="B28" s="4" t="s">
        <v>24</v>
      </c>
    </row>
    <row r="29" spans="1:21">
      <c r="B29" s="4" t="s">
        <v>24</v>
      </c>
    </row>
  </sheetData>
  <mergeCells count="20"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21:R21"/>
    <mergeCell ref="A25:R25"/>
    <mergeCell ref="B3:B4"/>
    <mergeCell ref="A5:R5"/>
    <mergeCell ref="A8:R8"/>
    <mergeCell ref="A12:R12"/>
    <mergeCell ref="A15:R15"/>
    <mergeCell ref="A18:R18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7"/>
  <sheetViews>
    <sheetView workbookViewId="0">
      <selection activeCell="E17" sqref="E17"/>
    </sheetView>
  </sheetViews>
  <sheetFormatPr baseColWidth="10" defaultColWidth="9.1640625" defaultRowHeight="13"/>
  <cols>
    <col min="1" max="1" width="7.5" style="4" bestFit="1" customWidth="1"/>
    <col min="2" max="2" width="18.5" style="4" bestFit="1" customWidth="1"/>
    <col min="3" max="3" width="27.5" style="4" bestFit="1" customWidth="1"/>
    <col min="4" max="4" width="21.5" style="4" bestFit="1" customWidth="1"/>
    <col min="5" max="5" width="10.5" style="4" bestFit="1" customWidth="1"/>
    <col min="6" max="6" width="23.83203125" style="4" bestFit="1" customWidth="1"/>
    <col min="7" max="9" width="5.5" style="5" customWidth="1"/>
    <col min="10" max="10" width="4.83203125" style="5" customWidth="1"/>
    <col min="11" max="13" width="5.5" style="5" customWidth="1"/>
    <col min="14" max="14" width="4.83203125" style="5" customWidth="1"/>
    <col min="15" max="15" width="7.83203125" style="5" bestFit="1" customWidth="1"/>
    <col min="16" max="16" width="8.5" style="5" bestFit="1" customWidth="1"/>
    <col min="17" max="17" width="18" style="4" bestFit="1" customWidth="1"/>
    <col min="18" max="16384" width="9.1640625" style="3"/>
  </cols>
  <sheetData>
    <row r="1" spans="1:17" s="2" customFormat="1" ht="29" customHeight="1">
      <c r="A1" s="49" t="s">
        <v>247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6"/>
    </row>
    <row r="3" spans="1:17" s="1" customFormat="1" ht="12.75" customHeight="1">
      <c r="A3" s="57" t="s">
        <v>434</v>
      </c>
      <c r="B3" s="39" t="s">
        <v>1</v>
      </c>
      <c r="C3" s="59" t="s">
        <v>435</v>
      </c>
      <c r="D3" s="59" t="s">
        <v>2</v>
      </c>
      <c r="E3" s="43" t="s">
        <v>436</v>
      </c>
      <c r="F3" s="43" t="s">
        <v>3</v>
      </c>
      <c r="G3" s="43" t="s">
        <v>5</v>
      </c>
      <c r="H3" s="43"/>
      <c r="I3" s="43"/>
      <c r="J3" s="43"/>
      <c r="K3" s="43" t="s">
        <v>6</v>
      </c>
      <c r="L3" s="43"/>
      <c r="M3" s="43"/>
      <c r="N3" s="43"/>
      <c r="O3" s="43" t="s">
        <v>7</v>
      </c>
      <c r="P3" s="43" t="s">
        <v>8</v>
      </c>
      <c r="Q3" s="45" t="s">
        <v>9</v>
      </c>
    </row>
    <row r="4" spans="1:17" s="1" customFormat="1" ht="21" customHeight="1" thickBot="1">
      <c r="A4" s="58"/>
      <c r="B4" s="40"/>
      <c r="C4" s="44"/>
      <c r="D4" s="44"/>
      <c r="E4" s="44"/>
      <c r="F4" s="44"/>
      <c r="G4" s="26">
        <v>1</v>
      </c>
      <c r="H4" s="26">
        <v>2</v>
      </c>
      <c r="I4" s="26">
        <v>3</v>
      </c>
      <c r="J4" s="26" t="s">
        <v>10</v>
      </c>
      <c r="K4" s="26">
        <v>1</v>
      </c>
      <c r="L4" s="26">
        <v>2</v>
      </c>
      <c r="M4" s="26">
        <v>3</v>
      </c>
      <c r="N4" s="26" t="s">
        <v>10</v>
      </c>
      <c r="O4" s="44"/>
      <c r="P4" s="44"/>
      <c r="Q4" s="46"/>
    </row>
    <row r="5" spans="1:17" ht="16">
      <c r="A5" s="47" t="s">
        <v>125</v>
      </c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7">
      <c r="A6" s="7" t="s">
        <v>12</v>
      </c>
      <c r="B6" s="6" t="s">
        <v>248</v>
      </c>
      <c r="C6" s="6" t="s">
        <v>249</v>
      </c>
      <c r="D6" s="6" t="s">
        <v>250</v>
      </c>
      <c r="E6" s="6" t="s">
        <v>443</v>
      </c>
      <c r="F6" s="6" t="s">
        <v>16</v>
      </c>
      <c r="G6" s="16" t="s">
        <v>21</v>
      </c>
      <c r="H6" s="16" t="s">
        <v>41</v>
      </c>
      <c r="I6" s="17" t="s">
        <v>49</v>
      </c>
      <c r="J6" s="7"/>
      <c r="K6" s="16" t="s">
        <v>29</v>
      </c>
      <c r="L6" s="16" t="s">
        <v>42</v>
      </c>
      <c r="M6" s="16" t="s">
        <v>34</v>
      </c>
      <c r="N6" s="7"/>
      <c r="O6" s="7" t="str">
        <f>"165,0"</f>
        <v>165,0</v>
      </c>
      <c r="P6" s="7" t="str">
        <f>"124,3275"</f>
        <v>124,3275</v>
      </c>
      <c r="Q6" s="28" t="s">
        <v>251</v>
      </c>
    </row>
    <row r="7" spans="1:17">
      <c r="B7" s="4" t="s">
        <v>24</v>
      </c>
    </row>
    <row r="8" spans="1:17" ht="16">
      <c r="A8" s="37" t="s">
        <v>70</v>
      </c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1:17">
      <c r="A9" s="9" t="s">
        <v>12</v>
      </c>
      <c r="B9" s="8" t="s">
        <v>252</v>
      </c>
      <c r="C9" s="8" t="s">
        <v>253</v>
      </c>
      <c r="D9" s="8" t="s">
        <v>254</v>
      </c>
      <c r="E9" s="8" t="s">
        <v>439</v>
      </c>
      <c r="F9" s="8" t="s">
        <v>16</v>
      </c>
      <c r="G9" s="18" t="s">
        <v>42</v>
      </c>
      <c r="H9" s="19" t="s">
        <v>48</v>
      </c>
      <c r="I9" s="18" t="s">
        <v>48</v>
      </c>
      <c r="J9" s="9"/>
      <c r="K9" s="19" t="s">
        <v>106</v>
      </c>
      <c r="L9" s="18" t="s">
        <v>106</v>
      </c>
      <c r="M9" s="18" t="s">
        <v>76</v>
      </c>
      <c r="N9" s="9"/>
      <c r="O9" s="9" t="str">
        <f>"265,0"</f>
        <v>265,0</v>
      </c>
      <c r="P9" s="9" t="str">
        <f>"183,4330"</f>
        <v>183,4330</v>
      </c>
      <c r="Q9" s="8"/>
    </row>
    <row r="10" spans="1:17">
      <c r="A10" s="11" t="s">
        <v>12</v>
      </c>
      <c r="B10" s="10" t="s">
        <v>255</v>
      </c>
      <c r="C10" s="10" t="s">
        <v>256</v>
      </c>
      <c r="D10" s="10" t="s">
        <v>257</v>
      </c>
      <c r="E10" s="10" t="s">
        <v>437</v>
      </c>
      <c r="F10" s="10" t="s">
        <v>16</v>
      </c>
      <c r="G10" s="21" t="s">
        <v>30</v>
      </c>
      <c r="H10" s="21" t="s">
        <v>40</v>
      </c>
      <c r="I10" s="21" t="s">
        <v>42</v>
      </c>
      <c r="J10" s="11"/>
      <c r="K10" s="21" t="s">
        <v>75</v>
      </c>
      <c r="L10" s="21" t="s">
        <v>160</v>
      </c>
      <c r="M10" s="20" t="s">
        <v>76</v>
      </c>
      <c r="N10" s="11"/>
      <c r="O10" s="11" t="str">
        <f>"252,5"</f>
        <v>252,5</v>
      </c>
      <c r="P10" s="11" t="str">
        <f>"174,7951"</f>
        <v>174,7951</v>
      </c>
      <c r="Q10" s="30" t="s">
        <v>258</v>
      </c>
    </row>
    <row r="11" spans="1:17">
      <c r="B11" s="4" t="s">
        <v>24</v>
      </c>
    </row>
    <row r="12" spans="1:17" ht="16">
      <c r="A12" s="37" t="s">
        <v>138</v>
      </c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</row>
    <row r="13" spans="1:17">
      <c r="A13" s="7" t="s">
        <v>12</v>
      </c>
      <c r="B13" s="6" t="s">
        <v>153</v>
      </c>
      <c r="C13" s="6" t="s">
        <v>154</v>
      </c>
      <c r="D13" s="6" t="s">
        <v>259</v>
      </c>
      <c r="E13" s="6" t="s">
        <v>439</v>
      </c>
      <c r="F13" s="6" t="s">
        <v>16</v>
      </c>
      <c r="G13" s="16" t="s">
        <v>106</v>
      </c>
      <c r="H13" s="16" t="s">
        <v>147</v>
      </c>
      <c r="I13" s="16" t="s">
        <v>182</v>
      </c>
      <c r="J13" s="7"/>
      <c r="K13" s="16" t="s">
        <v>156</v>
      </c>
      <c r="L13" s="16" t="s">
        <v>260</v>
      </c>
      <c r="M13" s="17" t="s">
        <v>261</v>
      </c>
      <c r="N13" s="7"/>
      <c r="O13" s="7" t="str">
        <f>"400,0"</f>
        <v>400,0</v>
      </c>
      <c r="P13" s="7" t="str">
        <f>"256,2400"</f>
        <v>256,2400</v>
      </c>
      <c r="Q13" s="28" t="s">
        <v>23</v>
      </c>
    </row>
    <row r="14" spans="1:17">
      <c r="B14" s="4" t="s">
        <v>24</v>
      </c>
    </row>
    <row r="15" spans="1:17" ht="16">
      <c r="A15" s="37" t="s">
        <v>177</v>
      </c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</row>
    <row r="16" spans="1:17">
      <c r="A16" s="7" t="s">
        <v>12</v>
      </c>
      <c r="B16" s="6" t="s">
        <v>262</v>
      </c>
      <c r="C16" s="6" t="s">
        <v>263</v>
      </c>
      <c r="D16" s="6" t="s">
        <v>264</v>
      </c>
      <c r="E16" s="6" t="s">
        <v>439</v>
      </c>
      <c r="F16" s="6" t="s">
        <v>16</v>
      </c>
      <c r="G16" s="16" t="s">
        <v>75</v>
      </c>
      <c r="H16" s="16" t="s">
        <v>160</v>
      </c>
      <c r="I16" s="17" t="s">
        <v>76</v>
      </c>
      <c r="J16" s="7"/>
      <c r="K16" s="16" t="s">
        <v>152</v>
      </c>
      <c r="L16" s="16" t="s">
        <v>265</v>
      </c>
      <c r="M16" s="16" t="s">
        <v>266</v>
      </c>
      <c r="N16" s="7"/>
      <c r="O16" s="7" t="str">
        <f>"432,5"</f>
        <v>432,5</v>
      </c>
      <c r="P16" s="7" t="str">
        <f>"261,1002"</f>
        <v>261,1002</v>
      </c>
      <c r="Q16" s="6"/>
    </row>
    <row r="17" spans="2:2">
      <c r="B17" s="4" t="s">
        <v>24</v>
      </c>
    </row>
  </sheetData>
  <mergeCells count="16"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2:N12"/>
    <mergeCell ref="A15:N15"/>
    <mergeCell ref="B3:B4"/>
    <mergeCell ref="O3:O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1"/>
  <sheetViews>
    <sheetView topLeftCell="A3" workbookViewId="0">
      <selection activeCell="E59" sqref="E59"/>
    </sheetView>
  </sheetViews>
  <sheetFormatPr baseColWidth="10" defaultColWidth="9.1640625" defaultRowHeight="13"/>
  <cols>
    <col min="1" max="1" width="7.5" style="4" bestFit="1" customWidth="1"/>
    <col min="2" max="2" width="22.6640625" style="4" bestFit="1" customWidth="1"/>
    <col min="3" max="3" width="27.5" style="4" bestFit="1" customWidth="1"/>
    <col min="4" max="4" width="21.5" style="4" bestFit="1" customWidth="1"/>
    <col min="5" max="5" width="10.5" style="4" bestFit="1" customWidth="1"/>
    <col min="6" max="6" width="31.83203125" style="4" bestFit="1" customWidth="1"/>
    <col min="7" max="9" width="5.5" style="5" customWidth="1"/>
    <col min="10" max="10" width="4.83203125" style="5" customWidth="1"/>
    <col min="11" max="11" width="11.33203125" style="5" bestFit="1" customWidth="1"/>
    <col min="12" max="12" width="8.5" style="5" bestFit="1" customWidth="1"/>
    <col min="13" max="13" width="31.33203125" style="4" bestFit="1" customWidth="1"/>
    <col min="14" max="16384" width="9.1640625" style="3"/>
  </cols>
  <sheetData>
    <row r="1" spans="1:13" s="2" customFormat="1" ht="29" customHeight="1">
      <c r="A1" s="49" t="s">
        <v>267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57" t="s">
        <v>434</v>
      </c>
      <c r="B3" s="39" t="s">
        <v>1</v>
      </c>
      <c r="C3" s="59" t="s">
        <v>435</v>
      </c>
      <c r="D3" s="59" t="s">
        <v>2</v>
      </c>
      <c r="E3" s="43" t="s">
        <v>436</v>
      </c>
      <c r="F3" s="43" t="s">
        <v>3</v>
      </c>
      <c r="G3" s="43" t="s">
        <v>5</v>
      </c>
      <c r="H3" s="43"/>
      <c r="I3" s="43"/>
      <c r="J3" s="43"/>
      <c r="K3" s="43" t="s">
        <v>268</v>
      </c>
      <c r="L3" s="43" t="s">
        <v>8</v>
      </c>
      <c r="M3" s="45" t="s">
        <v>9</v>
      </c>
    </row>
    <row r="4" spans="1:13" s="1" customFormat="1" ht="21" customHeight="1" thickBot="1">
      <c r="A4" s="58"/>
      <c r="B4" s="40"/>
      <c r="C4" s="44"/>
      <c r="D4" s="44"/>
      <c r="E4" s="44"/>
      <c r="F4" s="44"/>
      <c r="G4" s="26">
        <v>1</v>
      </c>
      <c r="H4" s="26">
        <v>2</v>
      </c>
      <c r="I4" s="26">
        <v>3</v>
      </c>
      <c r="J4" s="26" t="s">
        <v>10</v>
      </c>
      <c r="K4" s="44"/>
      <c r="L4" s="44"/>
      <c r="M4" s="46"/>
    </row>
    <row r="5" spans="1:13" ht="16">
      <c r="A5" s="47" t="s">
        <v>43</v>
      </c>
      <c r="B5" s="47"/>
      <c r="C5" s="48"/>
      <c r="D5" s="48"/>
      <c r="E5" s="48"/>
      <c r="F5" s="48"/>
      <c r="G5" s="48"/>
      <c r="H5" s="48"/>
      <c r="I5" s="48"/>
      <c r="J5" s="48"/>
    </row>
    <row r="6" spans="1:13">
      <c r="A6" s="9" t="s">
        <v>12</v>
      </c>
      <c r="B6" s="8" t="s">
        <v>269</v>
      </c>
      <c r="C6" s="8" t="s">
        <v>270</v>
      </c>
      <c r="D6" s="8" t="s">
        <v>271</v>
      </c>
      <c r="E6" s="8" t="s">
        <v>439</v>
      </c>
      <c r="F6" s="8" t="s">
        <v>16</v>
      </c>
      <c r="G6" s="18" t="s">
        <v>49</v>
      </c>
      <c r="H6" s="19" t="s">
        <v>92</v>
      </c>
      <c r="I6" s="18" t="s">
        <v>118</v>
      </c>
      <c r="J6" s="9"/>
      <c r="K6" s="9" t="str">
        <f>"67,5"</f>
        <v>67,5</v>
      </c>
      <c r="L6" s="9" t="str">
        <f>"82,5525"</f>
        <v>82,5525</v>
      </c>
      <c r="M6" s="29"/>
    </row>
    <row r="7" spans="1:13">
      <c r="A7" s="11" t="s">
        <v>53</v>
      </c>
      <c r="B7" s="10" t="s">
        <v>272</v>
      </c>
      <c r="C7" s="10" t="s">
        <v>273</v>
      </c>
      <c r="D7" s="10" t="s">
        <v>274</v>
      </c>
      <c r="E7" s="10" t="s">
        <v>439</v>
      </c>
      <c r="F7" s="10" t="s">
        <v>16</v>
      </c>
      <c r="G7" s="21" t="s">
        <v>33</v>
      </c>
      <c r="H7" s="20" t="s">
        <v>275</v>
      </c>
      <c r="I7" s="20" t="s">
        <v>275</v>
      </c>
      <c r="J7" s="11"/>
      <c r="K7" s="11" t="str">
        <f>"52,5"</f>
        <v>52,5</v>
      </c>
      <c r="L7" s="11" t="str">
        <f>"63,0105"</f>
        <v>63,0105</v>
      </c>
      <c r="M7" s="10"/>
    </row>
    <row r="8" spans="1:13">
      <c r="B8" s="4" t="s">
        <v>24</v>
      </c>
    </row>
    <row r="9" spans="1:13" ht="16">
      <c r="A9" s="37" t="s">
        <v>59</v>
      </c>
      <c r="B9" s="37"/>
      <c r="C9" s="38"/>
      <c r="D9" s="38"/>
      <c r="E9" s="38"/>
      <c r="F9" s="38"/>
      <c r="G9" s="38"/>
      <c r="H9" s="38"/>
      <c r="I9" s="38"/>
      <c r="J9" s="38"/>
    </row>
    <row r="10" spans="1:13">
      <c r="A10" s="9" t="s">
        <v>12</v>
      </c>
      <c r="B10" s="8" t="s">
        <v>276</v>
      </c>
      <c r="C10" s="8" t="s">
        <v>277</v>
      </c>
      <c r="D10" s="8" t="s">
        <v>278</v>
      </c>
      <c r="E10" s="8" t="s">
        <v>440</v>
      </c>
      <c r="F10" s="8" t="s">
        <v>16</v>
      </c>
      <c r="G10" s="18" t="s">
        <v>32</v>
      </c>
      <c r="H10" s="18" t="s">
        <v>41</v>
      </c>
      <c r="I10" s="19" t="s">
        <v>275</v>
      </c>
      <c r="J10" s="9"/>
      <c r="K10" s="9" t="str">
        <f>"55,0"</f>
        <v>55,0</v>
      </c>
      <c r="L10" s="9" t="str">
        <f>"62,7055"</f>
        <v>62,7055</v>
      </c>
      <c r="M10" s="8"/>
    </row>
    <row r="11" spans="1:13">
      <c r="A11" s="11" t="s">
        <v>12</v>
      </c>
      <c r="B11" s="10" t="s">
        <v>279</v>
      </c>
      <c r="C11" s="10" t="s">
        <v>280</v>
      </c>
      <c r="D11" s="10" t="s">
        <v>281</v>
      </c>
      <c r="E11" s="10" t="s">
        <v>439</v>
      </c>
      <c r="F11" s="10" t="s">
        <v>16</v>
      </c>
      <c r="G11" s="21" t="s">
        <v>33</v>
      </c>
      <c r="H11" s="20" t="s">
        <v>275</v>
      </c>
      <c r="I11" s="20" t="s">
        <v>275</v>
      </c>
      <c r="J11" s="11"/>
      <c r="K11" s="11" t="str">
        <f>"52,5"</f>
        <v>52,5</v>
      </c>
      <c r="L11" s="11" t="str">
        <f>"58,9102"</f>
        <v>58,9102</v>
      </c>
      <c r="M11" s="30" t="s">
        <v>282</v>
      </c>
    </row>
    <row r="12" spans="1:13">
      <c r="B12" s="4" t="s">
        <v>24</v>
      </c>
    </row>
    <row r="13" spans="1:13" ht="16">
      <c r="A13" s="37" t="s">
        <v>65</v>
      </c>
      <c r="B13" s="37"/>
      <c r="C13" s="38"/>
      <c r="D13" s="38"/>
      <c r="E13" s="38"/>
      <c r="F13" s="38"/>
      <c r="G13" s="38"/>
      <c r="H13" s="38"/>
      <c r="I13" s="38"/>
      <c r="J13" s="38"/>
    </row>
    <row r="14" spans="1:13">
      <c r="A14" s="7" t="s">
        <v>12</v>
      </c>
      <c r="B14" s="6" t="s">
        <v>283</v>
      </c>
      <c r="C14" s="6" t="s">
        <v>284</v>
      </c>
      <c r="D14" s="6" t="s">
        <v>285</v>
      </c>
      <c r="E14" s="6" t="s">
        <v>439</v>
      </c>
      <c r="F14" s="6" t="s">
        <v>16</v>
      </c>
      <c r="G14" s="16" t="s">
        <v>20</v>
      </c>
      <c r="H14" s="16" t="s">
        <v>21</v>
      </c>
      <c r="I14" s="16" t="s">
        <v>31</v>
      </c>
      <c r="J14" s="7"/>
      <c r="K14" s="7" t="str">
        <f>"47,5"</f>
        <v>47,5</v>
      </c>
      <c r="L14" s="7" t="str">
        <f>"52,2833"</f>
        <v>52,2833</v>
      </c>
      <c r="M14" s="6"/>
    </row>
    <row r="15" spans="1:13">
      <c r="B15" s="4" t="s">
        <v>24</v>
      </c>
    </row>
    <row r="16" spans="1:13" ht="16">
      <c r="A16" s="37" t="s">
        <v>70</v>
      </c>
      <c r="B16" s="37"/>
      <c r="C16" s="38"/>
      <c r="D16" s="38"/>
      <c r="E16" s="38"/>
      <c r="F16" s="38"/>
      <c r="G16" s="38"/>
      <c r="H16" s="38"/>
      <c r="I16" s="38"/>
      <c r="J16" s="38"/>
    </row>
    <row r="17" spans="1:13">
      <c r="A17" s="7" t="s">
        <v>12</v>
      </c>
      <c r="B17" s="6" t="s">
        <v>286</v>
      </c>
      <c r="C17" s="6" t="s">
        <v>287</v>
      </c>
      <c r="D17" s="6" t="s">
        <v>288</v>
      </c>
      <c r="E17" s="6" t="s">
        <v>440</v>
      </c>
      <c r="F17" s="6" t="s">
        <v>16</v>
      </c>
      <c r="G17" s="16" t="s">
        <v>275</v>
      </c>
      <c r="H17" s="16" t="s">
        <v>289</v>
      </c>
      <c r="I17" s="16" t="s">
        <v>92</v>
      </c>
      <c r="J17" s="7"/>
      <c r="K17" s="7" t="str">
        <f>"65,0"</f>
        <v>65,0</v>
      </c>
      <c r="L17" s="7" t="str">
        <f>"59,8585"</f>
        <v>59,8585</v>
      </c>
      <c r="M17" s="28" t="s">
        <v>132</v>
      </c>
    </row>
    <row r="18" spans="1:13">
      <c r="B18" s="4" t="s">
        <v>24</v>
      </c>
    </row>
    <row r="19" spans="1:13" ht="16">
      <c r="A19" s="37" t="s">
        <v>65</v>
      </c>
      <c r="B19" s="37"/>
      <c r="C19" s="38"/>
      <c r="D19" s="38"/>
      <c r="E19" s="38"/>
      <c r="F19" s="38"/>
      <c r="G19" s="38"/>
      <c r="H19" s="38"/>
      <c r="I19" s="38"/>
      <c r="J19" s="38"/>
    </row>
    <row r="20" spans="1:13">
      <c r="A20" s="9" t="s">
        <v>12</v>
      </c>
      <c r="B20" s="8" t="s">
        <v>290</v>
      </c>
      <c r="C20" s="8" t="s">
        <v>291</v>
      </c>
      <c r="D20" s="8" t="s">
        <v>292</v>
      </c>
      <c r="E20" s="8" t="s">
        <v>443</v>
      </c>
      <c r="F20" s="8" t="s">
        <v>16</v>
      </c>
      <c r="G20" s="18" t="s">
        <v>49</v>
      </c>
      <c r="H20" s="18" t="s">
        <v>92</v>
      </c>
      <c r="I20" s="18" t="s">
        <v>17</v>
      </c>
      <c r="J20" s="9"/>
      <c r="K20" s="9" t="str">
        <f>"70,0"</f>
        <v>70,0</v>
      </c>
      <c r="L20" s="9" t="str">
        <f>"58,3870"</f>
        <v>58,3870</v>
      </c>
      <c r="M20" s="29" t="s">
        <v>293</v>
      </c>
    </row>
    <row r="21" spans="1:13">
      <c r="A21" s="11" t="s">
        <v>12</v>
      </c>
      <c r="B21" s="10" t="s">
        <v>294</v>
      </c>
      <c r="C21" s="10" t="s">
        <v>295</v>
      </c>
      <c r="D21" s="10" t="s">
        <v>296</v>
      </c>
      <c r="E21" s="10" t="s">
        <v>442</v>
      </c>
      <c r="F21" s="30" t="s">
        <v>91</v>
      </c>
      <c r="G21" s="21" t="s">
        <v>17</v>
      </c>
      <c r="H21" s="20" t="s">
        <v>18</v>
      </c>
      <c r="I21" s="21" t="s">
        <v>18</v>
      </c>
      <c r="J21" s="11"/>
      <c r="K21" s="11" t="str">
        <f>"75,0"</f>
        <v>75,0</v>
      </c>
      <c r="L21" s="11" t="str">
        <f>"60,9150"</f>
        <v>60,9150</v>
      </c>
      <c r="M21" s="30" t="s">
        <v>87</v>
      </c>
    </row>
    <row r="22" spans="1:13">
      <c r="B22" s="4" t="s">
        <v>24</v>
      </c>
    </row>
    <row r="23" spans="1:13" ht="16">
      <c r="A23" s="37" t="s">
        <v>125</v>
      </c>
      <c r="B23" s="37"/>
      <c r="C23" s="38"/>
      <c r="D23" s="38"/>
      <c r="E23" s="38"/>
      <c r="F23" s="38"/>
      <c r="G23" s="38"/>
      <c r="H23" s="38"/>
      <c r="I23" s="38"/>
      <c r="J23" s="38"/>
    </row>
    <row r="24" spans="1:13">
      <c r="A24" s="9" t="s">
        <v>12</v>
      </c>
      <c r="B24" s="8" t="s">
        <v>297</v>
      </c>
      <c r="C24" s="8" t="s">
        <v>298</v>
      </c>
      <c r="D24" s="8" t="s">
        <v>299</v>
      </c>
      <c r="E24" s="8" t="s">
        <v>439</v>
      </c>
      <c r="F24" s="8" t="s">
        <v>16</v>
      </c>
      <c r="G24" s="18" t="s">
        <v>74</v>
      </c>
      <c r="H24" s="18" t="s">
        <v>96</v>
      </c>
      <c r="I24" s="18" t="s">
        <v>105</v>
      </c>
      <c r="J24" s="9"/>
      <c r="K24" s="9" t="str">
        <f>"140,0"</f>
        <v>140,0</v>
      </c>
      <c r="L24" s="9" t="str">
        <f>"100,2260"</f>
        <v>100,2260</v>
      </c>
      <c r="M24" s="29" t="s">
        <v>300</v>
      </c>
    </row>
    <row r="25" spans="1:13">
      <c r="A25" s="11" t="s">
        <v>53</v>
      </c>
      <c r="B25" s="10" t="s">
        <v>301</v>
      </c>
      <c r="C25" s="10" t="s">
        <v>302</v>
      </c>
      <c r="D25" s="10" t="s">
        <v>303</v>
      </c>
      <c r="E25" s="10" t="s">
        <v>439</v>
      </c>
      <c r="F25" s="10" t="s">
        <v>16</v>
      </c>
      <c r="G25" s="21" t="s">
        <v>34</v>
      </c>
      <c r="H25" s="20" t="s">
        <v>35</v>
      </c>
      <c r="I25" s="21" t="s">
        <v>35</v>
      </c>
      <c r="J25" s="11"/>
      <c r="K25" s="11" t="str">
        <f>"117,5"</f>
        <v>117,5</v>
      </c>
      <c r="L25" s="11" t="str">
        <f>"84,5177"</f>
        <v>84,5177</v>
      </c>
      <c r="M25" s="10"/>
    </row>
    <row r="26" spans="1:13">
      <c r="B26" s="4" t="s">
        <v>24</v>
      </c>
    </row>
    <row r="27" spans="1:13" ht="16">
      <c r="A27" s="37" t="s">
        <v>70</v>
      </c>
      <c r="B27" s="37"/>
      <c r="C27" s="38"/>
      <c r="D27" s="38"/>
      <c r="E27" s="38"/>
      <c r="F27" s="38"/>
      <c r="G27" s="38"/>
      <c r="H27" s="38"/>
      <c r="I27" s="38"/>
      <c r="J27" s="38"/>
    </row>
    <row r="28" spans="1:13">
      <c r="A28" s="9" t="s">
        <v>12</v>
      </c>
      <c r="B28" s="8" t="s">
        <v>304</v>
      </c>
      <c r="C28" s="8" t="s">
        <v>305</v>
      </c>
      <c r="D28" s="8" t="s">
        <v>306</v>
      </c>
      <c r="E28" s="8" t="s">
        <v>443</v>
      </c>
      <c r="F28" s="8" t="s">
        <v>16</v>
      </c>
      <c r="G28" s="18" t="s">
        <v>40</v>
      </c>
      <c r="H28" s="18" t="s">
        <v>42</v>
      </c>
      <c r="I28" s="18" t="s">
        <v>48</v>
      </c>
      <c r="J28" s="9"/>
      <c r="K28" s="9" t="str">
        <f>"105,0"</f>
        <v>105,0</v>
      </c>
      <c r="L28" s="9" t="str">
        <f>"74,1405"</f>
        <v>74,1405</v>
      </c>
      <c r="M28" s="29" t="s">
        <v>307</v>
      </c>
    </row>
    <row r="29" spans="1:13">
      <c r="A29" s="23" t="s">
        <v>12</v>
      </c>
      <c r="B29" s="22" t="s">
        <v>308</v>
      </c>
      <c r="C29" s="22" t="s">
        <v>309</v>
      </c>
      <c r="D29" s="22" t="s">
        <v>310</v>
      </c>
      <c r="E29" s="22" t="s">
        <v>439</v>
      </c>
      <c r="F29" s="22" t="s">
        <v>16</v>
      </c>
      <c r="G29" s="24" t="s">
        <v>98</v>
      </c>
      <c r="H29" s="24" t="s">
        <v>311</v>
      </c>
      <c r="I29" s="25" t="s">
        <v>176</v>
      </c>
      <c r="J29" s="23"/>
      <c r="K29" s="23" t="str">
        <f>"177,5"</f>
        <v>177,5</v>
      </c>
      <c r="L29" s="23" t="str">
        <f>"119,3510"</f>
        <v>119,3510</v>
      </c>
      <c r="M29" s="31" t="s">
        <v>312</v>
      </c>
    </row>
    <row r="30" spans="1:13">
      <c r="A30" s="23" t="s">
        <v>53</v>
      </c>
      <c r="B30" s="22" t="s">
        <v>313</v>
      </c>
      <c r="C30" s="22" t="s">
        <v>314</v>
      </c>
      <c r="D30" s="22" t="s">
        <v>315</v>
      </c>
      <c r="E30" s="22" t="s">
        <v>439</v>
      </c>
      <c r="F30" s="22" t="s">
        <v>16</v>
      </c>
      <c r="G30" s="24" t="s">
        <v>103</v>
      </c>
      <c r="H30" s="24" t="s">
        <v>36</v>
      </c>
      <c r="I30" s="25" t="s">
        <v>110</v>
      </c>
      <c r="J30" s="23"/>
      <c r="K30" s="23" t="str">
        <f>"122,5"</f>
        <v>122,5</v>
      </c>
      <c r="L30" s="23" t="str">
        <f>"82,2465"</f>
        <v>82,2465</v>
      </c>
      <c r="M30" s="22"/>
    </row>
    <row r="31" spans="1:13">
      <c r="A31" s="11" t="s">
        <v>12</v>
      </c>
      <c r="B31" s="10" t="s">
        <v>255</v>
      </c>
      <c r="C31" s="10" t="s">
        <v>256</v>
      </c>
      <c r="D31" s="10" t="s">
        <v>257</v>
      </c>
      <c r="E31" s="10" t="s">
        <v>437</v>
      </c>
      <c r="F31" s="10" t="s">
        <v>16</v>
      </c>
      <c r="G31" s="21" t="s">
        <v>30</v>
      </c>
      <c r="H31" s="21" t="s">
        <v>40</v>
      </c>
      <c r="I31" s="21" t="s">
        <v>42</v>
      </c>
      <c r="J31" s="11"/>
      <c r="K31" s="11" t="str">
        <f>"100,0"</f>
        <v>100,0</v>
      </c>
      <c r="L31" s="11" t="str">
        <f>"69,2258"</f>
        <v>69,2258</v>
      </c>
      <c r="M31" s="30" t="s">
        <v>258</v>
      </c>
    </row>
    <row r="32" spans="1:13">
      <c r="B32" s="4" t="s">
        <v>24</v>
      </c>
    </row>
    <row r="33" spans="1:13" ht="16">
      <c r="A33" s="37" t="s">
        <v>138</v>
      </c>
      <c r="B33" s="37"/>
      <c r="C33" s="38"/>
      <c r="D33" s="38"/>
      <c r="E33" s="38"/>
      <c r="F33" s="38"/>
      <c r="G33" s="38"/>
      <c r="H33" s="38"/>
      <c r="I33" s="38"/>
      <c r="J33" s="38"/>
    </row>
    <row r="34" spans="1:13">
      <c r="A34" s="9" t="s">
        <v>12</v>
      </c>
      <c r="B34" s="8" t="s">
        <v>316</v>
      </c>
      <c r="C34" s="8" t="s">
        <v>317</v>
      </c>
      <c r="D34" s="8" t="s">
        <v>318</v>
      </c>
      <c r="E34" s="8" t="s">
        <v>443</v>
      </c>
      <c r="F34" s="8" t="s">
        <v>16</v>
      </c>
      <c r="G34" s="18" t="s">
        <v>22</v>
      </c>
      <c r="H34" s="19" t="s">
        <v>29</v>
      </c>
      <c r="I34" s="18" t="s">
        <v>29</v>
      </c>
      <c r="J34" s="9"/>
      <c r="K34" s="9" t="str">
        <f>"85,0"</f>
        <v>85,0</v>
      </c>
      <c r="L34" s="9" t="str">
        <f>"54,2640"</f>
        <v>54,2640</v>
      </c>
      <c r="M34" s="29" t="s">
        <v>23</v>
      </c>
    </row>
    <row r="35" spans="1:13">
      <c r="A35" s="23" t="s">
        <v>12</v>
      </c>
      <c r="B35" s="22" t="s">
        <v>319</v>
      </c>
      <c r="C35" s="22" t="s">
        <v>320</v>
      </c>
      <c r="D35" s="22" t="s">
        <v>321</v>
      </c>
      <c r="E35" s="22" t="s">
        <v>442</v>
      </c>
      <c r="F35" s="31" t="s">
        <v>322</v>
      </c>
      <c r="G35" s="24" t="s">
        <v>34</v>
      </c>
      <c r="H35" s="24" t="s">
        <v>50</v>
      </c>
      <c r="I35" s="25" t="s">
        <v>110</v>
      </c>
      <c r="J35" s="23"/>
      <c r="K35" s="23" t="str">
        <f>"120,0"</f>
        <v>120,0</v>
      </c>
      <c r="L35" s="23" t="str">
        <f>"77,6040"</f>
        <v>77,6040</v>
      </c>
      <c r="M35" s="31" t="s">
        <v>323</v>
      </c>
    </row>
    <row r="36" spans="1:13">
      <c r="A36" s="23" t="s">
        <v>12</v>
      </c>
      <c r="B36" s="22" t="s">
        <v>324</v>
      </c>
      <c r="C36" s="22" t="s">
        <v>325</v>
      </c>
      <c r="D36" s="22" t="s">
        <v>155</v>
      </c>
      <c r="E36" s="22" t="s">
        <v>439</v>
      </c>
      <c r="F36" s="22" t="s">
        <v>16</v>
      </c>
      <c r="G36" s="25" t="s">
        <v>142</v>
      </c>
      <c r="H36" s="24" t="s">
        <v>142</v>
      </c>
      <c r="I36" s="24" t="s">
        <v>326</v>
      </c>
      <c r="J36" s="23"/>
      <c r="K36" s="23" t="str">
        <f>"167,5"</f>
        <v>167,5</v>
      </c>
      <c r="L36" s="23" t="str">
        <f>"107,3675"</f>
        <v>107,3675</v>
      </c>
      <c r="M36" s="31" t="s">
        <v>327</v>
      </c>
    </row>
    <row r="37" spans="1:13">
      <c r="A37" s="23" t="s">
        <v>53</v>
      </c>
      <c r="B37" s="22" t="s">
        <v>328</v>
      </c>
      <c r="C37" s="22" t="s">
        <v>329</v>
      </c>
      <c r="D37" s="22" t="s">
        <v>330</v>
      </c>
      <c r="E37" s="22" t="s">
        <v>439</v>
      </c>
      <c r="F37" s="31" t="s">
        <v>16</v>
      </c>
      <c r="G37" s="24" t="s">
        <v>96</v>
      </c>
      <c r="H37" s="24" t="s">
        <v>105</v>
      </c>
      <c r="I37" s="25" t="s">
        <v>75</v>
      </c>
      <c r="J37" s="23"/>
      <c r="K37" s="23" t="str">
        <f>"140,0"</f>
        <v>140,0</v>
      </c>
      <c r="L37" s="23" t="str">
        <f>"89,6280"</f>
        <v>89,6280</v>
      </c>
      <c r="M37" s="22"/>
    </row>
    <row r="38" spans="1:13">
      <c r="A38" s="23" t="s">
        <v>331</v>
      </c>
      <c r="B38" s="22" t="s">
        <v>332</v>
      </c>
      <c r="C38" s="22" t="s">
        <v>333</v>
      </c>
      <c r="D38" s="22" t="s">
        <v>330</v>
      </c>
      <c r="E38" s="22" t="s">
        <v>439</v>
      </c>
      <c r="F38" s="22" t="s">
        <v>16</v>
      </c>
      <c r="G38" s="24" t="s">
        <v>51</v>
      </c>
      <c r="H38" s="24" t="s">
        <v>74</v>
      </c>
      <c r="I38" s="24" t="s">
        <v>96</v>
      </c>
      <c r="J38" s="23"/>
      <c r="K38" s="23" t="str">
        <f>"135,0"</f>
        <v>135,0</v>
      </c>
      <c r="L38" s="23" t="str">
        <f>"86,4270"</f>
        <v>86,4270</v>
      </c>
      <c r="M38" s="31" t="s">
        <v>334</v>
      </c>
    </row>
    <row r="39" spans="1:13">
      <c r="A39" s="23" t="s">
        <v>12</v>
      </c>
      <c r="B39" s="22" t="s">
        <v>157</v>
      </c>
      <c r="C39" s="22" t="s">
        <v>158</v>
      </c>
      <c r="D39" s="22" t="s">
        <v>159</v>
      </c>
      <c r="E39" s="22" t="s">
        <v>437</v>
      </c>
      <c r="F39" s="22" t="s">
        <v>16</v>
      </c>
      <c r="G39" s="24" t="s">
        <v>34</v>
      </c>
      <c r="H39" s="24" t="s">
        <v>103</v>
      </c>
      <c r="I39" s="25" t="s">
        <v>50</v>
      </c>
      <c r="J39" s="23"/>
      <c r="K39" s="23" t="str">
        <f>"115,0"</f>
        <v>115,0</v>
      </c>
      <c r="L39" s="23" t="str">
        <f>"79,3203"</f>
        <v>79,3203</v>
      </c>
      <c r="M39" s="31"/>
    </row>
    <row r="40" spans="1:13">
      <c r="A40" s="11" t="s">
        <v>12</v>
      </c>
      <c r="B40" s="10" t="s">
        <v>233</v>
      </c>
      <c r="C40" s="10" t="s">
        <v>234</v>
      </c>
      <c r="D40" s="10" t="s">
        <v>235</v>
      </c>
      <c r="E40" s="10" t="s">
        <v>441</v>
      </c>
      <c r="F40" s="30" t="s">
        <v>91</v>
      </c>
      <c r="G40" s="21" t="s">
        <v>40</v>
      </c>
      <c r="H40" s="21" t="s">
        <v>48</v>
      </c>
      <c r="I40" s="21" t="s">
        <v>34</v>
      </c>
      <c r="J40" s="11"/>
      <c r="K40" s="11" t="str">
        <f>"110,0"</f>
        <v>110,0</v>
      </c>
      <c r="L40" s="11" t="str">
        <f>"113,8166"</f>
        <v>113,8166</v>
      </c>
      <c r="M40" s="30" t="s">
        <v>236</v>
      </c>
    </row>
    <row r="41" spans="1:13">
      <c r="B41" s="4" t="s">
        <v>24</v>
      </c>
    </row>
    <row r="42" spans="1:13" ht="16">
      <c r="A42" s="37" t="s">
        <v>162</v>
      </c>
      <c r="B42" s="37"/>
      <c r="C42" s="38"/>
      <c r="D42" s="38"/>
      <c r="E42" s="38"/>
      <c r="F42" s="38"/>
      <c r="G42" s="38"/>
      <c r="H42" s="38"/>
      <c r="I42" s="38"/>
      <c r="J42" s="38"/>
    </row>
    <row r="43" spans="1:13">
      <c r="A43" s="9" t="s">
        <v>12</v>
      </c>
      <c r="B43" s="8" t="s">
        <v>335</v>
      </c>
      <c r="C43" s="8" t="s">
        <v>336</v>
      </c>
      <c r="D43" s="8" t="s">
        <v>337</v>
      </c>
      <c r="E43" s="8" t="s">
        <v>439</v>
      </c>
      <c r="F43" s="8" t="s">
        <v>16</v>
      </c>
      <c r="G43" s="18" t="s">
        <v>161</v>
      </c>
      <c r="H43" s="18" t="s">
        <v>182</v>
      </c>
      <c r="I43" s="18" t="s">
        <v>338</v>
      </c>
      <c r="J43" s="9"/>
      <c r="K43" s="9" t="str">
        <f>"172,5"</f>
        <v>172,5</v>
      </c>
      <c r="L43" s="9" t="str">
        <f>"105,1043"</f>
        <v>105,1043</v>
      </c>
      <c r="M43" s="8"/>
    </row>
    <row r="44" spans="1:13">
      <c r="A44" s="23" t="s">
        <v>53</v>
      </c>
      <c r="B44" s="22" t="s">
        <v>339</v>
      </c>
      <c r="C44" s="22" t="s">
        <v>340</v>
      </c>
      <c r="D44" s="22" t="s">
        <v>341</v>
      </c>
      <c r="E44" s="22" t="s">
        <v>439</v>
      </c>
      <c r="F44" s="22" t="s">
        <v>16</v>
      </c>
      <c r="G44" s="24" t="s">
        <v>106</v>
      </c>
      <c r="H44" s="24" t="s">
        <v>76</v>
      </c>
      <c r="I44" s="25" t="s">
        <v>98</v>
      </c>
      <c r="J44" s="23"/>
      <c r="K44" s="23" t="str">
        <f>"160,0"</f>
        <v>160,0</v>
      </c>
      <c r="L44" s="23" t="str">
        <f>"98,6080"</f>
        <v>98,6080</v>
      </c>
      <c r="M44" s="22"/>
    </row>
    <row r="45" spans="1:13">
      <c r="A45" s="23" t="s">
        <v>331</v>
      </c>
      <c r="B45" s="22" t="s">
        <v>342</v>
      </c>
      <c r="C45" s="22" t="s">
        <v>343</v>
      </c>
      <c r="D45" s="22" t="s">
        <v>341</v>
      </c>
      <c r="E45" s="22" t="s">
        <v>439</v>
      </c>
      <c r="F45" s="22" t="s">
        <v>16</v>
      </c>
      <c r="G45" s="24" t="s">
        <v>75</v>
      </c>
      <c r="H45" s="24" t="s">
        <v>160</v>
      </c>
      <c r="I45" s="24" t="s">
        <v>147</v>
      </c>
      <c r="J45" s="23"/>
      <c r="K45" s="23" t="str">
        <f>"157,5"</f>
        <v>157,5</v>
      </c>
      <c r="L45" s="23" t="str">
        <f>"97,0672"</f>
        <v>97,0672</v>
      </c>
      <c r="M45" s="31" t="s">
        <v>23</v>
      </c>
    </row>
    <row r="46" spans="1:13">
      <c r="A46" s="23" t="s">
        <v>344</v>
      </c>
      <c r="B46" s="22" t="s">
        <v>345</v>
      </c>
      <c r="C46" s="22" t="s">
        <v>346</v>
      </c>
      <c r="D46" s="22" t="s">
        <v>347</v>
      </c>
      <c r="E46" s="22" t="s">
        <v>439</v>
      </c>
      <c r="F46" s="31" t="s">
        <v>16</v>
      </c>
      <c r="G46" s="24" t="s">
        <v>105</v>
      </c>
      <c r="H46" s="24" t="s">
        <v>75</v>
      </c>
      <c r="I46" s="24" t="s">
        <v>160</v>
      </c>
      <c r="J46" s="23"/>
      <c r="K46" s="23" t="str">
        <f>"152,5"</f>
        <v>152,5</v>
      </c>
      <c r="L46" s="23" t="str">
        <f>"95,8005"</f>
        <v>95,8005</v>
      </c>
      <c r="M46" s="22"/>
    </row>
    <row r="47" spans="1:13">
      <c r="A47" s="23" t="s">
        <v>12</v>
      </c>
      <c r="B47" s="22" t="s">
        <v>348</v>
      </c>
      <c r="C47" s="22" t="s">
        <v>349</v>
      </c>
      <c r="D47" s="22" t="s">
        <v>350</v>
      </c>
      <c r="E47" s="22" t="s">
        <v>437</v>
      </c>
      <c r="F47" s="22" t="s">
        <v>16</v>
      </c>
      <c r="G47" s="24" t="s">
        <v>161</v>
      </c>
      <c r="H47" s="24" t="s">
        <v>76</v>
      </c>
      <c r="I47" s="25" t="s">
        <v>142</v>
      </c>
      <c r="J47" s="23"/>
      <c r="K47" s="23" t="str">
        <f>"160,0"</f>
        <v>160,0</v>
      </c>
      <c r="L47" s="23" t="str">
        <f>"99,7600"</f>
        <v>99,7600</v>
      </c>
      <c r="M47" s="22"/>
    </row>
    <row r="48" spans="1:13">
      <c r="A48" s="11" t="s">
        <v>12</v>
      </c>
      <c r="B48" s="10" t="s">
        <v>345</v>
      </c>
      <c r="C48" s="10" t="s">
        <v>351</v>
      </c>
      <c r="D48" s="10" t="s">
        <v>347</v>
      </c>
      <c r="E48" s="10" t="s">
        <v>441</v>
      </c>
      <c r="F48" s="30" t="s">
        <v>16</v>
      </c>
      <c r="G48" s="21" t="s">
        <v>105</v>
      </c>
      <c r="H48" s="21" t="s">
        <v>75</v>
      </c>
      <c r="I48" s="21" t="s">
        <v>160</v>
      </c>
      <c r="J48" s="11"/>
      <c r="K48" s="11" t="str">
        <f>"152,5"</f>
        <v>152,5</v>
      </c>
      <c r="L48" s="11" t="str">
        <f>"143,7965"</f>
        <v>143,7965</v>
      </c>
      <c r="M48" s="10"/>
    </row>
    <row r="49" spans="1:13">
      <c r="B49" s="4" t="s">
        <v>24</v>
      </c>
    </row>
    <row r="50" spans="1:13" ht="16">
      <c r="A50" s="37" t="s">
        <v>177</v>
      </c>
      <c r="B50" s="37"/>
      <c r="C50" s="38"/>
      <c r="D50" s="38"/>
      <c r="E50" s="38"/>
      <c r="F50" s="38"/>
      <c r="G50" s="38"/>
      <c r="H50" s="38"/>
      <c r="I50" s="38"/>
      <c r="J50" s="38"/>
    </row>
    <row r="51" spans="1:13">
      <c r="A51" s="9" t="s">
        <v>12</v>
      </c>
      <c r="B51" s="8" t="s">
        <v>352</v>
      </c>
      <c r="C51" s="8" t="s">
        <v>353</v>
      </c>
      <c r="D51" s="8" t="s">
        <v>354</v>
      </c>
      <c r="E51" s="8" t="s">
        <v>439</v>
      </c>
      <c r="F51" s="8" t="s">
        <v>16</v>
      </c>
      <c r="G51" s="18" t="s">
        <v>168</v>
      </c>
      <c r="H51" s="18" t="s">
        <v>130</v>
      </c>
      <c r="I51" s="18" t="s">
        <v>166</v>
      </c>
      <c r="J51" s="9"/>
      <c r="K51" s="9" t="str">
        <f>"195,0"</f>
        <v>195,0</v>
      </c>
      <c r="L51" s="9" t="str">
        <f>"115,2450"</f>
        <v>115,2450</v>
      </c>
      <c r="M51" s="8"/>
    </row>
    <row r="52" spans="1:13">
      <c r="A52" s="23" t="s">
        <v>53</v>
      </c>
      <c r="B52" s="22" t="s">
        <v>355</v>
      </c>
      <c r="C52" s="22" t="s">
        <v>356</v>
      </c>
      <c r="D52" s="22" t="s">
        <v>357</v>
      </c>
      <c r="E52" s="22" t="s">
        <v>439</v>
      </c>
      <c r="F52" s="22" t="s">
        <v>16</v>
      </c>
      <c r="G52" s="24" t="s">
        <v>136</v>
      </c>
      <c r="H52" s="25" t="s">
        <v>130</v>
      </c>
      <c r="I52" s="25" t="s">
        <v>130</v>
      </c>
      <c r="J52" s="23"/>
      <c r="K52" s="23" t="str">
        <f>"190,0"</f>
        <v>190,0</v>
      </c>
      <c r="L52" s="23" t="str">
        <f>"111,8530"</f>
        <v>111,8530</v>
      </c>
      <c r="M52" s="22"/>
    </row>
    <row r="53" spans="1:13">
      <c r="A53" s="23" t="s">
        <v>331</v>
      </c>
      <c r="B53" s="22" t="s">
        <v>358</v>
      </c>
      <c r="C53" s="22" t="s">
        <v>359</v>
      </c>
      <c r="D53" s="22" t="s">
        <v>360</v>
      </c>
      <c r="E53" s="22" t="s">
        <v>439</v>
      </c>
      <c r="F53" s="22" t="s">
        <v>16</v>
      </c>
      <c r="G53" s="24" t="s">
        <v>161</v>
      </c>
      <c r="H53" s="24" t="s">
        <v>76</v>
      </c>
      <c r="I53" s="24" t="s">
        <v>182</v>
      </c>
      <c r="J53" s="23"/>
      <c r="K53" s="23" t="str">
        <f>"165,0"</f>
        <v>165,0</v>
      </c>
      <c r="L53" s="23" t="str">
        <f>"97,4325"</f>
        <v>97,4325</v>
      </c>
      <c r="M53" s="22"/>
    </row>
    <row r="54" spans="1:13">
      <c r="A54" s="11" t="s">
        <v>12</v>
      </c>
      <c r="B54" s="10" t="s">
        <v>361</v>
      </c>
      <c r="C54" s="10" t="s">
        <v>362</v>
      </c>
      <c r="D54" s="10" t="s">
        <v>363</v>
      </c>
      <c r="E54" s="10" t="s">
        <v>444</v>
      </c>
      <c r="F54" s="10" t="s">
        <v>16</v>
      </c>
      <c r="G54" s="21" t="s">
        <v>50</v>
      </c>
      <c r="H54" s="21" t="s">
        <v>51</v>
      </c>
      <c r="I54" s="20" t="s">
        <v>110</v>
      </c>
      <c r="J54" s="11"/>
      <c r="K54" s="11" t="str">
        <f>"125,0"</f>
        <v>125,0</v>
      </c>
      <c r="L54" s="11" t="str">
        <f>"92,7656"</f>
        <v>92,7656</v>
      </c>
      <c r="M54" s="30" t="s">
        <v>23</v>
      </c>
    </row>
    <row r="55" spans="1:13">
      <c r="B55" s="4" t="s">
        <v>24</v>
      </c>
    </row>
    <row r="56" spans="1:13" ht="16">
      <c r="A56" s="37" t="s">
        <v>237</v>
      </c>
      <c r="B56" s="37"/>
      <c r="C56" s="38"/>
      <c r="D56" s="38"/>
      <c r="E56" s="38"/>
      <c r="F56" s="38"/>
      <c r="G56" s="38"/>
      <c r="H56" s="38"/>
      <c r="I56" s="38"/>
      <c r="J56" s="38"/>
    </row>
    <row r="57" spans="1:13">
      <c r="A57" s="9" t="s">
        <v>12</v>
      </c>
      <c r="B57" s="8" t="s">
        <v>364</v>
      </c>
      <c r="C57" s="8" t="s">
        <v>365</v>
      </c>
      <c r="D57" s="8" t="s">
        <v>366</v>
      </c>
      <c r="E57" s="8" t="s">
        <v>439</v>
      </c>
      <c r="F57" s="8" t="s">
        <v>16</v>
      </c>
      <c r="G57" s="18" t="s">
        <v>99</v>
      </c>
      <c r="H57" s="18" t="s">
        <v>136</v>
      </c>
      <c r="I57" s="18" t="s">
        <v>231</v>
      </c>
      <c r="J57" s="9"/>
      <c r="K57" s="9" t="str">
        <f>"197,5"</f>
        <v>197,5</v>
      </c>
      <c r="L57" s="9" t="str">
        <f>"114,8068"</f>
        <v>114,8068</v>
      </c>
      <c r="M57" s="8"/>
    </row>
    <row r="58" spans="1:13">
      <c r="A58" s="11" t="s">
        <v>12</v>
      </c>
      <c r="B58" s="10" t="s">
        <v>367</v>
      </c>
      <c r="C58" s="10" t="s">
        <v>368</v>
      </c>
      <c r="D58" s="10" t="s">
        <v>369</v>
      </c>
      <c r="E58" s="10" t="s">
        <v>437</v>
      </c>
      <c r="F58" s="10" t="s">
        <v>16</v>
      </c>
      <c r="G58" s="21" t="s">
        <v>105</v>
      </c>
      <c r="H58" s="21" t="s">
        <v>160</v>
      </c>
      <c r="I58" s="21" t="s">
        <v>76</v>
      </c>
      <c r="J58" s="11"/>
      <c r="K58" s="11" t="str">
        <f>"160,0"</f>
        <v>160,0</v>
      </c>
      <c r="L58" s="11" t="str">
        <f>"101,9355"</f>
        <v>101,9355</v>
      </c>
      <c r="M58" s="10"/>
    </row>
    <row r="59" spans="1:13">
      <c r="B59" s="4" t="s">
        <v>24</v>
      </c>
    </row>
    <row r="60" spans="1:13">
      <c r="B60" s="4" t="s">
        <v>24</v>
      </c>
    </row>
    <row r="61" spans="1:13">
      <c r="B61" s="4" t="s">
        <v>24</v>
      </c>
    </row>
    <row r="62" spans="1:13" ht="18">
      <c r="B62" s="12" t="s">
        <v>185</v>
      </c>
      <c r="C62" s="12"/>
      <c r="F62" s="3"/>
    </row>
    <row r="63" spans="1:13" ht="16">
      <c r="B63" s="27" t="s">
        <v>186</v>
      </c>
      <c r="C63" s="27"/>
      <c r="F63" s="3"/>
    </row>
    <row r="64" spans="1:13">
      <c r="F64" s="3"/>
    </row>
    <row r="65" spans="2:6" ht="14">
      <c r="B65" s="13"/>
      <c r="C65" s="14" t="s">
        <v>370</v>
      </c>
      <c r="F65" s="3"/>
    </row>
    <row r="66" spans="2:6" ht="14">
      <c r="B66" s="15" t="s">
        <v>188</v>
      </c>
      <c r="C66" s="15" t="s">
        <v>189</v>
      </c>
      <c r="D66" s="15" t="s">
        <v>190</v>
      </c>
      <c r="E66" s="15" t="s">
        <v>371</v>
      </c>
      <c r="F66" s="15" t="s">
        <v>192</v>
      </c>
    </row>
    <row r="67" spans="2:6">
      <c r="B67" s="4" t="s">
        <v>308</v>
      </c>
      <c r="C67" s="4" t="s">
        <v>370</v>
      </c>
      <c r="D67" s="5" t="s">
        <v>372</v>
      </c>
      <c r="E67" s="5" t="s">
        <v>311</v>
      </c>
      <c r="F67" s="5" t="s">
        <v>373</v>
      </c>
    </row>
    <row r="68" spans="2:6">
      <c r="B68" s="4" t="s">
        <v>352</v>
      </c>
      <c r="C68" s="4" t="s">
        <v>370</v>
      </c>
      <c r="D68" s="5" t="s">
        <v>374</v>
      </c>
      <c r="E68" s="5" t="s">
        <v>166</v>
      </c>
      <c r="F68" s="5" t="s">
        <v>375</v>
      </c>
    </row>
    <row r="69" spans="2:6">
      <c r="B69" s="4" t="s">
        <v>364</v>
      </c>
      <c r="C69" s="4" t="s">
        <v>370</v>
      </c>
      <c r="D69" s="5" t="s">
        <v>376</v>
      </c>
      <c r="E69" s="5" t="s">
        <v>231</v>
      </c>
      <c r="F69" s="5" t="s">
        <v>377</v>
      </c>
    </row>
    <row r="71" spans="2:6" ht="14">
      <c r="B71" s="13"/>
      <c r="C71" s="14" t="s">
        <v>378</v>
      </c>
    </row>
    <row r="72" spans="2:6" ht="14">
      <c r="B72" s="15" t="s">
        <v>188</v>
      </c>
      <c r="C72" s="15" t="s">
        <v>189</v>
      </c>
      <c r="D72" s="15" t="s">
        <v>190</v>
      </c>
      <c r="E72" s="15" t="s">
        <v>371</v>
      </c>
      <c r="F72" s="15" t="s">
        <v>192</v>
      </c>
    </row>
    <row r="73" spans="2:6">
      <c r="B73" s="4" t="s">
        <v>345</v>
      </c>
      <c r="C73" s="4" t="s">
        <v>379</v>
      </c>
      <c r="D73" s="5" t="s">
        <v>197</v>
      </c>
      <c r="E73" s="5" t="s">
        <v>160</v>
      </c>
      <c r="F73" s="5" t="s">
        <v>380</v>
      </c>
    </row>
    <row r="74" spans="2:6">
      <c r="B74" s="4" t="s">
        <v>233</v>
      </c>
      <c r="C74" s="4" t="s">
        <v>379</v>
      </c>
      <c r="D74" s="5" t="s">
        <v>381</v>
      </c>
      <c r="E74" s="5" t="s">
        <v>34</v>
      </c>
      <c r="F74" s="5" t="s">
        <v>382</v>
      </c>
    </row>
    <row r="75" spans="2:6">
      <c r="B75" s="4" t="s">
        <v>367</v>
      </c>
      <c r="C75" s="4" t="s">
        <v>383</v>
      </c>
      <c r="D75" s="5" t="s">
        <v>376</v>
      </c>
      <c r="E75" s="5" t="s">
        <v>76</v>
      </c>
      <c r="F75" s="5" t="s">
        <v>384</v>
      </c>
    </row>
    <row r="76" spans="2:6">
      <c r="B76" s="4" t="s">
        <v>24</v>
      </c>
    </row>
    <row r="77" spans="2:6">
      <c r="B77" s="4" t="s">
        <v>24</v>
      </c>
    </row>
    <row r="78" spans="2:6">
      <c r="B78" s="4" t="s">
        <v>24</v>
      </c>
    </row>
    <row r="79" spans="2:6">
      <c r="B79" s="4" t="s">
        <v>24</v>
      </c>
    </row>
    <row r="80" spans="2:6">
      <c r="B80" s="4" t="s">
        <v>24</v>
      </c>
    </row>
    <row r="81" spans="2:2">
      <c r="B81" s="4" t="s">
        <v>24</v>
      </c>
    </row>
  </sheetData>
  <mergeCells count="22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3:J33"/>
    <mergeCell ref="A42:J42"/>
    <mergeCell ref="A50:J50"/>
    <mergeCell ref="A56:J56"/>
    <mergeCell ref="B3:B4"/>
    <mergeCell ref="A9:J9"/>
    <mergeCell ref="A13:J13"/>
    <mergeCell ref="A16:J16"/>
    <mergeCell ref="A19:J19"/>
    <mergeCell ref="A23:J23"/>
    <mergeCell ref="A27:J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3"/>
  <sheetViews>
    <sheetView workbookViewId="0">
      <selection sqref="A1:M2"/>
    </sheetView>
  </sheetViews>
  <sheetFormatPr baseColWidth="10" defaultColWidth="9.1640625" defaultRowHeight="13"/>
  <cols>
    <col min="1" max="1" width="7.5" style="4" bestFit="1" customWidth="1"/>
    <col min="2" max="2" width="18.5" style="4" bestFit="1" customWidth="1"/>
    <col min="3" max="3" width="27.5" style="4" bestFit="1" customWidth="1"/>
    <col min="4" max="4" width="21.5" style="4" bestFit="1" customWidth="1"/>
    <col min="5" max="5" width="10.5" style="4" bestFit="1" customWidth="1"/>
    <col min="6" max="6" width="31.83203125" style="4" bestFit="1" customWidth="1"/>
    <col min="7" max="9" width="5.5" style="5" customWidth="1"/>
    <col min="10" max="10" width="4.83203125" style="5" customWidth="1"/>
    <col min="11" max="11" width="11.33203125" style="5" bestFit="1" customWidth="1"/>
    <col min="12" max="12" width="8.5" style="5" bestFit="1" customWidth="1"/>
    <col min="13" max="13" width="15.6640625" style="4" bestFit="1" customWidth="1"/>
    <col min="14" max="16384" width="9.1640625" style="3"/>
  </cols>
  <sheetData>
    <row r="1" spans="1:13" s="2" customFormat="1" ht="29" customHeight="1">
      <c r="A1" s="49" t="s">
        <v>397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57" t="s">
        <v>434</v>
      </c>
      <c r="B3" s="39" t="s">
        <v>1</v>
      </c>
      <c r="C3" s="59" t="s">
        <v>435</v>
      </c>
      <c r="D3" s="59" t="s">
        <v>2</v>
      </c>
      <c r="E3" s="43" t="s">
        <v>436</v>
      </c>
      <c r="F3" s="43" t="s">
        <v>3</v>
      </c>
      <c r="G3" s="43" t="s">
        <v>6</v>
      </c>
      <c r="H3" s="43"/>
      <c r="I3" s="43"/>
      <c r="J3" s="43"/>
      <c r="K3" s="43" t="s">
        <v>268</v>
      </c>
      <c r="L3" s="43" t="s">
        <v>8</v>
      </c>
      <c r="M3" s="45" t="s">
        <v>9</v>
      </c>
    </row>
    <row r="4" spans="1:13" s="1" customFormat="1" ht="21" customHeight="1" thickBot="1">
      <c r="A4" s="58"/>
      <c r="B4" s="40"/>
      <c r="C4" s="44"/>
      <c r="D4" s="44"/>
      <c r="E4" s="44"/>
      <c r="F4" s="44"/>
      <c r="G4" s="26">
        <v>1</v>
      </c>
      <c r="H4" s="26">
        <v>2</v>
      </c>
      <c r="I4" s="26">
        <v>3</v>
      </c>
      <c r="J4" s="26" t="s">
        <v>10</v>
      </c>
      <c r="K4" s="44"/>
      <c r="L4" s="44"/>
      <c r="M4" s="46"/>
    </row>
    <row r="5" spans="1:13" ht="16">
      <c r="A5" s="47" t="s">
        <v>125</v>
      </c>
      <c r="B5" s="47"/>
      <c r="C5" s="48"/>
      <c r="D5" s="48"/>
      <c r="E5" s="48"/>
      <c r="F5" s="48"/>
      <c r="G5" s="48"/>
      <c r="H5" s="48"/>
      <c r="I5" s="48"/>
      <c r="J5" s="48"/>
    </row>
    <row r="6" spans="1:13">
      <c r="A6" s="7" t="s">
        <v>12</v>
      </c>
      <c r="B6" s="6" t="s">
        <v>398</v>
      </c>
      <c r="C6" s="6" t="s">
        <v>399</v>
      </c>
      <c r="D6" s="6" t="s">
        <v>400</v>
      </c>
      <c r="E6" s="6" t="s">
        <v>439</v>
      </c>
      <c r="F6" s="6" t="s">
        <v>16</v>
      </c>
      <c r="G6" s="16" t="s">
        <v>96</v>
      </c>
      <c r="H6" s="16" t="s">
        <v>75</v>
      </c>
      <c r="I6" s="16" t="s">
        <v>106</v>
      </c>
      <c r="J6" s="7"/>
      <c r="K6" s="7" t="str">
        <f>"150,0"</f>
        <v>150,0</v>
      </c>
      <c r="L6" s="7" t="str">
        <f>"147,7800"</f>
        <v>147,7800</v>
      </c>
      <c r="M6" s="28" t="s">
        <v>293</v>
      </c>
    </row>
    <row r="7" spans="1:13">
      <c r="B7" s="4" t="s">
        <v>24</v>
      </c>
    </row>
    <row r="8" spans="1:13" ht="16">
      <c r="A8" s="37" t="s">
        <v>70</v>
      </c>
      <c r="B8" s="37"/>
      <c r="C8" s="38"/>
      <c r="D8" s="38"/>
      <c r="E8" s="38"/>
      <c r="F8" s="38"/>
      <c r="G8" s="38"/>
      <c r="H8" s="38"/>
      <c r="I8" s="38"/>
      <c r="J8" s="38"/>
    </row>
    <row r="9" spans="1:13">
      <c r="A9" s="7" t="s">
        <v>12</v>
      </c>
      <c r="B9" s="6" t="s">
        <v>286</v>
      </c>
      <c r="C9" s="6" t="s">
        <v>287</v>
      </c>
      <c r="D9" s="6" t="s">
        <v>288</v>
      </c>
      <c r="E9" s="6" t="s">
        <v>440</v>
      </c>
      <c r="F9" s="6" t="s">
        <v>16</v>
      </c>
      <c r="G9" s="16" t="s">
        <v>48</v>
      </c>
      <c r="H9" s="17" t="s">
        <v>401</v>
      </c>
      <c r="I9" s="16" t="s">
        <v>401</v>
      </c>
      <c r="J9" s="7"/>
      <c r="K9" s="7" t="str">
        <f>"112,5"</f>
        <v>112,5</v>
      </c>
      <c r="L9" s="7" t="str">
        <f>"103,6012"</f>
        <v>103,6012</v>
      </c>
      <c r="M9" s="28" t="s">
        <v>132</v>
      </c>
    </row>
    <row r="10" spans="1:13">
      <c r="B10" s="4" t="s">
        <v>24</v>
      </c>
    </row>
    <row r="11" spans="1:13" ht="16">
      <c r="A11" s="37" t="s">
        <v>43</v>
      </c>
      <c r="B11" s="37"/>
      <c r="C11" s="38"/>
      <c r="D11" s="38"/>
      <c r="E11" s="38"/>
      <c r="F11" s="38"/>
      <c r="G11" s="38"/>
      <c r="H11" s="38"/>
      <c r="I11" s="38"/>
      <c r="J11" s="38"/>
    </row>
    <row r="12" spans="1:13">
      <c r="A12" s="7" t="s">
        <v>12</v>
      </c>
      <c r="B12" s="6" t="s">
        <v>93</v>
      </c>
      <c r="C12" s="6" t="s">
        <v>94</v>
      </c>
      <c r="D12" s="6" t="s">
        <v>95</v>
      </c>
      <c r="E12" s="6" t="s">
        <v>442</v>
      </c>
      <c r="F12" s="6" t="s">
        <v>57</v>
      </c>
      <c r="G12" s="16" t="s">
        <v>98</v>
      </c>
      <c r="H12" s="16" t="s">
        <v>99</v>
      </c>
      <c r="I12" s="7"/>
      <c r="J12" s="7"/>
      <c r="K12" s="7" t="str">
        <f>"180,0"</f>
        <v>180,0</v>
      </c>
      <c r="L12" s="7" t="str">
        <f>"165,6000"</f>
        <v>165,6000</v>
      </c>
      <c r="M12" s="28" t="s">
        <v>58</v>
      </c>
    </row>
    <row r="13" spans="1:13">
      <c r="B13" s="4" t="s">
        <v>24</v>
      </c>
    </row>
    <row r="14" spans="1:13" ht="16">
      <c r="A14" s="37" t="s">
        <v>70</v>
      </c>
      <c r="B14" s="37"/>
      <c r="C14" s="38"/>
      <c r="D14" s="38"/>
      <c r="E14" s="38"/>
      <c r="F14" s="38"/>
      <c r="G14" s="38"/>
      <c r="H14" s="38"/>
      <c r="I14" s="38"/>
      <c r="J14" s="38"/>
    </row>
    <row r="15" spans="1:13">
      <c r="A15" s="7" t="s">
        <v>12</v>
      </c>
      <c r="B15" s="6" t="s">
        <v>255</v>
      </c>
      <c r="C15" s="6" t="s">
        <v>256</v>
      </c>
      <c r="D15" s="6" t="s">
        <v>257</v>
      </c>
      <c r="E15" s="6" t="s">
        <v>437</v>
      </c>
      <c r="F15" s="6" t="s">
        <v>16</v>
      </c>
      <c r="G15" s="16" t="s">
        <v>75</v>
      </c>
      <c r="H15" s="16" t="s">
        <v>160</v>
      </c>
      <c r="I15" s="17" t="s">
        <v>76</v>
      </c>
      <c r="J15" s="7"/>
      <c r="K15" s="7" t="str">
        <f>"152,5"</f>
        <v>152,5</v>
      </c>
      <c r="L15" s="7" t="str">
        <f>"105,5693"</f>
        <v>105,5693</v>
      </c>
      <c r="M15" s="28" t="s">
        <v>258</v>
      </c>
    </row>
    <row r="16" spans="1:13">
      <c r="B16" s="4" t="s">
        <v>24</v>
      </c>
    </row>
    <row r="17" spans="1:13" ht="16">
      <c r="A17" s="37" t="s">
        <v>138</v>
      </c>
      <c r="B17" s="37"/>
      <c r="C17" s="38"/>
      <c r="D17" s="38"/>
      <c r="E17" s="38"/>
      <c r="F17" s="38"/>
      <c r="G17" s="38"/>
      <c r="H17" s="38"/>
      <c r="I17" s="38"/>
      <c r="J17" s="38"/>
    </row>
    <row r="18" spans="1:13">
      <c r="A18" s="9" t="s">
        <v>12</v>
      </c>
      <c r="B18" s="8" t="s">
        <v>402</v>
      </c>
      <c r="C18" s="8" t="s">
        <v>403</v>
      </c>
      <c r="D18" s="8" t="s">
        <v>404</v>
      </c>
      <c r="E18" s="8" t="s">
        <v>439</v>
      </c>
      <c r="F18" s="8" t="s">
        <v>222</v>
      </c>
      <c r="G18" s="18" t="s">
        <v>156</v>
      </c>
      <c r="H18" s="18" t="s">
        <v>152</v>
      </c>
      <c r="I18" s="19" t="s">
        <v>265</v>
      </c>
      <c r="J18" s="9"/>
      <c r="K18" s="9" t="str">
        <f>"240,0"</f>
        <v>240,0</v>
      </c>
      <c r="L18" s="9" t="str">
        <f>"154,7280"</f>
        <v>154,7280</v>
      </c>
      <c r="M18" s="8"/>
    </row>
    <row r="19" spans="1:13">
      <c r="A19" s="23" t="s">
        <v>12</v>
      </c>
      <c r="B19" s="22" t="s">
        <v>405</v>
      </c>
      <c r="C19" s="22" t="s">
        <v>406</v>
      </c>
      <c r="D19" s="22" t="s">
        <v>407</v>
      </c>
      <c r="E19" s="22" t="s">
        <v>437</v>
      </c>
      <c r="F19" s="22" t="s">
        <v>16</v>
      </c>
      <c r="G19" s="25" t="s">
        <v>136</v>
      </c>
      <c r="H19" s="24" t="s">
        <v>408</v>
      </c>
      <c r="I19" s="25" t="s">
        <v>232</v>
      </c>
      <c r="J19" s="23"/>
      <c r="K19" s="23" t="str">
        <f>"202,5"</f>
        <v>202,5</v>
      </c>
      <c r="L19" s="23" t="str">
        <f>"130,4100"</f>
        <v>130,4100</v>
      </c>
      <c r="M19" s="22"/>
    </row>
    <row r="20" spans="1:13">
      <c r="A20" s="11" t="s">
        <v>12</v>
      </c>
      <c r="B20" s="10" t="s">
        <v>233</v>
      </c>
      <c r="C20" s="10" t="s">
        <v>234</v>
      </c>
      <c r="D20" s="10" t="s">
        <v>235</v>
      </c>
      <c r="E20" s="10" t="s">
        <v>441</v>
      </c>
      <c r="F20" s="30" t="s">
        <v>392</v>
      </c>
      <c r="G20" s="21" t="s">
        <v>74</v>
      </c>
      <c r="H20" s="21" t="s">
        <v>105</v>
      </c>
      <c r="I20" s="21" t="s">
        <v>106</v>
      </c>
      <c r="J20" s="11"/>
      <c r="K20" s="11" t="str">
        <f>"150,0"</f>
        <v>150,0</v>
      </c>
      <c r="L20" s="11" t="str">
        <f>"155,2044"</f>
        <v>155,2044</v>
      </c>
      <c r="M20" s="30" t="s">
        <v>236</v>
      </c>
    </row>
    <row r="21" spans="1:13">
      <c r="B21" s="4" t="s">
        <v>24</v>
      </c>
    </row>
    <row r="22" spans="1:13" ht="16">
      <c r="A22" s="37" t="s">
        <v>162</v>
      </c>
      <c r="B22" s="37"/>
      <c r="C22" s="38"/>
      <c r="D22" s="38"/>
      <c r="E22" s="38"/>
      <c r="F22" s="38"/>
      <c r="G22" s="38"/>
      <c r="H22" s="38"/>
      <c r="I22" s="38"/>
      <c r="J22" s="38"/>
    </row>
    <row r="23" spans="1:13">
      <c r="A23" s="7" t="s">
        <v>12</v>
      </c>
      <c r="B23" s="6" t="s">
        <v>409</v>
      </c>
      <c r="C23" s="6" t="s">
        <v>410</v>
      </c>
      <c r="D23" s="6" t="s">
        <v>411</v>
      </c>
      <c r="E23" s="6" t="s">
        <v>439</v>
      </c>
      <c r="F23" s="28" t="s">
        <v>16</v>
      </c>
      <c r="G23" s="17" t="s">
        <v>98</v>
      </c>
      <c r="H23" s="16" t="s">
        <v>338</v>
      </c>
      <c r="I23" s="16" t="s">
        <v>311</v>
      </c>
      <c r="J23" s="7"/>
      <c r="K23" s="7" t="str">
        <f>"177,5"</f>
        <v>177,5</v>
      </c>
      <c r="L23" s="7" t="str">
        <f>"108,8252"</f>
        <v>108,8252</v>
      </c>
      <c r="M23" s="28" t="s">
        <v>412</v>
      </c>
    </row>
    <row r="24" spans="1:13">
      <c r="B24" s="4" t="s">
        <v>24</v>
      </c>
    </row>
    <row r="25" spans="1:13" ht="16">
      <c r="A25" s="37" t="s">
        <v>177</v>
      </c>
      <c r="B25" s="37"/>
      <c r="C25" s="38"/>
      <c r="D25" s="38"/>
      <c r="E25" s="38"/>
      <c r="F25" s="38"/>
      <c r="G25" s="38"/>
      <c r="H25" s="38"/>
      <c r="I25" s="38"/>
      <c r="J25" s="38"/>
    </row>
    <row r="26" spans="1:13">
      <c r="A26" s="7" t="s">
        <v>12</v>
      </c>
      <c r="B26" s="6" t="s">
        <v>262</v>
      </c>
      <c r="C26" s="6" t="s">
        <v>263</v>
      </c>
      <c r="D26" s="6" t="s">
        <v>264</v>
      </c>
      <c r="E26" s="6" t="s">
        <v>439</v>
      </c>
      <c r="F26" s="6" t="s">
        <v>16</v>
      </c>
      <c r="G26" s="16" t="s">
        <v>152</v>
      </c>
      <c r="H26" s="16" t="s">
        <v>265</v>
      </c>
      <c r="I26" s="16" t="s">
        <v>266</v>
      </c>
      <c r="J26" s="7"/>
      <c r="K26" s="7" t="str">
        <f>"280,0"</f>
        <v>280,0</v>
      </c>
      <c r="L26" s="7" t="str">
        <f>"169,0360"</f>
        <v>169,0360</v>
      </c>
      <c r="M26" s="6"/>
    </row>
    <row r="27" spans="1:13">
      <c r="B27" s="4" t="s">
        <v>24</v>
      </c>
    </row>
    <row r="28" spans="1:13" ht="16">
      <c r="A28" s="37" t="s">
        <v>237</v>
      </c>
      <c r="B28" s="37"/>
      <c r="C28" s="38"/>
      <c r="D28" s="38"/>
      <c r="E28" s="38"/>
      <c r="F28" s="38"/>
      <c r="G28" s="38"/>
      <c r="H28" s="38"/>
      <c r="I28" s="38"/>
      <c r="J28" s="38"/>
    </row>
    <row r="29" spans="1:13">
      <c r="A29" s="9" t="s">
        <v>12</v>
      </c>
      <c r="B29" s="8" t="s">
        <v>238</v>
      </c>
      <c r="C29" s="8" t="s">
        <v>239</v>
      </c>
      <c r="D29" s="8" t="s">
        <v>240</v>
      </c>
      <c r="E29" s="8" t="s">
        <v>439</v>
      </c>
      <c r="F29" s="8" t="s">
        <v>16</v>
      </c>
      <c r="G29" s="18" t="s">
        <v>244</v>
      </c>
      <c r="H29" s="19" t="s">
        <v>245</v>
      </c>
      <c r="I29" s="9"/>
      <c r="J29" s="9"/>
      <c r="K29" s="9" t="str">
        <f>"300,0"</f>
        <v>300,0</v>
      </c>
      <c r="L29" s="9" t="str">
        <f>"174,1500"</f>
        <v>174,1500</v>
      </c>
      <c r="M29" s="29" t="s">
        <v>246</v>
      </c>
    </row>
    <row r="30" spans="1:13">
      <c r="A30" s="23" t="s">
        <v>53</v>
      </c>
      <c r="B30" s="22" t="s">
        <v>364</v>
      </c>
      <c r="C30" s="22" t="s">
        <v>365</v>
      </c>
      <c r="D30" s="22" t="s">
        <v>366</v>
      </c>
      <c r="E30" s="22" t="s">
        <v>439</v>
      </c>
      <c r="F30" s="22" t="s">
        <v>16</v>
      </c>
      <c r="G30" s="24" t="s">
        <v>413</v>
      </c>
      <c r="H30" s="24" t="s">
        <v>414</v>
      </c>
      <c r="I30" s="24" t="s">
        <v>183</v>
      </c>
      <c r="J30" s="23"/>
      <c r="K30" s="23" t="str">
        <f>"265,0"</f>
        <v>265,0</v>
      </c>
      <c r="L30" s="23" t="str">
        <f>"154,0445"</f>
        <v>154,0445</v>
      </c>
      <c r="M30" s="22"/>
    </row>
    <row r="31" spans="1:13">
      <c r="A31" s="23" t="s">
        <v>331</v>
      </c>
      <c r="B31" s="22" t="s">
        <v>415</v>
      </c>
      <c r="C31" s="22" t="s">
        <v>416</v>
      </c>
      <c r="D31" s="22" t="s">
        <v>417</v>
      </c>
      <c r="E31" s="22" t="s">
        <v>439</v>
      </c>
      <c r="F31" s="22" t="s">
        <v>16</v>
      </c>
      <c r="G31" s="25" t="s">
        <v>232</v>
      </c>
      <c r="H31" s="24" t="s">
        <v>232</v>
      </c>
      <c r="I31" s="25" t="s">
        <v>151</v>
      </c>
      <c r="J31" s="23"/>
      <c r="K31" s="23" t="str">
        <f>"210,0"</f>
        <v>210,0</v>
      </c>
      <c r="L31" s="23" t="str">
        <f>"120,2880"</f>
        <v>120,2880</v>
      </c>
      <c r="M31" s="31" t="s">
        <v>418</v>
      </c>
    </row>
    <row r="32" spans="1:13">
      <c r="A32" s="11" t="s">
        <v>12</v>
      </c>
      <c r="B32" s="10" t="s">
        <v>415</v>
      </c>
      <c r="C32" s="10" t="s">
        <v>419</v>
      </c>
      <c r="D32" s="10" t="s">
        <v>417</v>
      </c>
      <c r="E32" s="10" t="s">
        <v>437</v>
      </c>
      <c r="F32" s="10" t="s">
        <v>16</v>
      </c>
      <c r="G32" s="20" t="s">
        <v>232</v>
      </c>
      <c r="H32" s="21" t="s">
        <v>232</v>
      </c>
      <c r="I32" s="20" t="s">
        <v>151</v>
      </c>
      <c r="J32" s="11"/>
      <c r="K32" s="11" t="str">
        <f>"210,0"</f>
        <v>210,0</v>
      </c>
      <c r="L32" s="11" t="str">
        <f>"125,5807"</f>
        <v>125,5807</v>
      </c>
      <c r="M32" s="30" t="s">
        <v>418</v>
      </c>
    </row>
    <row r="33" spans="2:2">
      <c r="B33" s="4" t="s">
        <v>24</v>
      </c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28:J28"/>
    <mergeCell ref="B3:B4"/>
    <mergeCell ref="A8:J8"/>
    <mergeCell ref="A11:J11"/>
    <mergeCell ref="A14:J14"/>
    <mergeCell ref="A17:J17"/>
    <mergeCell ref="A22:J22"/>
    <mergeCell ref="A25:J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7"/>
  <sheetViews>
    <sheetView workbookViewId="0">
      <selection activeCell="E30" sqref="E30"/>
    </sheetView>
  </sheetViews>
  <sheetFormatPr baseColWidth="10" defaultColWidth="9.1640625" defaultRowHeight="13"/>
  <cols>
    <col min="1" max="1" width="7.5" style="4" bestFit="1" customWidth="1"/>
    <col min="2" max="2" width="21.1640625" style="4" bestFit="1" customWidth="1"/>
    <col min="3" max="3" width="28.5" style="4" bestFit="1" customWidth="1"/>
    <col min="4" max="4" width="21.5" style="4" bestFit="1" customWidth="1"/>
    <col min="5" max="5" width="10.5" style="4" bestFit="1" customWidth="1"/>
    <col min="6" max="6" width="31.83203125" style="4" bestFit="1" customWidth="1"/>
    <col min="7" max="9" width="4.5" style="5" customWidth="1"/>
    <col min="10" max="10" width="4.83203125" style="5" customWidth="1"/>
    <col min="11" max="11" width="11.33203125" style="5" bestFit="1" customWidth="1"/>
    <col min="12" max="12" width="7.5" style="5" bestFit="1" customWidth="1"/>
    <col min="13" max="13" width="15.6640625" style="4" bestFit="1" customWidth="1"/>
    <col min="14" max="16384" width="9.1640625" style="3"/>
  </cols>
  <sheetData>
    <row r="1" spans="1:13" s="2" customFormat="1" ht="29" customHeight="1">
      <c r="A1" s="49" t="s">
        <v>420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57" t="s">
        <v>434</v>
      </c>
      <c r="B3" s="39" t="s">
        <v>1</v>
      </c>
      <c r="C3" s="59" t="s">
        <v>435</v>
      </c>
      <c r="D3" s="59" t="s">
        <v>2</v>
      </c>
      <c r="E3" s="43" t="s">
        <v>436</v>
      </c>
      <c r="F3" s="43" t="s">
        <v>3</v>
      </c>
      <c r="G3" s="43" t="s">
        <v>433</v>
      </c>
      <c r="H3" s="43"/>
      <c r="I3" s="43"/>
      <c r="J3" s="43"/>
      <c r="K3" s="43" t="s">
        <v>268</v>
      </c>
      <c r="L3" s="43" t="s">
        <v>8</v>
      </c>
      <c r="M3" s="45" t="s">
        <v>9</v>
      </c>
    </row>
    <row r="4" spans="1:13" s="1" customFormat="1" ht="21" customHeight="1" thickBot="1">
      <c r="A4" s="58"/>
      <c r="B4" s="40"/>
      <c r="C4" s="44"/>
      <c r="D4" s="44"/>
      <c r="E4" s="44"/>
      <c r="F4" s="44"/>
      <c r="G4" s="26">
        <v>1</v>
      </c>
      <c r="H4" s="26">
        <v>2</v>
      </c>
      <c r="I4" s="26">
        <v>3</v>
      </c>
      <c r="J4" s="26" t="s">
        <v>10</v>
      </c>
      <c r="K4" s="44"/>
      <c r="L4" s="44"/>
      <c r="M4" s="46"/>
    </row>
    <row r="5" spans="1:13" ht="16">
      <c r="A5" s="47" t="s">
        <v>125</v>
      </c>
      <c r="B5" s="47"/>
      <c r="C5" s="48"/>
      <c r="D5" s="48"/>
      <c r="E5" s="48"/>
      <c r="F5" s="48"/>
      <c r="G5" s="48"/>
      <c r="H5" s="48"/>
      <c r="I5" s="48"/>
      <c r="J5" s="48"/>
    </row>
    <row r="6" spans="1:13">
      <c r="A6" s="7" t="s">
        <v>12</v>
      </c>
      <c r="B6" s="6" t="s">
        <v>421</v>
      </c>
      <c r="C6" s="6" t="s">
        <v>422</v>
      </c>
      <c r="D6" s="6" t="s">
        <v>128</v>
      </c>
      <c r="E6" s="6" t="s">
        <v>437</v>
      </c>
      <c r="F6" s="6" t="s">
        <v>16</v>
      </c>
      <c r="G6" s="16" t="s">
        <v>20</v>
      </c>
      <c r="H6" s="16" t="s">
        <v>21</v>
      </c>
      <c r="I6" s="17" t="s">
        <v>32</v>
      </c>
      <c r="J6" s="7"/>
      <c r="K6" s="7" t="str">
        <f>"45,0"</f>
        <v>45,0</v>
      </c>
      <c r="L6" s="7" t="str">
        <f>"41,4595"</f>
        <v>41,4595</v>
      </c>
      <c r="M6" s="28" t="s">
        <v>423</v>
      </c>
    </row>
    <row r="7" spans="1:13">
      <c r="B7" s="4" t="s">
        <v>24</v>
      </c>
    </row>
    <row r="8" spans="1:13" ht="16">
      <c r="A8" s="37" t="s">
        <v>43</v>
      </c>
      <c r="B8" s="37"/>
      <c r="C8" s="38"/>
      <c r="D8" s="38"/>
      <c r="E8" s="38"/>
      <c r="F8" s="38"/>
      <c r="G8" s="38"/>
      <c r="H8" s="38"/>
      <c r="I8" s="38"/>
      <c r="J8" s="38"/>
    </row>
    <row r="9" spans="1:13">
      <c r="A9" s="7" t="s">
        <v>12</v>
      </c>
      <c r="B9" s="6" t="s">
        <v>385</v>
      </c>
      <c r="C9" s="6" t="s">
        <v>386</v>
      </c>
      <c r="D9" s="6" t="s">
        <v>387</v>
      </c>
      <c r="E9" s="6" t="s">
        <v>438</v>
      </c>
      <c r="F9" s="28" t="s">
        <v>388</v>
      </c>
      <c r="G9" s="16" t="s">
        <v>81</v>
      </c>
      <c r="H9" s="16" t="s">
        <v>394</v>
      </c>
      <c r="I9" s="16" t="s">
        <v>395</v>
      </c>
      <c r="J9" s="7"/>
      <c r="K9" s="7" t="str">
        <f>"42,5"</f>
        <v>42,5</v>
      </c>
      <c r="L9" s="7" t="str">
        <f>"37,9334"</f>
        <v>37,9334</v>
      </c>
      <c r="M9" s="28" t="s">
        <v>334</v>
      </c>
    </row>
    <row r="10" spans="1:13">
      <c r="B10" s="4" t="s">
        <v>24</v>
      </c>
    </row>
    <row r="11" spans="1:13" ht="16">
      <c r="A11" s="37" t="s">
        <v>59</v>
      </c>
      <c r="B11" s="37"/>
      <c r="C11" s="38"/>
      <c r="D11" s="38"/>
      <c r="E11" s="38"/>
      <c r="F11" s="38"/>
      <c r="G11" s="38"/>
      <c r="H11" s="38"/>
      <c r="I11" s="38"/>
      <c r="J11" s="38"/>
    </row>
    <row r="12" spans="1:13">
      <c r="A12" s="7" t="s">
        <v>12</v>
      </c>
      <c r="B12" s="6" t="s">
        <v>389</v>
      </c>
      <c r="C12" s="6" t="s">
        <v>390</v>
      </c>
      <c r="D12" s="6" t="s">
        <v>391</v>
      </c>
      <c r="E12" s="6" t="s">
        <v>438</v>
      </c>
      <c r="F12" s="28" t="s">
        <v>392</v>
      </c>
      <c r="G12" s="16" t="s">
        <v>83</v>
      </c>
      <c r="H12" s="16" t="s">
        <v>394</v>
      </c>
      <c r="I12" s="17" t="s">
        <v>20</v>
      </c>
      <c r="J12" s="7"/>
      <c r="K12" s="7" t="str">
        <f>"37,5"</f>
        <v>37,5</v>
      </c>
      <c r="L12" s="7" t="str">
        <f>"31,2319"</f>
        <v>31,2319</v>
      </c>
      <c r="M12" s="28" t="s">
        <v>87</v>
      </c>
    </row>
    <row r="13" spans="1:13">
      <c r="B13" s="4" t="s">
        <v>24</v>
      </c>
    </row>
    <row r="14" spans="1:13" ht="16">
      <c r="A14" s="37" t="s">
        <v>65</v>
      </c>
      <c r="B14" s="37"/>
      <c r="C14" s="38"/>
      <c r="D14" s="38"/>
      <c r="E14" s="38"/>
      <c r="F14" s="38"/>
      <c r="G14" s="38"/>
      <c r="H14" s="38"/>
      <c r="I14" s="38"/>
      <c r="J14" s="38"/>
    </row>
    <row r="15" spans="1:13">
      <c r="A15" s="7" t="s">
        <v>12</v>
      </c>
      <c r="B15" s="6" t="s">
        <v>294</v>
      </c>
      <c r="C15" s="6" t="s">
        <v>393</v>
      </c>
      <c r="D15" s="6" t="s">
        <v>296</v>
      </c>
      <c r="E15" s="6" t="s">
        <v>438</v>
      </c>
      <c r="F15" s="28" t="s">
        <v>392</v>
      </c>
      <c r="G15" s="16" t="s">
        <v>395</v>
      </c>
      <c r="H15" s="17" t="s">
        <v>31</v>
      </c>
      <c r="I15" s="17" t="s">
        <v>31</v>
      </c>
      <c r="J15" s="7"/>
      <c r="K15" s="7" t="str">
        <f>"42,5"</f>
        <v>42,5</v>
      </c>
      <c r="L15" s="7" t="str">
        <f>"33,6090"</f>
        <v>33,6090</v>
      </c>
      <c r="M15" s="28" t="s">
        <v>87</v>
      </c>
    </row>
    <row r="16" spans="1:13">
      <c r="B16" s="4" t="s">
        <v>24</v>
      </c>
    </row>
    <row r="17" spans="1:13" ht="16">
      <c r="A17" s="37" t="s">
        <v>125</v>
      </c>
      <c r="B17" s="37"/>
      <c r="C17" s="38"/>
      <c r="D17" s="38"/>
      <c r="E17" s="38"/>
      <c r="F17" s="38"/>
      <c r="G17" s="38"/>
      <c r="H17" s="38"/>
      <c r="I17" s="38"/>
      <c r="J17" s="38"/>
    </row>
    <row r="18" spans="1:13">
      <c r="A18" s="9" t="s">
        <v>12</v>
      </c>
      <c r="B18" s="8" t="s">
        <v>424</v>
      </c>
      <c r="C18" s="8" t="s">
        <v>425</v>
      </c>
      <c r="D18" s="8" t="s">
        <v>426</v>
      </c>
      <c r="E18" s="8" t="s">
        <v>439</v>
      </c>
      <c r="F18" s="8" t="s">
        <v>16</v>
      </c>
      <c r="G18" s="19" t="s">
        <v>21</v>
      </c>
      <c r="H18" s="18" t="s">
        <v>41</v>
      </c>
      <c r="I18" s="19" t="s">
        <v>49</v>
      </c>
      <c r="J18" s="9"/>
      <c r="K18" s="9" t="str">
        <f>"55,0"</f>
        <v>55,0</v>
      </c>
      <c r="L18" s="9" t="str">
        <f>"39,3168"</f>
        <v>39,3168</v>
      </c>
      <c r="M18" s="29"/>
    </row>
    <row r="19" spans="1:13">
      <c r="A19" s="11" t="s">
        <v>53</v>
      </c>
      <c r="B19" s="10" t="s">
        <v>427</v>
      </c>
      <c r="C19" s="10" t="s">
        <v>428</v>
      </c>
      <c r="D19" s="10" t="s">
        <v>303</v>
      </c>
      <c r="E19" s="10" t="s">
        <v>439</v>
      </c>
      <c r="F19" s="10" t="s">
        <v>16</v>
      </c>
      <c r="G19" s="21" t="s">
        <v>20</v>
      </c>
      <c r="H19" s="21" t="s">
        <v>21</v>
      </c>
      <c r="I19" s="20" t="s">
        <v>32</v>
      </c>
      <c r="J19" s="11"/>
      <c r="K19" s="11" t="str">
        <f>"45,0"</f>
        <v>45,0</v>
      </c>
      <c r="L19" s="11" t="str">
        <f>"31,2953"</f>
        <v>31,2953</v>
      </c>
      <c r="M19" s="30" t="s">
        <v>334</v>
      </c>
    </row>
    <row r="20" spans="1:13">
      <c r="B20" s="4" t="s">
        <v>24</v>
      </c>
    </row>
    <row r="21" spans="1:13" ht="16">
      <c r="A21" s="37" t="s">
        <v>70</v>
      </c>
      <c r="B21" s="37"/>
      <c r="C21" s="38"/>
      <c r="D21" s="38"/>
      <c r="E21" s="38"/>
      <c r="F21" s="38"/>
      <c r="G21" s="38"/>
      <c r="H21" s="38"/>
      <c r="I21" s="38"/>
      <c r="J21" s="38"/>
    </row>
    <row r="22" spans="1:13">
      <c r="A22" s="7" t="s">
        <v>12</v>
      </c>
      <c r="B22" s="6" t="s">
        <v>429</v>
      </c>
      <c r="C22" s="6" t="s">
        <v>430</v>
      </c>
      <c r="D22" s="6" t="s">
        <v>431</v>
      </c>
      <c r="E22" s="6" t="s">
        <v>440</v>
      </c>
      <c r="F22" s="6" t="s">
        <v>16</v>
      </c>
      <c r="G22" s="16" t="s">
        <v>32</v>
      </c>
      <c r="H22" s="17" t="s">
        <v>275</v>
      </c>
      <c r="I22" s="16" t="s">
        <v>275</v>
      </c>
      <c r="J22" s="7"/>
      <c r="K22" s="7" t="str">
        <f>"57,5"</f>
        <v>57,5</v>
      </c>
      <c r="L22" s="7" t="str">
        <f>"37,1680"</f>
        <v>37,1680</v>
      </c>
      <c r="M22" s="28"/>
    </row>
    <row r="23" spans="1:13">
      <c r="B23" s="4" t="s">
        <v>24</v>
      </c>
    </row>
    <row r="24" spans="1:13" ht="16">
      <c r="A24" s="37" t="s">
        <v>138</v>
      </c>
      <c r="B24" s="37"/>
      <c r="C24" s="38"/>
      <c r="D24" s="38"/>
      <c r="E24" s="38"/>
      <c r="F24" s="38"/>
      <c r="G24" s="38"/>
      <c r="H24" s="38"/>
      <c r="I24" s="38"/>
      <c r="J24" s="38"/>
    </row>
    <row r="25" spans="1:13">
      <c r="A25" s="9" t="s">
        <v>12</v>
      </c>
      <c r="B25" s="8" t="s">
        <v>319</v>
      </c>
      <c r="C25" s="8" t="s">
        <v>432</v>
      </c>
      <c r="D25" s="8" t="s">
        <v>321</v>
      </c>
      <c r="E25" s="8" t="s">
        <v>438</v>
      </c>
      <c r="F25" s="29" t="s">
        <v>322</v>
      </c>
      <c r="G25" s="18" t="s">
        <v>21</v>
      </c>
      <c r="H25" s="18" t="s">
        <v>275</v>
      </c>
      <c r="I25" s="18" t="s">
        <v>49</v>
      </c>
      <c r="J25" s="9"/>
      <c r="K25" s="9" t="str">
        <f>"60,0"</f>
        <v>60,0</v>
      </c>
      <c r="L25" s="9" t="str">
        <f>"37,2300"</f>
        <v>37,2300</v>
      </c>
      <c r="M25" s="29" t="s">
        <v>323</v>
      </c>
    </row>
    <row r="26" spans="1:13">
      <c r="A26" s="11" t="s">
        <v>12</v>
      </c>
      <c r="B26" s="10" t="s">
        <v>233</v>
      </c>
      <c r="C26" s="10" t="s">
        <v>396</v>
      </c>
      <c r="D26" s="10" t="s">
        <v>235</v>
      </c>
      <c r="E26" s="10" t="s">
        <v>441</v>
      </c>
      <c r="F26" s="30" t="s">
        <v>392</v>
      </c>
      <c r="G26" s="21" t="s">
        <v>20</v>
      </c>
      <c r="H26" s="21" t="s">
        <v>21</v>
      </c>
      <c r="I26" s="21" t="s">
        <v>32</v>
      </c>
      <c r="J26" s="11"/>
      <c r="K26" s="11" t="str">
        <f>"50,0"</f>
        <v>50,0</v>
      </c>
      <c r="L26" s="11" t="str">
        <f>"47,9680"</f>
        <v>47,9680</v>
      </c>
      <c r="M26" s="30" t="s">
        <v>236</v>
      </c>
    </row>
    <row r="27" spans="1:13">
      <c r="B27" s="4" t="s">
        <v>24</v>
      </c>
    </row>
    <row r="28" spans="1:13" ht="16">
      <c r="A28" s="37" t="s">
        <v>162</v>
      </c>
      <c r="B28" s="37"/>
      <c r="C28" s="38"/>
      <c r="D28" s="38"/>
      <c r="E28" s="38"/>
      <c r="F28" s="38"/>
      <c r="G28" s="38"/>
      <c r="H28" s="38"/>
      <c r="I28" s="38"/>
      <c r="J28" s="38"/>
    </row>
    <row r="29" spans="1:13">
      <c r="A29" s="7" t="s">
        <v>12</v>
      </c>
      <c r="B29" s="6" t="s">
        <v>339</v>
      </c>
      <c r="C29" s="6" t="s">
        <v>340</v>
      </c>
      <c r="D29" s="6" t="s">
        <v>341</v>
      </c>
      <c r="E29" s="6" t="s">
        <v>439</v>
      </c>
      <c r="F29" s="28" t="s">
        <v>16</v>
      </c>
      <c r="G29" s="16" t="s">
        <v>17</v>
      </c>
      <c r="H29" s="16" t="s">
        <v>18</v>
      </c>
      <c r="I29" s="16" t="s">
        <v>22</v>
      </c>
      <c r="J29" s="7"/>
      <c r="K29" s="7" t="str">
        <f>"80,0"</f>
        <v>80,0</v>
      </c>
      <c r="L29" s="7" t="str">
        <f>"47,1280"</f>
        <v>47,1280</v>
      </c>
      <c r="M29" s="6"/>
    </row>
    <row r="30" spans="1:13">
      <c r="B30" s="4" t="s">
        <v>24</v>
      </c>
    </row>
    <row r="31" spans="1:13">
      <c r="B31" s="4" t="s">
        <v>24</v>
      </c>
      <c r="C31" s="5"/>
      <c r="D31" s="5"/>
      <c r="E31" s="5"/>
      <c r="F31" s="5"/>
      <c r="H31" s="4"/>
      <c r="I31" s="3"/>
      <c r="J31" s="3"/>
      <c r="K31" s="3"/>
      <c r="L31" s="3"/>
      <c r="M31" s="3"/>
    </row>
    <row r="32" spans="1:13">
      <c r="B32" s="4" t="s">
        <v>24</v>
      </c>
      <c r="C32" s="5"/>
      <c r="D32" s="5"/>
      <c r="E32" s="5"/>
      <c r="F32" s="5"/>
      <c r="H32" s="4"/>
      <c r="I32" s="3"/>
      <c r="J32" s="3"/>
      <c r="K32" s="3"/>
      <c r="L32" s="3"/>
      <c r="M32" s="3"/>
    </row>
    <row r="33" spans="2:13">
      <c r="B33" s="4" t="s">
        <v>24</v>
      </c>
      <c r="C33" s="5"/>
      <c r="D33" s="5"/>
      <c r="E33" s="5"/>
      <c r="F33" s="5"/>
      <c r="H33" s="4"/>
      <c r="I33" s="3"/>
      <c r="J33" s="3"/>
      <c r="K33" s="3"/>
      <c r="L33" s="3"/>
      <c r="M33" s="3"/>
    </row>
    <row r="34" spans="2:13">
      <c r="B34" s="4" t="s">
        <v>24</v>
      </c>
      <c r="C34" s="5"/>
      <c r="D34" s="5"/>
      <c r="E34" s="5"/>
      <c r="F34" s="5"/>
      <c r="H34" s="4"/>
      <c r="I34" s="3"/>
      <c r="J34" s="3"/>
      <c r="K34" s="3"/>
      <c r="L34" s="3"/>
      <c r="M34" s="3"/>
    </row>
    <row r="35" spans="2:13">
      <c r="B35" s="4" t="s">
        <v>24</v>
      </c>
      <c r="C35" s="5"/>
      <c r="D35" s="5"/>
      <c r="E35" s="5"/>
      <c r="F35" s="5"/>
      <c r="H35" s="4"/>
      <c r="I35" s="3"/>
      <c r="J35" s="3"/>
      <c r="K35" s="3"/>
      <c r="L35" s="3"/>
      <c r="M35" s="3"/>
    </row>
    <row r="36" spans="2:13">
      <c r="B36" s="4" t="s">
        <v>24</v>
      </c>
      <c r="C36" s="5"/>
      <c r="D36" s="5"/>
      <c r="E36" s="5"/>
      <c r="F36" s="5"/>
      <c r="H36" s="4"/>
      <c r="I36" s="3"/>
      <c r="J36" s="3"/>
      <c r="K36" s="3"/>
      <c r="L36" s="3"/>
      <c r="M36" s="3"/>
    </row>
    <row r="37" spans="2:13">
      <c r="B37" s="4" t="s">
        <v>24</v>
      </c>
      <c r="C37" s="5"/>
      <c r="D37" s="5"/>
      <c r="E37" s="5"/>
      <c r="F37" s="5"/>
      <c r="H37" s="4"/>
      <c r="I37" s="3"/>
      <c r="J37" s="3"/>
      <c r="K37" s="3"/>
      <c r="L37" s="3"/>
      <c r="M37" s="3"/>
    </row>
    <row r="38" spans="2:13">
      <c r="B38" s="4" t="s">
        <v>24</v>
      </c>
      <c r="C38" s="5"/>
      <c r="D38" s="5"/>
      <c r="E38" s="5"/>
      <c r="F38" s="5"/>
      <c r="H38" s="4"/>
      <c r="I38" s="3"/>
      <c r="J38" s="3"/>
      <c r="K38" s="3"/>
      <c r="L38" s="3"/>
      <c r="M38" s="3"/>
    </row>
    <row r="39" spans="2:13">
      <c r="B39" s="4" t="s">
        <v>24</v>
      </c>
      <c r="C39" s="5"/>
      <c r="D39" s="5"/>
      <c r="E39" s="5"/>
      <c r="F39" s="5"/>
      <c r="H39" s="4"/>
      <c r="I39" s="3"/>
      <c r="J39" s="3"/>
      <c r="K39" s="3"/>
      <c r="L39" s="3"/>
      <c r="M39" s="3"/>
    </row>
    <row r="40" spans="2:13">
      <c r="B40" s="4" t="s">
        <v>24</v>
      </c>
      <c r="C40" s="5"/>
      <c r="D40" s="5"/>
      <c r="E40" s="5"/>
      <c r="F40" s="5"/>
      <c r="H40" s="4"/>
      <c r="I40" s="3"/>
      <c r="J40" s="3"/>
      <c r="K40" s="3"/>
      <c r="L40" s="3"/>
      <c r="M40" s="3"/>
    </row>
    <row r="41" spans="2:13">
      <c r="B41" s="4" t="s">
        <v>24</v>
      </c>
      <c r="C41" s="5"/>
      <c r="D41" s="5"/>
      <c r="E41" s="5"/>
      <c r="F41" s="5"/>
      <c r="H41" s="4"/>
      <c r="I41" s="3"/>
      <c r="J41" s="3"/>
      <c r="K41" s="3"/>
      <c r="L41" s="3"/>
      <c r="M41" s="3"/>
    </row>
    <row r="42" spans="2:13">
      <c r="B42" s="4" t="s">
        <v>24</v>
      </c>
      <c r="C42" s="5"/>
      <c r="D42" s="5"/>
      <c r="E42" s="5"/>
      <c r="F42" s="5"/>
      <c r="H42" s="4"/>
      <c r="I42" s="3"/>
      <c r="J42" s="3"/>
      <c r="K42" s="3"/>
      <c r="L42" s="3"/>
      <c r="M42" s="3"/>
    </row>
    <row r="43" spans="2:13">
      <c r="B43" s="4" t="s">
        <v>24</v>
      </c>
      <c r="C43" s="5"/>
      <c r="D43" s="5"/>
      <c r="E43" s="5"/>
      <c r="F43" s="5"/>
      <c r="H43" s="4"/>
      <c r="I43" s="3"/>
      <c r="J43" s="3"/>
      <c r="K43" s="3"/>
      <c r="L43" s="3"/>
      <c r="M43" s="3"/>
    </row>
    <row r="44" spans="2:13">
      <c r="B44" s="4" t="s">
        <v>24</v>
      </c>
      <c r="C44" s="5"/>
      <c r="D44" s="5"/>
      <c r="E44" s="5"/>
      <c r="F44" s="5"/>
      <c r="H44" s="4"/>
      <c r="I44" s="3"/>
      <c r="J44" s="3"/>
      <c r="K44" s="3"/>
      <c r="L44" s="3"/>
      <c r="M44" s="3"/>
    </row>
    <row r="45" spans="2:13">
      <c r="B45" s="4" t="s">
        <v>24</v>
      </c>
      <c r="C45" s="5"/>
      <c r="D45" s="5"/>
      <c r="E45" s="5"/>
      <c r="F45" s="5"/>
      <c r="H45" s="4"/>
      <c r="I45" s="3"/>
      <c r="J45" s="3"/>
      <c r="K45" s="3"/>
      <c r="L45" s="3"/>
      <c r="M45" s="3"/>
    </row>
    <row r="46" spans="2:13">
      <c r="B46" s="4" t="s">
        <v>24</v>
      </c>
      <c r="C46" s="5"/>
      <c r="D46" s="5"/>
      <c r="E46" s="5"/>
      <c r="F46" s="5"/>
      <c r="H46" s="4"/>
      <c r="I46" s="3"/>
      <c r="J46" s="3"/>
      <c r="K46" s="3"/>
      <c r="L46" s="3"/>
      <c r="M46" s="3"/>
    </row>
    <row r="47" spans="2:13">
      <c r="B47" s="4" t="s">
        <v>24</v>
      </c>
      <c r="C47" s="5"/>
      <c r="D47" s="5"/>
      <c r="E47" s="5"/>
      <c r="F47" s="5"/>
      <c r="H47" s="4"/>
      <c r="I47" s="3"/>
      <c r="J47" s="3"/>
      <c r="K47" s="3"/>
      <c r="L47" s="3"/>
      <c r="M47" s="3"/>
    </row>
    <row r="48" spans="2:13">
      <c r="B48" s="4" t="s">
        <v>24</v>
      </c>
      <c r="C48" s="5"/>
      <c r="D48" s="5"/>
      <c r="E48" s="5"/>
      <c r="F48" s="5"/>
      <c r="H48" s="4"/>
      <c r="I48" s="3"/>
      <c r="J48" s="3"/>
      <c r="K48" s="3"/>
      <c r="L48" s="3"/>
      <c r="M48" s="3"/>
    </row>
    <row r="49" spans="2:13">
      <c r="B49" s="4" t="s">
        <v>24</v>
      </c>
      <c r="C49" s="5"/>
      <c r="D49" s="5"/>
      <c r="E49" s="5"/>
      <c r="F49" s="5"/>
      <c r="H49" s="4"/>
      <c r="I49" s="3"/>
      <c r="J49" s="3"/>
      <c r="K49" s="3"/>
      <c r="L49" s="3"/>
      <c r="M49" s="3"/>
    </row>
    <row r="50" spans="2:13">
      <c r="B50" s="4" t="s">
        <v>24</v>
      </c>
      <c r="C50" s="5"/>
      <c r="D50" s="5"/>
      <c r="E50" s="5"/>
      <c r="F50" s="5"/>
      <c r="H50" s="4"/>
      <c r="I50" s="3"/>
      <c r="J50" s="3"/>
      <c r="K50" s="3"/>
      <c r="L50" s="3"/>
      <c r="M50" s="3"/>
    </row>
    <row r="51" spans="2:13">
      <c r="B51" s="4" t="s">
        <v>24</v>
      </c>
      <c r="C51" s="5"/>
      <c r="D51" s="5"/>
      <c r="E51" s="5"/>
      <c r="F51" s="5"/>
      <c r="H51" s="4"/>
      <c r="I51" s="3"/>
      <c r="J51" s="3"/>
      <c r="K51" s="3"/>
      <c r="L51" s="3"/>
      <c r="M51" s="3"/>
    </row>
    <row r="52" spans="2:13">
      <c r="B52" s="4" t="s">
        <v>24</v>
      </c>
      <c r="C52" s="5"/>
      <c r="D52" s="5"/>
      <c r="E52" s="5"/>
      <c r="F52" s="5"/>
      <c r="H52" s="4"/>
      <c r="I52" s="3"/>
      <c r="J52" s="3"/>
      <c r="K52" s="3"/>
      <c r="L52" s="3"/>
      <c r="M52" s="3"/>
    </row>
    <row r="53" spans="2:13">
      <c r="B53" s="4" t="s">
        <v>24</v>
      </c>
      <c r="C53" s="5"/>
      <c r="D53" s="5"/>
      <c r="E53" s="5"/>
      <c r="F53" s="5"/>
      <c r="H53" s="4"/>
      <c r="I53" s="3"/>
      <c r="J53" s="3"/>
      <c r="K53" s="3"/>
      <c r="L53" s="3"/>
      <c r="M53" s="3"/>
    </row>
    <row r="54" spans="2:13">
      <c r="B54" s="4" t="s">
        <v>24</v>
      </c>
      <c r="C54" s="5"/>
      <c r="D54" s="5"/>
      <c r="E54" s="5"/>
      <c r="F54" s="5"/>
      <c r="H54" s="4"/>
      <c r="I54" s="3"/>
      <c r="J54" s="3"/>
      <c r="K54" s="3"/>
      <c r="L54" s="3"/>
      <c r="M54" s="3"/>
    </row>
    <row r="55" spans="2:13">
      <c r="B55" s="4" t="s">
        <v>24</v>
      </c>
      <c r="C55" s="5"/>
      <c r="D55" s="5"/>
      <c r="E55" s="5"/>
      <c r="F55" s="5"/>
      <c r="H55" s="4"/>
      <c r="I55" s="3"/>
      <c r="J55" s="3"/>
      <c r="K55" s="3"/>
      <c r="L55" s="3"/>
      <c r="M55" s="3"/>
    </row>
    <row r="56" spans="2:13">
      <c r="B56" s="4" t="s">
        <v>24</v>
      </c>
      <c r="C56" s="5"/>
      <c r="D56" s="5"/>
      <c r="E56" s="5"/>
      <c r="F56" s="5"/>
      <c r="H56" s="4"/>
      <c r="I56" s="3"/>
      <c r="J56" s="3"/>
      <c r="K56" s="3"/>
      <c r="L56" s="3"/>
      <c r="M56" s="3"/>
    </row>
    <row r="57" spans="2:13">
      <c r="B57" s="4" t="s">
        <v>24</v>
      </c>
      <c r="C57" s="5"/>
      <c r="D57" s="5"/>
      <c r="E57" s="5"/>
      <c r="F57" s="5"/>
      <c r="H57" s="4"/>
      <c r="I57" s="3"/>
      <c r="J57" s="3"/>
      <c r="K57" s="3"/>
      <c r="L57" s="3"/>
      <c r="M57" s="3"/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28:J28"/>
    <mergeCell ref="B3:B4"/>
    <mergeCell ref="A8:J8"/>
    <mergeCell ref="A11:J11"/>
    <mergeCell ref="A14:J14"/>
    <mergeCell ref="A17:J17"/>
    <mergeCell ref="A21:J21"/>
    <mergeCell ref="A24:J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WRPF ПЛ без экипировки</vt:lpstr>
      <vt:lpstr>WRPF ПЛ в бинтах</vt:lpstr>
      <vt:lpstr>WRPF Двоеборье без экип</vt:lpstr>
      <vt:lpstr>WRPF Жим лежа без экип</vt:lpstr>
      <vt:lpstr>WRPF Тяга без экипировки</vt:lpstr>
      <vt:lpstr>СПР Подъем на бицепс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Tomchin</dc:creator>
  <cp:keywords/>
  <dc:description/>
  <cp:lastModifiedBy>Екатерина Шевелева</cp:lastModifiedBy>
  <cp:revision/>
  <dcterms:created xsi:type="dcterms:W3CDTF">2002-06-16T13:36:44Z</dcterms:created>
  <dcterms:modified xsi:type="dcterms:W3CDTF">2021-04-25T16:52:49Z</dcterms:modified>
  <cp:category/>
  <cp:contentStatus/>
</cp:coreProperties>
</file>