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3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/Users/ekaterinaseveleva/Documents/СПР/Протоколы/2020/Август/"/>
    </mc:Choice>
  </mc:AlternateContent>
  <xr:revisionPtr revIDLastSave="0" documentId="13_ncr:1_{A8D2FFB5-FDC7-014B-96D8-A43A9031FDDF}" xr6:coauthVersionLast="45" xr6:coauthVersionMax="45" xr10:uidLastSave="{00000000-0000-0000-0000-000000000000}"/>
  <bookViews>
    <workbookView xWindow="0" yWindow="460" windowWidth="28800" windowHeight="16300" tabRatio="942" activeTab="16" xr2:uid="{00000000-000D-0000-FFFF-FFFF00000000}"/>
  </bookViews>
  <sheets>
    <sheet name="GPA ПЛ без экипировки ДК" sheetId="6" r:id="rId1"/>
    <sheet name="GPA ПЛ без экипировки" sheetId="5" r:id="rId2"/>
    <sheet name="GPA ПЛ в бинтах ДК" sheetId="8" r:id="rId3"/>
    <sheet name="GPA ПЛ в бинтах" sheetId="7" r:id="rId4"/>
    <sheet name="GPA Жим без экипировки ДК" sheetId="10" r:id="rId5"/>
    <sheet name="GPA Жим без экипировки" sheetId="9" r:id="rId6"/>
    <sheet name="СПР Жим софт однопетельная ДК" sheetId="25" r:id="rId7"/>
    <sheet name="СПР Жим софт однопетельная" sheetId="24" r:id="rId8"/>
    <sheet name="СПР Жим софт многопетельная ДК" sheetId="27" r:id="rId9"/>
    <sheet name="СПР Жим софт многопетельная" sheetId="26" r:id="rId10"/>
    <sheet name="СПР Жим СФО" sheetId="28" r:id="rId11"/>
    <sheet name="GPA Тяга без экипировки ДК" sheetId="12" r:id="rId12"/>
    <sheet name="GPA Тяга без экипировки" sheetId="11" r:id="rId13"/>
    <sheet name="СПР Подъем на бицепс ДК" sheetId="21" r:id="rId14"/>
    <sheet name="СПР Подъем на бицепс" sheetId="20" r:id="rId15"/>
    <sheet name="ФЖД Любители жим на макс." sheetId="32" r:id="rId16"/>
    <sheet name="ФЖД Военный жим на макс." sheetId="33" r:id="rId17"/>
  </sheets>
  <definedNames>
    <definedName name="_FilterDatabase" localSheetId="1" hidden="1">'GPA ПЛ без экипировки'!$A$1:$S$3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6" i="33" l="1"/>
  <c r="K6" i="33"/>
  <c r="E6" i="33"/>
  <c r="L6" i="32"/>
  <c r="K6" i="32"/>
  <c r="E6" i="32"/>
  <c r="L6" i="28"/>
  <c r="K6" i="28"/>
  <c r="E6" i="28"/>
  <c r="L6" i="27"/>
  <c r="K6" i="27"/>
  <c r="E6" i="27"/>
  <c r="L7" i="26"/>
  <c r="K7" i="26"/>
  <c r="E7" i="26"/>
  <c r="L6" i="26"/>
  <c r="K6" i="26"/>
  <c r="E6" i="26"/>
  <c r="L6" i="25"/>
  <c r="E6" i="25"/>
  <c r="L6" i="24"/>
  <c r="K6" i="24"/>
  <c r="E6" i="24"/>
  <c r="L14" i="21"/>
  <c r="K14" i="21"/>
  <c r="E14" i="21"/>
  <c r="L13" i="21"/>
  <c r="K13" i="21"/>
  <c r="E13" i="21"/>
  <c r="L10" i="21"/>
  <c r="K10" i="21"/>
  <c r="E10" i="21"/>
  <c r="L7" i="21"/>
  <c r="K7" i="21"/>
  <c r="E7" i="21"/>
  <c r="L6" i="21"/>
  <c r="K6" i="21"/>
  <c r="E6" i="21"/>
  <c r="L6" i="20"/>
  <c r="K6" i="20"/>
  <c r="E6" i="20"/>
  <c r="L10" i="12"/>
  <c r="K10" i="12"/>
  <c r="E10" i="12"/>
  <c r="L7" i="12"/>
  <c r="K7" i="12"/>
  <c r="E7" i="12"/>
  <c r="L6" i="12"/>
  <c r="K6" i="12"/>
  <c r="E6" i="12"/>
  <c r="L8" i="11"/>
  <c r="K8" i="11"/>
  <c r="E8" i="11"/>
  <c r="L7" i="11"/>
  <c r="K7" i="11"/>
  <c r="E7" i="11"/>
  <c r="L6" i="11"/>
  <c r="K6" i="11"/>
  <c r="E6" i="11"/>
  <c r="L37" i="10"/>
  <c r="K37" i="10"/>
  <c r="E37" i="10"/>
  <c r="L34" i="10"/>
  <c r="K34" i="10"/>
  <c r="E34" i="10"/>
  <c r="L31" i="10"/>
  <c r="K31" i="10"/>
  <c r="E31" i="10"/>
  <c r="L28" i="10"/>
  <c r="K28" i="10"/>
  <c r="E28" i="10"/>
  <c r="L27" i="10"/>
  <c r="K27" i="10"/>
  <c r="E27" i="10"/>
  <c r="L24" i="10"/>
  <c r="E24" i="10"/>
  <c r="L21" i="10"/>
  <c r="K21" i="10"/>
  <c r="E21" i="10"/>
  <c r="L20" i="10"/>
  <c r="K20" i="10"/>
  <c r="E20" i="10"/>
  <c r="L17" i="10"/>
  <c r="K17" i="10"/>
  <c r="E17" i="10"/>
  <c r="L14" i="10"/>
  <c r="K14" i="10"/>
  <c r="E14" i="10"/>
  <c r="L11" i="10"/>
  <c r="K11" i="10"/>
  <c r="E11" i="10"/>
  <c r="L10" i="10"/>
  <c r="K10" i="10"/>
  <c r="E10" i="10"/>
  <c r="L7" i="10"/>
  <c r="K7" i="10"/>
  <c r="E7" i="10"/>
  <c r="L6" i="10"/>
  <c r="K6" i="10"/>
  <c r="E6" i="10"/>
  <c r="L12" i="9"/>
  <c r="K12" i="9"/>
  <c r="E12" i="9"/>
  <c r="L9" i="9"/>
  <c r="K9" i="9"/>
  <c r="E9" i="9"/>
  <c r="L6" i="9"/>
  <c r="K6" i="9"/>
  <c r="E6" i="9"/>
  <c r="T6" i="8"/>
  <c r="S6" i="8"/>
  <c r="E6" i="8"/>
  <c r="T6" i="7"/>
  <c r="S6" i="7"/>
  <c r="E6" i="7"/>
  <c r="T23" i="6"/>
  <c r="S23" i="6"/>
  <c r="E23" i="6"/>
  <c r="T20" i="6"/>
  <c r="S20" i="6"/>
  <c r="E20" i="6"/>
  <c r="T17" i="6"/>
  <c r="S17" i="6"/>
  <c r="E17" i="6"/>
  <c r="T16" i="6"/>
  <c r="S16" i="6"/>
  <c r="E16" i="6"/>
  <c r="T13" i="6"/>
  <c r="S13" i="6"/>
  <c r="E13" i="6"/>
  <c r="T12" i="6"/>
  <c r="S12" i="6"/>
  <c r="E12" i="6"/>
  <c r="T9" i="6"/>
  <c r="S9" i="6"/>
  <c r="E9" i="6"/>
  <c r="T6" i="6"/>
  <c r="S6" i="6"/>
  <c r="E6" i="6"/>
  <c r="T11" i="5"/>
  <c r="S11" i="5"/>
  <c r="E11" i="5"/>
  <c r="T10" i="5"/>
  <c r="S10" i="5"/>
  <c r="E10" i="5"/>
  <c r="T9" i="5"/>
  <c r="S9" i="5"/>
  <c r="E9" i="5"/>
  <c r="T6" i="5"/>
  <c r="S6" i="5"/>
  <c r="E6" i="5"/>
</calcChain>
</file>

<file path=xl/sharedStrings.xml><?xml version="1.0" encoding="utf-8"?>
<sst xmlns="http://schemas.openxmlformats.org/spreadsheetml/2006/main" count="864" uniqueCount="276">
  <si>
    <t>ФИО</t>
  </si>
  <si>
    <t>Сумма</t>
  </si>
  <si>
    <t>Тренер</t>
  </si>
  <si>
    <t>Очки</t>
  </si>
  <si>
    <t>Рек</t>
  </si>
  <si>
    <t>Возрастная группа
Дата рождения/Возраст</t>
  </si>
  <si>
    <t>Город/Область</t>
  </si>
  <si>
    <t>Собственный 
вес</t>
  </si>
  <si>
    <t>Gloss</t>
  </si>
  <si>
    <t>Приседание</t>
  </si>
  <si>
    <t>Жим лёжа</t>
  </si>
  <si>
    <t>Становая тяга</t>
  </si>
  <si>
    <t>ВЕСОВАЯ КАТЕГОРИЯ   56</t>
  </si>
  <si>
    <t>Карпулина Наталия</t>
  </si>
  <si>
    <t>Открытая (22.07.1979)/41</t>
  </si>
  <si>
    <t>55,00</t>
  </si>
  <si>
    <t xml:space="preserve">Вологда/Вологодская область </t>
  </si>
  <si>
    <t>82,5</t>
  </si>
  <si>
    <t>87,5</t>
  </si>
  <si>
    <t>92,5</t>
  </si>
  <si>
    <t>42,5</t>
  </si>
  <si>
    <t>47,5</t>
  </si>
  <si>
    <t>100,0</t>
  </si>
  <si>
    <t>107,5</t>
  </si>
  <si>
    <t>112,5</t>
  </si>
  <si>
    <t>ВЕСОВАЯ КАТЕГОРИЯ   100</t>
  </si>
  <si>
    <t>Моисеев Сергей</t>
  </si>
  <si>
    <t>Открытая (24.08.1977)/42</t>
  </si>
  <si>
    <t>96,60</t>
  </si>
  <si>
    <t xml:space="preserve">Великий Устюг/Вологодская область </t>
  </si>
  <si>
    <t>200,0</t>
  </si>
  <si>
    <t>210,0</t>
  </si>
  <si>
    <t>217,5</t>
  </si>
  <si>
    <t>142,5</t>
  </si>
  <si>
    <t>150,0</t>
  </si>
  <si>
    <t>152,5</t>
  </si>
  <si>
    <t>250,0</t>
  </si>
  <si>
    <t>265,0</t>
  </si>
  <si>
    <t xml:space="preserve">Рассохин А. </t>
  </si>
  <si>
    <t>Мастера 40-49 (24.08.1977)/42</t>
  </si>
  <si>
    <t>Васильев Алексей</t>
  </si>
  <si>
    <t>Мастера 40-49 (04.10.1975)/44</t>
  </si>
  <si>
    <t>92,70</t>
  </si>
  <si>
    <t>170,0</t>
  </si>
  <si>
    <t>125,0</t>
  </si>
  <si>
    <t>130,0</t>
  </si>
  <si>
    <t>135,0</t>
  </si>
  <si>
    <t>190,0</t>
  </si>
  <si>
    <t>215,0</t>
  </si>
  <si>
    <t xml:space="preserve">Абсолютный зачёт </t>
  </si>
  <si>
    <t xml:space="preserve">Открытая </t>
  </si>
  <si>
    <t xml:space="preserve">ФИО </t>
  </si>
  <si>
    <t xml:space="preserve">Возрастная группа </t>
  </si>
  <si>
    <t xml:space="preserve">Gloss </t>
  </si>
  <si>
    <t xml:space="preserve">Мужчины </t>
  </si>
  <si>
    <t>1</t>
  </si>
  <si>
    <t/>
  </si>
  <si>
    <t>2</t>
  </si>
  <si>
    <t>Место</t>
  </si>
  <si>
    <t>ВЕСОВАЯ КАТЕГОРИЯ   60</t>
  </si>
  <si>
    <t>Салмыгина Наталия</t>
  </si>
  <si>
    <t>Мастера 40-49 (03.02.1975)/45</t>
  </si>
  <si>
    <t>57,90</t>
  </si>
  <si>
    <t>55,0</t>
  </si>
  <si>
    <t>65,0</t>
  </si>
  <si>
    <t>35,0</t>
  </si>
  <si>
    <t>40,0</t>
  </si>
  <si>
    <t>70,0</t>
  </si>
  <si>
    <t>80,0</t>
  </si>
  <si>
    <t>90,0</t>
  </si>
  <si>
    <t xml:space="preserve">Якушевич А. </t>
  </si>
  <si>
    <t>ВЕСОВАЯ КАТЕГОРИЯ   67.5</t>
  </si>
  <si>
    <t>Кузьмина Станислава</t>
  </si>
  <si>
    <t>61,00</t>
  </si>
  <si>
    <t xml:space="preserve">Череповец/Вологодская область </t>
  </si>
  <si>
    <t>32,5</t>
  </si>
  <si>
    <t>37,5</t>
  </si>
  <si>
    <t>72,5</t>
  </si>
  <si>
    <t>77,5</t>
  </si>
  <si>
    <t>Малышев Алексей</t>
  </si>
  <si>
    <t>55,70</t>
  </si>
  <si>
    <t xml:space="preserve">Тотьма/Вологодская область </t>
  </si>
  <si>
    <t>120,0</t>
  </si>
  <si>
    <t>140,0</t>
  </si>
  <si>
    <t>182,5</t>
  </si>
  <si>
    <t>Открытая (30.06.2004)/16</t>
  </si>
  <si>
    <t>ВЕСОВАЯ КАТЕГОРИЯ   82.5</t>
  </si>
  <si>
    <t>Павлов Алексей</t>
  </si>
  <si>
    <t>Открытая (18.01.1978)/42</t>
  </si>
  <si>
    <t>76,40</t>
  </si>
  <si>
    <t>145,0</t>
  </si>
  <si>
    <t>155,0</t>
  </si>
  <si>
    <t>160,0</t>
  </si>
  <si>
    <t xml:space="preserve">Громов А. </t>
  </si>
  <si>
    <t>Мастера 40-49 (18.01.1978)/42</t>
  </si>
  <si>
    <t>ВЕСОВАЯ КАТЕГОРИЯ   90</t>
  </si>
  <si>
    <t>Голубков Сергей</t>
  </si>
  <si>
    <t>Открытая (14.12.1990)/29</t>
  </si>
  <si>
    <t>89,50</t>
  </si>
  <si>
    <t>185,0</t>
  </si>
  <si>
    <t>195,0</t>
  </si>
  <si>
    <t>197,5</t>
  </si>
  <si>
    <t>220,0</t>
  </si>
  <si>
    <t>230,0</t>
  </si>
  <si>
    <t>ВЕСОВАЯ КАТЕГОРИЯ   125</t>
  </si>
  <si>
    <t>Кобяков Дмитрий</t>
  </si>
  <si>
    <t>117,60</t>
  </si>
  <si>
    <t>85,0</t>
  </si>
  <si>
    <t>95,0</t>
  </si>
  <si>
    <t>67.5</t>
  </si>
  <si>
    <t>125</t>
  </si>
  <si>
    <t>ВЕСОВАЯ КАТЕГОРИЯ   140+</t>
  </si>
  <si>
    <t>Филиппов Антон</t>
  </si>
  <si>
    <t>Открытая (12.08.1986)/34</t>
  </si>
  <si>
    <t>144,90</t>
  </si>
  <si>
    <t>280,0</t>
  </si>
  <si>
    <t>290,0</t>
  </si>
  <si>
    <t>300,0</t>
  </si>
  <si>
    <t>180,0</t>
  </si>
  <si>
    <t>320,0</t>
  </si>
  <si>
    <t>330,0</t>
  </si>
  <si>
    <t xml:space="preserve">Самостоятельно </t>
  </si>
  <si>
    <t>ВЕСОВАЯ КАТЕГОРИЯ   110</t>
  </si>
  <si>
    <t>Пеунков Михаил</t>
  </si>
  <si>
    <t>Открытая (08.03.1987)/33</t>
  </si>
  <si>
    <t>107,60</t>
  </si>
  <si>
    <t>240,0</t>
  </si>
  <si>
    <t>110</t>
  </si>
  <si>
    <t>-</t>
  </si>
  <si>
    <t>Осипов Владимир</t>
  </si>
  <si>
    <t>Открытая (27.10.1985)/34</t>
  </si>
  <si>
    <t>67,50</t>
  </si>
  <si>
    <t xml:space="preserve">Няндома/Архангельская область </t>
  </si>
  <si>
    <t>162,5</t>
  </si>
  <si>
    <t>Еремин Юрий</t>
  </si>
  <si>
    <t>Открытая (23.11.1983)/36</t>
  </si>
  <si>
    <t>81,80</t>
  </si>
  <si>
    <t>Григорьев Константин</t>
  </si>
  <si>
    <t>Открытая (24.09.1987)/32</t>
  </si>
  <si>
    <t>93,40</t>
  </si>
  <si>
    <t xml:space="preserve">Ярославль/Ярославская область </t>
  </si>
  <si>
    <t>165,0</t>
  </si>
  <si>
    <t xml:space="preserve">Результат </t>
  </si>
  <si>
    <t>Результат</t>
  </si>
  <si>
    <t>ВЕСОВАЯ КАТЕГОРИЯ   52</t>
  </si>
  <si>
    <t>Доронина Анна</t>
  </si>
  <si>
    <t>Открытая (26.06.1979)/41</t>
  </si>
  <si>
    <t>52,00</t>
  </si>
  <si>
    <t xml:space="preserve">Кострома/Костромская область </t>
  </si>
  <si>
    <t>50,0</t>
  </si>
  <si>
    <t>Мастера 40-49 (26.06.1979)/41</t>
  </si>
  <si>
    <t>Гребенщиков Михаил</t>
  </si>
  <si>
    <t>Открытая (08.12.1987)/32</t>
  </si>
  <si>
    <t>65,50</t>
  </si>
  <si>
    <t xml:space="preserve">Тарногский городок/Вологодская область </t>
  </si>
  <si>
    <t>161,0</t>
  </si>
  <si>
    <t>ВЕСОВАЯ КАТЕГОРИЯ   75</t>
  </si>
  <si>
    <t>Заводской Кирилл</t>
  </si>
  <si>
    <t>Открытая (23.08.1992)/27</t>
  </si>
  <si>
    <t>74,80</t>
  </si>
  <si>
    <t>Воронец Георгий</t>
  </si>
  <si>
    <t>81,10</t>
  </si>
  <si>
    <t>105,0</t>
  </si>
  <si>
    <t>115,0</t>
  </si>
  <si>
    <t>Торопов Артём</t>
  </si>
  <si>
    <t>Открытая (05.10.1992)/27</t>
  </si>
  <si>
    <t>79,80</t>
  </si>
  <si>
    <t xml:space="preserve">Тихвин/Ленинградская область </t>
  </si>
  <si>
    <t>Мельников Сергей</t>
  </si>
  <si>
    <t>Открытая (21.10.1985)/34</t>
  </si>
  <si>
    <t>89,10</t>
  </si>
  <si>
    <t>Ефимовский Владислав</t>
  </si>
  <si>
    <t>Открытая (20.12.1995)/24</t>
  </si>
  <si>
    <t>96,10</t>
  </si>
  <si>
    <t xml:space="preserve">Котлас/Архангельская область </t>
  </si>
  <si>
    <t>172,5</t>
  </si>
  <si>
    <t>Щиголь Алексей</t>
  </si>
  <si>
    <t>Открытая (05.11.1985)/34</t>
  </si>
  <si>
    <t>97,50</t>
  </si>
  <si>
    <t>Максимов Алексей</t>
  </si>
  <si>
    <t>Открытая (12.04.1988)/32</t>
  </si>
  <si>
    <t>106,70</t>
  </si>
  <si>
    <t>205,0</t>
  </si>
  <si>
    <t>207,5</t>
  </si>
  <si>
    <t>Марчук Александр</t>
  </si>
  <si>
    <t>Открытая (29.01.1982)/38</t>
  </si>
  <si>
    <t>110,90</t>
  </si>
  <si>
    <t>Деменник Николай</t>
  </si>
  <si>
    <t>Открытая (04.11.1983)/36</t>
  </si>
  <si>
    <t>141,80</t>
  </si>
  <si>
    <t xml:space="preserve">Санкт-Петербург </t>
  </si>
  <si>
    <t>202,5</t>
  </si>
  <si>
    <t>119,0478</t>
  </si>
  <si>
    <t>117,7874</t>
  </si>
  <si>
    <t>109,4340</t>
  </si>
  <si>
    <t>Погодин Игорь</t>
  </si>
  <si>
    <t>Открытая (06.11.1986)/33</t>
  </si>
  <si>
    <t>99,30</t>
  </si>
  <si>
    <t>Якушевич Алексей</t>
  </si>
  <si>
    <t>Открытая (02.07.1991)/29</t>
  </si>
  <si>
    <t>88,40</t>
  </si>
  <si>
    <t>260,0</t>
  </si>
  <si>
    <t>292,5</t>
  </si>
  <si>
    <t>Рыжов Андрей</t>
  </si>
  <si>
    <t>Открытая (11.01.1992)/28</t>
  </si>
  <si>
    <t>87,00</t>
  </si>
  <si>
    <t xml:space="preserve">Шарья/Костромская область </t>
  </si>
  <si>
    <t>235,0</t>
  </si>
  <si>
    <t>245,0</t>
  </si>
  <si>
    <t>75,0</t>
  </si>
  <si>
    <t>34,0</t>
  </si>
  <si>
    <t>Доронин Эрик</t>
  </si>
  <si>
    <t>Открытая (09.04.1969)/51</t>
  </si>
  <si>
    <t>99,60</t>
  </si>
  <si>
    <t>Подъем на бицепс</t>
  </si>
  <si>
    <t>30,0</t>
  </si>
  <si>
    <t>33,5</t>
  </si>
  <si>
    <t>60,0</t>
  </si>
  <si>
    <t>60,5</t>
  </si>
  <si>
    <t>Беспаликов Валерий</t>
  </si>
  <si>
    <t>Открытая (07.04.1981)/39</t>
  </si>
  <si>
    <t>101,40</t>
  </si>
  <si>
    <t>255,0</t>
  </si>
  <si>
    <t xml:space="preserve">Сербин А. </t>
  </si>
  <si>
    <t>Филиппова Ксения</t>
  </si>
  <si>
    <t>Открытая (10.10.1992)/27</t>
  </si>
  <si>
    <t>Терешичев Антон</t>
  </si>
  <si>
    <t>Открытая (31.03.1986)/34</t>
  </si>
  <si>
    <t>82,10</t>
  </si>
  <si>
    <t>Звездин Игорь</t>
  </si>
  <si>
    <t>Мастера 60+ (02.08.1958)/62</t>
  </si>
  <si>
    <t>110,00</t>
  </si>
  <si>
    <t>Востриков Антон</t>
  </si>
  <si>
    <t>Открытая (07.06.1995)/25</t>
  </si>
  <si>
    <t>82,50</t>
  </si>
  <si>
    <t>147,5</t>
  </si>
  <si>
    <t>Wilks</t>
  </si>
  <si>
    <t>Открытая (11.12.1989)/30</t>
  </si>
  <si>
    <t>92,50</t>
  </si>
  <si>
    <t xml:space="preserve">Сыктывкар/Коми </t>
  </si>
  <si>
    <t>177,5</t>
  </si>
  <si>
    <t>Балашов Н.</t>
  </si>
  <si>
    <t>Громов А.</t>
  </si>
  <si>
    <t>Звездин И.</t>
  </si>
  <si>
    <t xml:space="preserve">Дмитриев И. </t>
  </si>
  <si>
    <t>Кузьмин А.</t>
  </si>
  <si>
    <t xml:space="preserve">Длужневский С. </t>
  </si>
  <si>
    <t>Дмитриев И.</t>
  </si>
  <si>
    <t>Мокосин А.</t>
  </si>
  <si>
    <t xml:space="preserve">Погодин И. </t>
  </si>
  <si>
    <t>Самостоятельно</t>
  </si>
  <si>
    <t>Девушки 13-15 (31.01.2007)/13</t>
  </si>
  <si>
    <t>Юноши 16-17 (30.06.2004)/16</t>
  </si>
  <si>
    <t>Юноши 18-19 (04.06.2002)/18</t>
  </si>
  <si>
    <t>Юноши 16-17 (04.02.2004)/16</t>
  </si>
  <si>
    <t>Мастера 50-59 (09.04.1969)/51</t>
  </si>
  <si>
    <t>Чемпионат Северо-Западного федерального округа
СПР Жим лежа в однопетельной софт экипировке ДК
Вологда/Вологодская область, 22 августа 2020 года</t>
  </si>
  <si>
    <t>Чемпионат Северо-Западного федерального округа
СПР Жим лежа в однопетельной софт экипировке
Вологда/Вологодская область, 22 августа 2020 года</t>
  </si>
  <si>
    <t>Чемпионат Северо-Западного федерального округа
СПР Жим лежа в многопетельной софт экипировке ДК
Вологда/Вологодская область, 22 августа 2020 года</t>
  </si>
  <si>
    <t>Чемпионат Северо-Западного федерального округа
СПР Жим лежа в многопетельной софт экипировке
Вологда/Вологодская область, 22 августа 2020 года</t>
  </si>
  <si>
    <t>Чемпионат Северо-Западного федерального округа
СПР Жим лежа СФО
Вологда/Вологодская область, 22 августа 2020 года</t>
  </si>
  <si>
    <t>Чемпионат Северо-Западного федерального округа
СПР Строгий подъем штанги на бицепс ДК
Вологда/Вологодская область, 22 августа 2020 года</t>
  </si>
  <si>
    <t>Чемпионат Северо-Западного федерального округа
СПР Строгий подъем штанги на бицепс
Вологда/Вологодская область, 22 августа 2020 года</t>
  </si>
  <si>
    <t>Чемпионат Северо-Западного федерального округа
GPA Пауэрлифтинг без экипировки ДК
Вологда/Вологодская область, 22 августа 2020 года</t>
  </si>
  <si>
    <t>Чемпионат Северо-Западного федерального округа
GPA Пауэрлифтинг без экипировки
Вологда/Вологодская область, 22 августа 2020 года</t>
  </si>
  <si>
    <t>Чемпионат Северо-Западного федерального округа
GPA Пауэрлифтинг в бинтах ДК
Вологда/Вологодская область, 22 августа 2020 года</t>
  </si>
  <si>
    <t>Чемпионат Северо-Западного федерального округа
GPA Пауэрлифтинг в бинтах
Вологда/Вологодская область, 22 августа 2020 года</t>
  </si>
  <si>
    <t>Чемпионат Северо-Западного федерального округа
GPA Жим лежа без экипировки ДК
Вологда/Вологодская область, 22 августа 2020 года</t>
  </si>
  <si>
    <t>Чемпионат Северо-Западного федерального округа
GPA Жим лежа без экипировки
Вологда/Вологодская область, 22 августа 2020 года</t>
  </si>
  <si>
    <t>Чемпионат Северо-Западного федерального округа
GPA Становая тяга без экипировки ДК
Вологда/Вологодская область, 22 августа 2020 года</t>
  </si>
  <si>
    <t>Чемпионат Северо-Западного федерального округа
GPA Становая тяга без экипировки
Вологда/Вологодская область, 22 августа 2020 года</t>
  </si>
  <si>
    <t>Чемпионат Северо-Западного федерального округа
ФЖД Военный жим на максимум
Вологда/Вологодская область, 22 августа 2020 года</t>
  </si>
  <si>
    <t>Чемпионат Северо-Западного федерального округа
ФЖД Любители жим на максимум
Вологда/Вологодская область, 22 августа 2020 года</t>
  </si>
  <si>
    <t>Гук Н.</t>
  </si>
  <si>
    <t>Весовая категория</t>
  </si>
  <si>
    <t>Москва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</si>
</sst>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>
    <font>
      <sz val="10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b/>
      <sz val="24"/>
      <name val="Arial Cyr"/>
      <charset val="204"/>
    </font>
    <font>
      <i/>
      <sz val="12"/>
      <name val="Arial Cyr"/>
      <charset val="204"/>
    </font>
    <font>
      <sz val="14"/>
      <name val="Arial Cyr"/>
      <charset val="204"/>
    </font>
    <font>
      <i/>
      <sz val="11"/>
      <name val="Arial Cyr"/>
      <charset val="204"/>
    </font>
    <font>
      <b/>
      <strike/>
      <sz val="10"/>
      <color theme="5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D7E4BE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49" fontId="2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0" fillId="0" borderId="7" xfId="0" applyNumberFormat="1" applyFont="1" applyFill="1" applyBorder="1" applyAlignment="1">
      <alignment horizontal="center" vertical="center"/>
    </xf>
    <xf numFmtId="49" fontId="1" fillId="0" borderId="7" xfId="0" applyNumberFormat="1" applyFont="1" applyFill="1" applyBorder="1" applyAlignment="1">
      <alignment horizontal="center" vertical="center"/>
    </xf>
    <xf numFmtId="49" fontId="0" fillId="0" borderId="12" xfId="0" applyNumberFormat="1" applyFont="1" applyFill="1" applyBorder="1" applyAlignment="1">
      <alignment horizontal="center" vertical="center"/>
    </xf>
    <xf numFmtId="49" fontId="1" fillId="0" borderId="12" xfId="0" applyNumberFormat="1" applyFont="1" applyFill="1" applyBorder="1" applyAlignment="1">
      <alignment horizontal="center" vertical="center"/>
    </xf>
    <xf numFmtId="49" fontId="0" fillId="0" borderId="13" xfId="0" applyNumberFormat="1" applyFont="1" applyFill="1" applyBorder="1" applyAlignment="1">
      <alignment horizontal="center" vertical="center"/>
    </xf>
    <xf numFmtId="49" fontId="1" fillId="0" borderId="13" xfId="0" applyNumberFormat="1" applyFont="1" applyFill="1" applyBorder="1" applyAlignment="1">
      <alignment horizontal="center" vertical="center"/>
    </xf>
    <xf numFmtId="49" fontId="0" fillId="0" borderId="14" xfId="0" applyNumberFormat="1" applyFont="1" applyFill="1" applyBorder="1" applyAlignment="1">
      <alignment horizontal="center" vertical="center"/>
    </xf>
    <xf numFmtId="49" fontId="1" fillId="0" borderId="14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left" vertical="center" indent="1"/>
    </xf>
    <xf numFmtId="49" fontId="6" fillId="0" borderId="0" xfId="0" applyNumberFormat="1" applyFont="1" applyFill="1" applyBorder="1" applyAlignment="1">
      <alignment horizontal="left" vertical="center" indent="1"/>
    </xf>
    <xf numFmtId="49" fontId="6" fillId="0" borderId="0" xfId="0" applyNumberFormat="1" applyFont="1" applyFill="1" applyBorder="1" applyAlignment="1">
      <alignment horizontal="center" vertical="center"/>
    </xf>
    <xf numFmtId="49" fontId="1" fillId="2" borderId="7" xfId="0" applyNumberFormat="1" applyFont="1" applyFill="1" applyBorder="1" applyAlignment="1">
      <alignment horizontal="center" vertical="center"/>
    </xf>
    <xf numFmtId="49" fontId="7" fillId="0" borderId="7" xfId="0" applyNumberFormat="1" applyFont="1" applyFill="1" applyBorder="1" applyAlignment="1">
      <alignment horizontal="center" vertical="center"/>
    </xf>
    <xf numFmtId="49" fontId="1" fillId="2" borderId="12" xfId="0" applyNumberFormat="1" applyFont="1" applyFill="1" applyBorder="1" applyAlignment="1">
      <alignment horizontal="center" vertical="center"/>
    </xf>
    <xf numFmtId="49" fontId="7" fillId="0" borderId="12" xfId="0" applyNumberFormat="1" applyFont="1" applyFill="1" applyBorder="1" applyAlignment="1">
      <alignment horizontal="center" vertical="center"/>
    </xf>
    <xf numFmtId="49" fontId="1" fillId="2" borderId="13" xfId="0" applyNumberFormat="1" applyFont="1" applyFill="1" applyBorder="1" applyAlignment="1">
      <alignment horizontal="center" vertical="center"/>
    </xf>
    <xf numFmtId="49" fontId="7" fillId="0" borderId="13" xfId="0" applyNumberFormat="1" applyFont="1" applyFill="1" applyBorder="1" applyAlignment="1">
      <alignment horizontal="center" vertical="center"/>
    </xf>
    <xf numFmtId="49" fontId="7" fillId="0" borderId="14" xfId="0" applyNumberFormat="1" applyFont="1" applyFill="1" applyBorder="1" applyAlignment="1">
      <alignment horizontal="center" vertical="center"/>
    </xf>
    <xf numFmtId="49" fontId="1" fillId="2" borderId="14" xfId="0" applyNumberFormat="1" applyFont="1" applyFill="1" applyBorder="1" applyAlignment="1">
      <alignment horizontal="center" vertical="center"/>
    </xf>
    <xf numFmtId="49" fontId="0" fillId="0" borderId="7" xfId="0" applyNumberFormat="1" applyFill="1" applyBorder="1" applyAlignment="1">
      <alignment horizontal="center" vertical="center"/>
    </xf>
    <xf numFmtId="49" fontId="0" fillId="0" borderId="14" xfId="0" applyNumberFormat="1" applyFill="1" applyBorder="1" applyAlignment="1">
      <alignment horizontal="center" vertical="center"/>
    </xf>
    <xf numFmtId="49" fontId="0" fillId="0" borderId="12" xfId="0" applyNumberFormat="1" applyFill="1" applyBorder="1" applyAlignment="1">
      <alignment horizontal="center" vertical="center"/>
    </xf>
    <xf numFmtId="49" fontId="0" fillId="0" borderId="13" xfId="0" applyNumberFormat="1" applyFill="1" applyBorder="1" applyAlignment="1">
      <alignment horizontal="center" vertical="center"/>
    </xf>
    <xf numFmtId="164" fontId="1" fillId="0" borderId="0" xfId="0" applyNumberFormat="1" applyFont="1" applyFill="1" applyBorder="1" applyAlignment="1">
      <alignment horizontal="center" vertical="center"/>
    </xf>
    <xf numFmtId="164" fontId="1" fillId="0" borderId="12" xfId="0" applyNumberFormat="1" applyFont="1" applyFill="1" applyBorder="1" applyAlignment="1">
      <alignment horizontal="center" vertical="center"/>
    </xf>
    <xf numFmtId="164" fontId="1" fillId="0" borderId="14" xfId="0" applyNumberFormat="1" applyFont="1" applyFill="1" applyBorder="1" applyAlignment="1">
      <alignment horizontal="center" vertical="center"/>
    </xf>
    <xf numFmtId="164" fontId="1" fillId="0" borderId="7" xfId="0" applyNumberFormat="1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 wrapText="1"/>
    </xf>
    <xf numFmtId="49" fontId="3" fillId="0" borderId="15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49" fontId="3" fillId="0" borderId="19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49" fontId="2" fillId="0" borderId="17" xfId="0" applyNumberFormat="1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center"/>
    </xf>
    <xf numFmtId="49" fontId="2" fillId="0" borderId="14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14" xfId="0" applyNumberFormat="1" applyFont="1" applyFill="1" applyBorder="1" applyAlignment="1">
      <alignment horizontal="center" vertical="center"/>
    </xf>
    <xf numFmtId="49" fontId="2" fillId="0" borderId="13" xfId="0" applyNumberFormat="1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49" fontId="2" fillId="0" borderId="18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4" fillId="0" borderId="10" xfId="0" applyNumberFormat="1" applyFont="1" applyFill="1" applyBorder="1" applyAlignment="1">
      <alignment horizontal="center" vertical="center"/>
    </xf>
    <xf numFmtId="49" fontId="4" fillId="0" borderId="10" xfId="0" applyNumberFormat="1" applyFont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164" fontId="2" fillId="0" borderId="14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/>
    </xf>
    <xf numFmtId="49" fontId="3" fillId="0" borderId="8" xfId="0" applyNumberFormat="1" applyFont="1" applyFill="1" applyBorder="1" applyAlignment="1">
      <alignment horizontal="center" vertical="center"/>
    </xf>
    <xf numFmtId="49" fontId="3" fillId="0" borderId="11" xfId="0" applyNumberFormat="1" applyFont="1" applyFill="1" applyBorder="1" applyAlignment="1">
      <alignment horizontal="center" vertical="center"/>
    </xf>
    <xf numFmtId="49" fontId="3" fillId="0" borderId="7" xfId="0" applyNumberFormat="1" applyFont="1" applyFill="1" applyBorder="1" applyAlignment="1">
      <alignment horizontal="center" vertical="center"/>
    </xf>
    <xf numFmtId="49" fontId="3" fillId="0" borderId="9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 wrapText="1"/>
    </xf>
    <xf numFmtId="49" fontId="2" fillId="0" borderId="7" xfId="0" applyNumberFormat="1" applyFont="1" applyFill="1" applyBorder="1" applyAlignment="1">
      <alignment horizontal="center" vertical="center"/>
    </xf>
    <xf numFmtId="49" fontId="2" fillId="0" borderId="12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5"/>
  <sheetViews>
    <sheetView workbookViewId="0">
      <selection sqref="A1:U2"/>
    </sheetView>
  </sheetViews>
  <sheetFormatPr baseColWidth="10" defaultColWidth="9.1640625" defaultRowHeight="13"/>
  <cols>
    <col min="1" max="1" width="7.5" style="7" bestFit="1" customWidth="1"/>
    <col min="2" max="2" width="20.1640625" style="7" bestFit="1" customWidth="1"/>
    <col min="3" max="3" width="29" style="7" bestFit="1" customWidth="1"/>
    <col min="4" max="4" width="18" style="7" customWidth="1"/>
    <col min="5" max="5" width="10.5" style="7" bestFit="1" customWidth="1"/>
    <col min="6" max="6" width="30.5" style="7" bestFit="1" customWidth="1"/>
    <col min="7" max="9" width="5.5" style="8" customWidth="1"/>
    <col min="10" max="10" width="4.83203125" style="8" customWidth="1"/>
    <col min="11" max="13" width="5.5" style="8" customWidth="1"/>
    <col min="14" max="14" width="4.83203125" style="8" customWidth="1"/>
    <col min="15" max="17" width="5.5" style="8" customWidth="1"/>
    <col min="18" max="18" width="4.83203125" style="8" customWidth="1"/>
    <col min="19" max="19" width="7.83203125" style="8" bestFit="1" customWidth="1"/>
    <col min="20" max="20" width="8.5" style="8" bestFit="1" customWidth="1"/>
    <col min="21" max="21" width="26.83203125" style="7" bestFit="1" customWidth="1"/>
    <col min="22" max="16384" width="9.1640625" style="3"/>
  </cols>
  <sheetData>
    <row r="1" spans="1:21" s="2" customFormat="1" ht="29" customHeight="1">
      <c r="A1" s="38" t="s">
        <v>263</v>
      </c>
      <c r="B1" s="39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1"/>
    </row>
    <row r="2" spans="1:21" s="2" customFormat="1" ht="62" customHeight="1" thickBot="1">
      <c r="A2" s="42"/>
      <c r="B2" s="43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5"/>
    </row>
    <row r="3" spans="1:21" s="1" customFormat="1" ht="12.75" customHeight="1">
      <c r="A3" s="46" t="s">
        <v>58</v>
      </c>
      <c r="B3" s="51" t="s">
        <v>0</v>
      </c>
      <c r="C3" s="48" t="s">
        <v>5</v>
      </c>
      <c r="D3" s="48" t="s">
        <v>7</v>
      </c>
      <c r="E3" s="50" t="s">
        <v>8</v>
      </c>
      <c r="F3" s="50" t="s">
        <v>6</v>
      </c>
      <c r="G3" s="50" t="s">
        <v>9</v>
      </c>
      <c r="H3" s="50"/>
      <c r="I3" s="50"/>
      <c r="J3" s="50"/>
      <c r="K3" s="50" t="s">
        <v>10</v>
      </c>
      <c r="L3" s="50"/>
      <c r="M3" s="50"/>
      <c r="N3" s="50"/>
      <c r="O3" s="50" t="s">
        <v>11</v>
      </c>
      <c r="P3" s="50"/>
      <c r="Q3" s="50"/>
      <c r="R3" s="50"/>
      <c r="S3" s="50" t="s">
        <v>1</v>
      </c>
      <c r="T3" s="50" t="s">
        <v>3</v>
      </c>
      <c r="U3" s="53" t="s">
        <v>2</v>
      </c>
    </row>
    <row r="4" spans="1:21" s="1" customFormat="1" ht="21" customHeight="1" thickBot="1">
      <c r="A4" s="47"/>
      <c r="B4" s="52"/>
      <c r="C4" s="49"/>
      <c r="D4" s="49"/>
      <c r="E4" s="49"/>
      <c r="F4" s="49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">
        <v>1</v>
      </c>
      <c r="P4" s="4">
        <v>2</v>
      </c>
      <c r="Q4" s="4">
        <v>3</v>
      </c>
      <c r="R4" s="4" t="s">
        <v>4</v>
      </c>
      <c r="S4" s="49"/>
      <c r="T4" s="49"/>
      <c r="U4" s="54"/>
    </row>
    <row r="5" spans="1:21" ht="16">
      <c r="A5" s="55" t="s">
        <v>59</v>
      </c>
      <c r="B5" s="55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</row>
    <row r="6" spans="1:21">
      <c r="A6" s="10" t="s">
        <v>55</v>
      </c>
      <c r="B6" s="9" t="s">
        <v>60</v>
      </c>
      <c r="C6" s="9" t="s">
        <v>61</v>
      </c>
      <c r="D6" s="9" t="s">
        <v>62</v>
      </c>
      <c r="E6" s="9" t="str">
        <f>"1,0163"</f>
        <v>1,0163</v>
      </c>
      <c r="F6" s="9" t="s">
        <v>16</v>
      </c>
      <c r="G6" s="22" t="s">
        <v>63</v>
      </c>
      <c r="H6" s="22" t="s">
        <v>64</v>
      </c>
      <c r="I6" s="23" t="s">
        <v>17</v>
      </c>
      <c r="J6" s="10"/>
      <c r="K6" s="22" t="s">
        <v>65</v>
      </c>
      <c r="L6" s="22" t="s">
        <v>66</v>
      </c>
      <c r="M6" s="23" t="s">
        <v>20</v>
      </c>
      <c r="N6" s="10"/>
      <c r="O6" s="22" t="s">
        <v>67</v>
      </c>
      <c r="P6" s="22" t="s">
        <v>68</v>
      </c>
      <c r="Q6" s="23" t="s">
        <v>69</v>
      </c>
      <c r="R6" s="10"/>
      <c r="S6" s="10" t="str">
        <f>"185,0"</f>
        <v>185,0</v>
      </c>
      <c r="T6" s="10" t="str">
        <f>"198,3563"</f>
        <v>198,3563</v>
      </c>
      <c r="U6" s="9" t="s">
        <v>70</v>
      </c>
    </row>
    <row r="7" spans="1:21">
      <c r="B7" s="7" t="s">
        <v>56</v>
      </c>
    </row>
    <row r="8" spans="1:21" ht="16">
      <c r="A8" s="57" t="s">
        <v>71</v>
      </c>
      <c r="B8" s="57"/>
      <c r="C8" s="57"/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</row>
    <row r="9" spans="1:21">
      <c r="A9" s="10" t="s">
        <v>55</v>
      </c>
      <c r="B9" s="9" t="s">
        <v>72</v>
      </c>
      <c r="C9" s="9" t="s">
        <v>251</v>
      </c>
      <c r="D9" s="9" t="s">
        <v>73</v>
      </c>
      <c r="E9" s="9" t="str">
        <f>"0,9746"</f>
        <v>0,9746</v>
      </c>
      <c r="F9" s="9" t="s">
        <v>74</v>
      </c>
      <c r="G9" s="23" t="s">
        <v>64</v>
      </c>
      <c r="H9" s="23" t="s">
        <v>67</v>
      </c>
      <c r="I9" s="22" t="s">
        <v>67</v>
      </c>
      <c r="J9" s="10"/>
      <c r="K9" s="22" t="s">
        <v>75</v>
      </c>
      <c r="L9" s="22" t="s">
        <v>65</v>
      </c>
      <c r="M9" s="22" t="s">
        <v>76</v>
      </c>
      <c r="N9" s="10"/>
      <c r="O9" s="22" t="s">
        <v>77</v>
      </c>
      <c r="P9" s="22" t="s">
        <v>78</v>
      </c>
      <c r="Q9" s="10"/>
      <c r="R9" s="10"/>
      <c r="S9" s="10" t="str">
        <f>"185,0"</f>
        <v>185,0</v>
      </c>
      <c r="T9" s="10" t="str">
        <f>"180,3010"</f>
        <v>180,3010</v>
      </c>
      <c r="U9" s="30" t="s">
        <v>245</v>
      </c>
    </row>
    <row r="10" spans="1:21">
      <c r="B10" s="7" t="s">
        <v>56</v>
      </c>
    </row>
    <row r="11" spans="1:21" ht="16">
      <c r="A11" s="57" t="s">
        <v>12</v>
      </c>
      <c r="B11" s="57"/>
      <c r="C11" s="57"/>
      <c r="D11" s="57"/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7"/>
      <c r="R11" s="57"/>
    </row>
    <row r="12" spans="1:21">
      <c r="A12" s="12" t="s">
        <v>55</v>
      </c>
      <c r="B12" s="11" t="s">
        <v>79</v>
      </c>
      <c r="C12" s="11" t="s">
        <v>252</v>
      </c>
      <c r="D12" s="11" t="s">
        <v>80</v>
      </c>
      <c r="E12" s="11" t="str">
        <f>"0,8976"</f>
        <v>0,8976</v>
      </c>
      <c r="F12" s="11" t="s">
        <v>81</v>
      </c>
      <c r="G12" s="24" t="s">
        <v>82</v>
      </c>
      <c r="H12" s="24" t="s">
        <v>46</v>
      </c>
      <c r="I12" s="24" t="s">
        <v>83</v>
      </c>
      <c r="J12" s="12"/>
      <c r="K12" s="24" t="s">
        <v>69</v>
      </c>
      <c r="L12" s="24" t="s">
        <v>22</v>
      </c>
      <c r="M12" s="24" t="s">
        <v>23</v>
      </c>
      <c r="N12" s="12"/>
      <c r="O12" s="24" t="s">
        <v>83</v>
      </c>
      <c r="P12" s="24" t="s">
        <v>43</v>
      </c>
      <c r="Q12" s="24" t="s">
        <v>84</v>
      </c>
      <c r="R12" s="12"/>
      <c r="S12" s="12" t="str">
        <f>"430,0"</f>
        <v>430,0</v>
      </c>
      <c r="T12" s="12" t="str">
        <f>"385,9680"</f>
        <v>385,9680</v>
      </c>
      <c r="U12" s="11" t="s">
        <v>121</v>
      </c>
    </row>
    <row r="13" spans="1:21">
      <c r="A13" s="16" t="s">
        <v>55</v>
      </c>
      <c r="B13" s="15" t="s">
        <v>79</v>
      </c>
      <c r="C13" s="15" t="s">
        <v>85</v>
      </c>
      <c r="D13" s="15" t="s">
        <v>80</v>
      </c>
      <c r="E13" s="15" t="str">
        <f>"0,8976"</f>
        <v>0,8976</v>
      </c>
      <c r="F13" s="15" t="s">
        <v>81</v>
      </c>
      <c r="G13" s="29" t="s">
        <v>82</v>
      </c>
      <c r="H13" s="29" t="s">
        <v>46</v>
      </c>
      <c r="I13" s="29" t="s">
        <v>83</v>
      </c>
      <c r="J13" s="16"/>
      <c r="K13" s="29" t="s">
        <v>69</v>
      </c>
      <c r="L13" s="29" t="s">
        <v>22</v>
      </c>
      <c r="M13" s="29" t="s">
        <v>23</v>
      </c>
      <c r="N13" s="16"/>
      <c r="O13" s="29" t="s">
        <v>83</v>
      </c>
      <c r="P13" s="29" t="s">
        <v>43</v>
      </c>
      <c r="Q13" s="29" t="s">
        <v>84</v>
      </c>
      <c r="R13" s="16"/>
      <c r="S13" s="16" t="str">
        <f>"430,0"</f>
        <v>430,0</v>
      </c>
      <c r="T13" s="16" t="str">
        <f>"385,9680"</f>
        <v>385,9680</v>
      </c>
      <c r="U13" s="15" t="s">
        <v>121</v>
      </c>
    </row>
    <row r="14" spans="1:21">
      <c r="B14" s="7" t="s">
        <v>56</v>
      </c>
    </row>
    <row r="15" spans="1:21" ht="16">
      <c r="A15" s="57" t="s">
        <v>86</v>
      </c>
      <c r="B15" s="57"/>
      <c r="C15" s="57"/>
      <c r="D15" s="57"/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57"/>
      <c r="R15" s="57"/>
    </row>
    <row r="16" spans="1:21">
      <c r="A16" s="12" t="s">
        <v>55</v>
      </c>
      <c r="B16" s="11" t="s">
        <v>87</v>
      </c>
      <c r="C16" s="11" t="s">
        <v>88</v>
      </c>
      <c r="D16" s="11" t="s">
        <v>89</v>
      </c>
      <c r="E16" s="11" t="str">
        <f>"0,6793"</f>
        <v>0,6793</v>
      </c>
      <c r="F16" s="11" t="s">
        <v>74</v>
      </c>
      <c r="G16" s="24" t="s">
        <v>90</v>
      </c>
      <c r="H16" s="24" t="s">
        <v>91</v>
      </c>
      <c r="I16" s="25" t="s">
        <v>92</v>
      </c>
      <c r="J16" s="12"/>
      <c r="K16" s="24" t="s">
        <v>45</v>
      </c>
      <c r="L16" s="25" t="s">
        <v>83</v>
      </c>
      <c r="M16" s="24" t="s">
        <v>83</v>
      </c>
      <c r="N16" s="12"/>
      <c r="O16" s="25" t="s">
        <v>92</v>
      </c>
      <c r="P16" s="24" t="s">
        <v>92</v>
      </c>
      <c r="Q16" s="24" t="s">
        <v>43</v>
      </c>
      <c r="R16" s="12"/>
      <c r="S16" s="12" t="str">
        <f>"465,0"</f>
        <v>465,0</v>
      </c>
      <c r="T16" s="12" t="str">
        <f>"315,8745"</f>
        <v>315,8745</v>
      </c>
      <c r="U16" s="11" t="s">
        <v>93</v>
      </c>
    </row>
    <row r="17" spans="1:21">
      <c r="A17" s="16" t="s">
        <v>55</v>
      </c>
      <c r="B17" s="15" t="s">
        <v>87</v>
      </c>
      <c r="C17" s="15" t="s">
        <v>94</v>
      </c>
      <c r="D17" s="15" t="s">
        <v>89</v>
      </c>
      <c r="E17" s="15" t="str">
        <f>"0,6793"</f>
        <v>0,6793</v>
      </c>
      <c r="F17" s="15" t="s">
        <v>74</v>
      </c>
      <c r="G17" s="29" t="s">
        <v>90</v>
      </c>
      <c r="H17" s="29" t="s">
        <v>91</v>
      </c>
      <c r="I17" s="28" t="s">
        <v>92</v>
      </c>
      <c r="J17" s="16"/>
      <c r="K17" s="29" t="s">
        <v>45</v>
      </c>
      <c r="L17" s="28" t="s">
        <v>83</v>
      </c>
      <c r="M17" s="29" t="s">
        <v>83</v>
      </c>
      <c r="N17" s="16"/>
      <c r="O17" s="28" t="s">
        <v>92</v>
      </c>
      <c r="P17" s="29" t="s">
        <v>92</v>
      </c>
      <c r="Q17" s="29" t="s">
        <v>43</v>
      </c>
      <c r="R17" s="16"/>
      <c r="S17" s="16" t="str">
        <f>"465,0"</f>
        <v>465,0</v>
      </c>
      <c r="T17" s="16" t="str">
        <f>"322,1920"</f>
        <v>322,1920</v>
      </c>
      <c r="U17" s="15" t="s">
        <v>93</v>
      </c>
    </row>
    <row r="18" spans="1:21">
      <c r="B18" s="7" t="s">
        <v>56</v>
      </c>
    </row>
    <row r="19" spans="1:21" ht="16">
      <c r="A19" s="57" t="s">
        <v>95</v>
      </c>
      <c r="B19" s="57"/>
      <c r="C19" s="57"/>
      <c r="D19" s="57"/>
      <c r="E19" s="57"/>
      <c r="F19" s="57"/>
      <c r="G19" s="57"/>
      <c r="H19" s="57"/>
      <c r="I19" s="57"/>
      <c r="J19" s="57"/>
      <c r="K19" s="57"/>
      <c r="L19" s="57"/>
      <c r="M19" s="57"/>
      <c r="N19" s="57"/>
      <c r="O19" s="57"/>
      <c r="P19" s="57"/>
      <c r="Q19" s="57"/>
      <c r="R19" s="57"/>
    </row>
    <row r="20" spans="1:21">
      <c r="A20" s="10" t="s">
        <v>55</v>
      </c>
      <c r="B20" s="9" t="s">
        <v>96</v>
      </c>
      <c r="C20" s="9" t="s">
        <v>97</v>
      </c>
      <c r="D20" s="9" t="s">
        <v>98</v>
      </c>
      <c r="E20" s="9" t="str">
        <f>"0,6137"</f>
        <v>0,6137</v>
      </c>
      <c r="F20" s="9" t="s">
        <v>16</v>
      </c>
      <c r="G20" s="22" t="s">
        <v>99</v>
      </c>
      <c r="H20" s="23" t="s">
        <v>100</v>
      </c>
      <c r="I20" s="22" t="s">
        <v>101</v>
      </c>
      <c r="J20" s="10"/>
      <c r="K20" s="22" t="s">
        <v>83</v>
      </c>
      <c r="L20" s="23" t="s">
        <v>90</v>
      </c>
      <c r="M20" s="23" t="s">
        <v>90</v>
      </c>
      <c r="N20" s="10"/>
      <c r="O20" s="22" t="s">
        <v>102</v>
      </c>
      <c r="P20" s="23" t="s">
        <v>103</v>
      </c>
      <c r="Q20" s="23" t="s">
        <v>103</v>
      </c>
      <c r="R20" s="10"/>
      <c r="S20" s="10" t="str">
        <f>"557,5"</f>
        <v>557,5</v>
      </c>
      <c r="T20" s="10" t="str">
        <f>"342,1656"</f>
        <v>342,1656</v>
      </c>
      <c r="U20" s="30" t="s">
        <v>248</v>
      </c>
    </row>
    <row r="21" spans="1:21">
      <c r="B21" s="7" t="s">
        <v>56</v>
      </c>
    </row>
    <row r="22" spans="1:21" ht="16">
      <c r="A22" s="57" t="s">
        <v>104</v>
      </c>
      <c r="B22" s="57"/>
      <c r="C22" s="57"/>
      <c r="D22" s="57"/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57"/>
    </row>
    <row r="23" spans="1:21">
      <c r="A23" s="10" t="s">
        <v>55</v>
      </c>
      <c r="B23" s="9" t="s">
        <v>105</v>
      </c>
      <c r="C23" s="9" t="s">
        <v>253</v>
      </c>
      <c r="D23" s="9" t="s">
        <v>106</v>
      </c>
      <c r="E23" s="9" t="str">
        <f>"0,5534"</f>
        <v>0,5534</v>
      </c>
      <c r="F23" s="9" t="s">
        <v>74</v>
      </c>
      <c r="G23" s="22" t="s">
        <v>45</v>
      </c>
      <c r="H23" s="22" t="s">
        <v>83</v>
      </c>
      <c r="I23" s="22" t="s">
        <v>34</v>
      </c>
      <c r="J23" s="10"/>
      <c r="K23" s="22" t="s">
        <v>107</v>
      </c>
      <c r="L23" s="22" t="s">
        <v>108</v>
      </c>
      <c r="M23" s="23" t="s">
        <v>22</v>
      </c>
      <c r="N23" s="10"/>
      <c r="O23" s="22" t="s">
        <v>82</v>
      </c>
      <c r="P23" s="22" t="s">
        <v>83</v>
      </c>
      <c r="Q23" s="22" t="s">
        <v>92</v>
      </c>
      <c r="R23" s="10"/>
      <c r="S23" s="10" t="str">
        <f>"405,0"</f>
        <v>405,0</v>
      </c>
      <c r="T23" s="10" t="str">
        <f>"224,1270"</f>
        <v>224,1270</v>
      </c>
      <c r="U23" s="30" t="s">
        <v>93</v>
      </c>
    </row>
    <row r="24" spans="1:21">
      <c r="B24" s="7" t="s">
        <v>56</v>
      </c>
    </row>
    <row r="25" spans="1:21">
      <c r="B25" s="7" t="s">
        <v>56</v>
      </c>
    </row>
  </sheetData>
  <mergeCells count="19">
    <mergeCell ref="A22:R22"/>
    <mergeCell ref="A5:R5"/>
    <mergeCell ref="A8:R8"/>
    <mergeCell ref="A11:R11"/>
    <mergeCell ref="A15:R15"/>
    <mergeCell ref="A19:R19"/>
    <mergeCell ref="A1:U2"/>
    <mergeCell ref="A3:A4"/>
    <mergeCell ref="C3:C4"/>
    <mergeCell ref="D3:D4"/>
    <mergeCell ref="E3:E4"/>
    <mergeCell ref="F3:F4"/>
    <mergeCell ref="G3:J3"/>
    <mergeCell ref="K3:N3"/>
    <mergeCell ref="O3:R3"/>
    <mergeCell ref="B3:B4"/>
    <mergeCell ref="S3:S4"/>
    <mergeCell ref="T3:T4"/>
    <mergeCell ref="U3:U4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M8"/>
  <sheetViews>
    <sheetView workbookViewId="0">
      <selection sqref="A1:M2"/>
    </sheetView>
  </sheetViews>
  <sheetFormatPr baseColWidth="10" defaultColWidth="9.1640625" defaultRowHeight="13"/>
  <cols>
    <col min="1" max="1" width="7.5" style="7" bestFit="1" customWidth="1"/>
    <col min="2" max="2" width="23.83203125" style="7" customWidth="1"/>
    <col min="3" max="3" width="26.33203125" style="7" bestFit="1" customWidth="1"/>
    <col min="4" max="4" width="21.5" style="7" bestFit="1" customWidth="1"/>
    <col min="5" max="5" width="10.5" style="7" bestFit="1" customWidth="1"/>
    <col min="6" max="6" width="30.5" style="7" bestFit="1" customWidth="1"/>
    <col min="7" max="9" width="5.5" style="8" customWidth="1"/>
    <col min="10" max="10" width="4.83203125" style="8" customWidth="1"/>
    <col min="11" max="11" width="13" style="8" customWidth="1"/>
    <col min="12" max="12" width="8.5" style="8" bestFit="1" customWidth="1"/>
    <col min="13" max="13" width="15.6640625" style="7" bestFit="1" customWidth="1"/>
    <col min="14" max="16384" width="9.1640625" style="3"/>
  </cols>
  <sheetData>
    <row r="1" spans="1:13" s="2" customFormat="1" ht="29" customHeight="1">
      <c r="A1" s="38" t="s">
        <v>259</v>
      </c>
      <c r="B1" s="39"/>
      <c r="C1" s="40"/>
      <c r="D1" s="40"/>
      <c r="E1" s="40"/>
      <c r="F1" s="40"/>
      <c r="G1" s="40"/>
      <c r="H1" s="40"/>
      <c r="I1" s="40"/>
      <c r="J1" s="40"/>
      <c r="K1" s="40"/>
      <c r="L1" s="40"/>
      <c r="M1" s="41"/>
    </row>
    <row r="2" spans="1:13" s="2" customFormat="1" ht="62" customHeight="1" thickBot="1">
      <c r="A2" s="42"/>
      <c r="B2" s="43"/>
      <c r="C2" s="44"/>
      <c r="D2" s="44"/>
      <c r="E2" s="44"/>
      <c r="F2" s="44"/>
      <c r="G2" s="44"/>
      <c r="H2" s="44"/>
      <c r="I2" s="44"/>
      <c r="J2" s="44"/>
      <c r="K2" s="44"/>
      <c r="L2" s="44"/>
      <c r="M2" s="45"/>
    </row>
    <row r="3" spans="1:13" s="1" customFormat="1" ht="12.75" customHeight="1">
      <c r="A3" s="46" t="s">
        <v>58</v>
      </c>
      <c r="B3" s="51" t="s">
        <v>0</v>
      </c>
      <c r="C3" s="48" t="s">
        <v>5</v>
      </c>
      <c r="D3" s="48" t="s">
        <v>7</v>
      </c>
      <c r="E3" s="50" t="s">
        <v>8</v>
      </c>
      <c r="F3" s="50" t="s">
        <v>6</v>
      </c>
      <c r="G3" s="50" t="s">
        <v>10</v>
      </c>
      <c r="H3" s="50"/>
      <c r="I3" s="50"/>
      <c r="J3" s="50"/>
      <c r="K3" s="50" t="s">
        <v>143</v>
      </c>
      <c r="L3" s="50" t="s">
        <v>3</v>
      </c>
      <c r="M3" s="53" t="s">
        <v>2</v>
      </c>
    </row>
    <row r="4" spans="1:13" s="1" customFormat="1" ht="21" customHeight="1" thickBot="1">
      <c r="A4" s="47"/>
      <c r="B4" s="52"/>
      <c r="C4" s="49"/>
      <c r="D4" s="49"/>
      <c r="E4" s="49"/>
      <c r="F4" s="49"/>
      <c r="G4" s="4">
        <v>1</v>
      </c>
      <c r="H4" s="4">
        <v>2</v>
      </c>
      <c r="I4" s="4">
        <v>3</v>
      </c>
      <c r="J4" s="4" t="s">
        <v>4</v>
      </c>
      <c r="K4" s="49"/>
      <c r="L4" s="49"/>
      <c r="M4" s="54"/>
    </row>
    <row r="5" spans="1:13" ht="16">
      <c r="A5" s="55" t="s">
        <v>86</v>
      </c>
      <c r="B5" s="55"/>
      <c r="C5" s="56"/>
      <c r="D5" s="56"/>
      <c r="E5" s="56"/>
      <c r="F5" s="56"/>
      <c r="G5" s="56"/>
      <c r="H5" s="56"/>
      <c r="I5" s="56"/>
      <c r="J5" s="56"/>
    </row>
    <row r="6" spans="1:13">
      <c r="A6" s="12" t="s">
        <v>55</v>
      </c>
      <c r="B6" s="11" t="s">
        <v>134</v>
      </c>
      <c r="C6" s="11" t="s">
        <v>135</v>
      </c>
      <c r="D6" s="11" t="s">
        <v>136</v>
      </c>
      <c r="E6" s="11" t="str">
        <f>"0,6482"</f>
        <v>0,6482</v>
      </c>
      <c r="F6" s="11" t="s">
        <v>16</v>
      </c>
      <c r="G6" s="24" t="s">
        <v>30</v>
      </c>
      <c r="H6" s="24" t="s">
        <v>208</v>
      </c>
      <c r="I6" s="25" t="s">
        <v>201</v>
      </c>
      <c r="J6" s="12"/>
      <c r="K6" s="12" t="str">
        <f>"245,0"</f>
        <v>245,0</v>
      </c>
      <c r="L6" s="12" t="str">
        <f>"158,8090"</f>
        <v>158,8090</v>
      </c>
      <c r="M6" s="11" t="s">
        <v>121</v>
      </c>
    </row>
    <row r="7" spans="1:13">
      <c r="A7" s="16" t="s">
        <v>57</v>
      </c>
      <c r="B7" s="15" t="s">
        <v>226</v>
      </c>
      <c r="C7" s="15" t="s">
        <v>227</v>
      </c>
      <c r="D7" s="15" t="s">
        <v>228</v>
      </c>
      <c r="E7" s="15" t="str">
        <f>"0,6467"</f>
        <v>0,6467</v>
      </c>
      <c r="F7" s="15" t="s">
        <v>74</v>
      </c>
      <c r="G7" s="29" t="s">
        <v>103</v>
      </c>
      <c r="H7" s="28" t="s">
        <v>36</v>
      </c>
      <c r="I7" s="28" t="s">
        <v>36</v>
      </c>
      <c r="J7" s="16"/>
      <c r="K7" s="16" t="str">
        <f>"230,0"</f>
        <v>230,0</v>
      </c>
      <c r="L7" s="16" t="str">
        <f>"148,7295"</f>
        <v>148,7295</v>
      </c>
      <c r="M7" s="31" t="s">
        <v>242</v>
      </c>
    </row>
    <row r="8" spans="1:13">
      <c r="B8" s="7" t="s">
        <v>56</v>
      </c>
    </row>
  </sheetData>
  <mergeCells count="12">
    <mergeCell ref="A5:J5"/>
    <mergeCell ref="B3:B4"/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M8"/>
  <sheetViews>
    <sheetView workbookViewId="0">
      <selection sqref="A1:M2"/>
    </sheetView>
  </sheetViews>
  <sheetFormatPr baseColWidth="10" defaultColWidth="9.1640625" defaultRowHeight="13"/>
  <cols>
    <col min="1" max="1" width="7.5" style="7" bestFit="1" customWidth="1"/>
    <col min="2" max="2" width="20.33203125" style="7" customWidth="1"/>
    <col min="3" max="3" width="26.33203125" style="7" bestFit="1" customWidth="1"/>
    <col min="4" max="4" width="21.5" style="7" bestFit="1" customWidth="1"/>
    <col min="5" max="5" width="10.5" style="7" bestFit="1" customWidth="1"/>
    <col min="6" max="6" width="28.1640625" style="7" bestFit="1" customWidth="1"/>
    <col min="7" max="9" width="5.5" style="8" customWidth="1"/>
    <col min="10" max="10" width="4.83203125" style="8" customWidth="1"/>
    <col min="11" max="11" width="12" style="8" customWidth="1"/>
    <col min="12" max="12" width="9.5" style="8" customWidth="1"/>
    <col min="13" max="13" width="21.5" style="7" customWidth="1"/>
    <col min="14" max="16384" width="9.1640625" style="3"/>
  </cols>
  <sheetData>
    <row r="1" spans="1:13" s="2" customFormat="1" ht="29" customHeight="1">
      <c r="A1" s="38" t="s">
        <v>260</v>
      </c>
      <c r="B1" s="39"/>
      <c r="C1" s="40"/>
      <c r="D1" s="40"/>
      <c r="E1" s="40"/>
      <c r="F1" s="40"/>
      <c r="G1" s="40"/>
      <c r="H1" s="40"/>
      <c r="I1" s="40"/>
      <c r="J1" s="40"/>
      <c r="K1" s="40"/>
      <c r="L1" s="40"/>
      <c r="M1" s="41"/>
    </row>
    <row r="2" spans="1:13" s="2" customFormat="1" ht="62" customHeight="1" thickBot="1">
      <c r="A2" s="42"/>
      <c r="B2" s="43"/>
      <c r="C2" s="44"/>
      <c r="D2" s="44"/>
      <c r="E2" s="44"/>
      <c r="F2" s="44"/>
      <c r="G2" s="44"/>
      <c r="H2" s="44"/>
      <c r="I2" s="44"/>
      <c r="J2" s="44"/>
      <c r="K2" s="44"/>
      <c r="L2" s="44"/>
      <c r="M2" s="45"/>
    </row>
    <row r="3" spans="1:13" s="1" customFormat="1" ht="12.75" customHeight="1">
      <c r="A3" s="46" t="s">
        <v>58</v>
      </c>
      <c r="B3" s="51" t="s">
        <v>0</v>
      </c>
      <c r="C3" s="48" t="s">
        <v>5</v>
      </c>
      <c r="D3" s="48" t="s">
        <v>7</v>
      </c>
      <c r="E3" s="50" t="s">
        <v>8</v>
      </c>
      <c r="F3" s="50" t="s">
        <v>6</v>
      </c>
      <c r="G3" s="50" t="s">
        <v>10</v>
      </c>
      <c r="H3" s="50"/>
      <c r="I3" s="50"/>
      <c r="J3" s="50"/>
      <c r="K3" s="50" t="s">
        <v>143</v>
      </c>
      <c r="L3" s="50" t="s">
        <v>3</v>
      </c>
      <c r="M3" s="53" t="s">
        <v>2</v>
      </c>
    </row>
    <row r="4" spans="1:13" s="1" customFormat="1" ht="21" customHeight="1" thickBot="1">
      <c r="A4" s="47"/>
      <c r="B4" s="52"/>
      <c r="C4" s="49"/>
      <c r="D4" s="49"/>
      <c r="E4" s="49"/>
      <c r="F4" s="49"/>
      <c r="G4" s="4">
        <v>1</v>
      </c>
      <c r="H4" s="4">
        <v>2</v>
      </c>
      <c r="I4" s="4">
        <v>3</v>
      </c>
      <c r="J4" s="4" t="s">
        <v>4</v>
      </c>
      <c r="K4" s="49"/>
      <c r="L4" s="49"/>
      <c r="M4" s="54"/>
    </row>
    <row r="5" spans="1:13" ht="16">
      <c r="A5" s="55" t="s">
        <v>86</v>
      </c>
      <c r="B5" s="55"/>
      <c r="C5" s="56"/>
      <c r="D5" s="56"/>
      <c r="E5" s="56"/>
      <c r="F5" s="56"/>
      <c r="G5" s="56"/>
      <c r="H5" s="56"/>
      <c r="I5" s="56"/>
      <c r="J5" s="56"/>
    </row>
    <row r="6" spans="1:13">
      <c r="A6" s="10" t="s">
        <v>55</v>
      </c>
      <c r="B6" s="9" t="s">
        <v>232</v>
      </c>
      <c r="C6" s="9" t="s">
        <v>233</v>
      </c>
      <c r="D6" s="9" t="s">
        <v>234</v>
      </c>
      <c r="E6" s="9" t="str">
        <f>"0,6446"</f>
        <v>0,6446</v>
      </c>
      <c r="F6" s="9" t="s">
        <v>16</v>
      </c>
      <c r="G6" s="22" t="s">
        <v>83</v>
      </c>
      <c r="H6" s="23" t="s">
        <v>235</v>
      </c>
      <c r="I6" s="22" t="s">
        <v>35</v>
      </c>
      <c r="J6" s="10"/>
      <c r="K6" s="10" t="str">
        <f>"152,5"</f>
        <v>152,5</v>
      </c>
      <c r="L6" s="10" t="str">
        <f>"98,3015"</f>
        <v>98,3015</v>
      </c>
      <c r="M6" s="30" t="s">
        <v>241</v>
      </c>
    </row>
    <row r="7" spans="1:13">
      <c r="B7" s="7" t="s">
        <v>56</v>
      </c>
    </row>
    <row r="8" spans="1:13">
      <c r="B8" s="7" t="s">
        <v>56</v>
      </c>
    </row>
  </sheetData>
  <mergeCells count="12">
    <mergeCell ref="A5:J5"/>
    <mergeCell ref="B3:B4"/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M11"/>
  <sheetViews>
    <sheetView workbookViewId="0">
      <selection sqref="A1:M2"/>
    </sheetView>
  </sheetViews>
  <sheetFormatPr baseColWidth="10" defaultColWidth="9.1640625" defaultRowHeight="13"/>
  <cols>
    <col min="1" max="1" width="7.5" style="7" bestFit="1" customWidth="1"/>
    <col min="2" max="2" width="17.6640625" style="7" bestFit="1" customWidth="1"/>
    <col min="3" max="3" width="26.33203125" style="7" bestFit="1" customWidth="1"/>
    <col min="4" max="4" width="21.5" style="7" bestFit="1" customWidth="1"/>
    <col min="5" max="5" width="10.5" style="7" bestFit="1" customWidth="1"/>
    <col min="6" max="6" width="30.5" style="7" bestFit="1" customWidth="1"/>
    <col min="7" max="10" width="7.6640625" style="8" customWidth="1"/>
    <col min="11" max="11" width="12.5" style="8" customWidth="1"/>
    <col min="12" max="12" width="8.5" style="8" bestFit="1" customWidth="1"/>
    <col min="13" max="13" width="23.33203125" style="7" customWidth="1"/>
    <col min="14" max="16384" width="9.1640625" style="3"/>
  </cols>
  <sheetData>
    <row r="1" spans="1:13" s="2" customFormat="1" ht="29" customHeight="1">
      <c r="A1" s="38" t="s">
        <v>269</v>
      </c>
      <c r="B1" s="39"/>
      <c r="C1" s="40"/>
      <c r="D1" s="40"/>
      <c r="E1" s="40"/>
      <c r="F1" s="40"/>
      <c r="G1" s="40"/>
      <c r="H1" s="40"/>
      <c r="I1" s="40"/>
      <c r="J1" s="40"/>
      <c r="K1" s="40"/>
      <c r="L1" s="40"/>
      <c r="M1" s="41"/>
    </row>
    <row r="2" spans="1:13" s="2" customFormat="1" ht="62" customHeight="1">
      <c r="A2" s="61"/>
      <c r="B2" s="62"/>
      <c r="C2" s="63"/>
      <c r="D2" s="63"/>
      <c r="E2" s="63"/>
      <c r="F2" s="63"/>
      <c r="G2" s="63"/>
      <c r="H2" s="63"/>
      <c r="I2" s="63"/>
      <c r="J2" s="63"/>
      <c r="K2" s="63"/>
      <c r="L2" s="63"/>
      <c r="M2" s="64"/>
    </row>
    <row r="3" spans="1:13" s="1" customFormat="1" ht="12.75" customHeight="1">
      <c r="A3" s="65" t="s">
        <v>58</v>
      </c>
      <c r="B3" s="68" t="s">
        <v>0</v>
      </c>
      <c r="C3" s="66" t="s">
        <v>5</v>
      </c>
      <c r="D3" s="66" t="s">
        <v>7</v>
      </c>
      <c r="E3" s="67" t="s">
        <v>8</v>
      </c>
      <c r="F3" s="67" t="s">
        <v>6</v>
      </c>
      <c r="G3" s="67" t="s">
        <v>11</v>
      </c>
      <c r="H3" s="67"/>
      <c r="I3" s="67"/>
      <c r="J3" s="67"/>
      <c r="K3" s="67" t="s">
        <v>143</v>
      </c>
      <c r="L3" s="67" t="s">
        <v>3</v>
      </c>
      <c r="M3" s="60" t="s">
        <v>2</v>
      </c>
    </row>
    <row r="4" spans="1:13" s="1" customFormat="1" ht="21" customHeight="1" thickBot="1">
      <c r="A4" s="47"/>
      <c r="B4" s="52"/>
      <c r="C4" s="49"/>
      <c r="D4" s="49"/>
      <c r="E4" s="49"/>
      <c r="F4" s="49"/>
      <c r="G4" s="4">
        <v>1</v>
      </c>
      <c r="H4" s="4">
        <v>2</v>
      </c>
      <c r="I4" s="4">
        <v>3</v>
      </c>
      <c r="J4" s="4" t="s">
        <v>4</v>
      </c>
      <c r="K4" s="49"/>
      <c r="L4" s="49"/>
      <c r="M4" s="54"/>
    </row>
    <row r="5" spans="1:13" ht="16">
      <c r="A5" s="55" t="s">
        <v>95</v>
      </c>
      <c r="B5" s="55"/>
      <c r="C5" s="56"/>
      <c r="D5" s="56"/>
      <c r="E5" s="56"/>
      <c r="F5" s="56"/>
      <c r="G5" s="56"/>
      <c r="H5" s="56"/>
      <c r="I5" s="56"/>
      <c r="J5" s="56"/>
    </row>
    <row r="6" spans="1:13">
      <c r="A6" s="12" t="s">
        <v>55</v>
      </c>
      <c r="B6" s="11" t="s">
        <v>198</v>
      </c>
      <c r="C6" s="11" t="s">
        <v>199</v>
      </c>
      <c r="D6" s="11" t="s">
        <v>200</v>
      </c>
      <c r="E6" s="11" t="str">
        <f>"0,6181"</f>
        <v>0,6181</v>
      </c>
      <c r="F6" s="11" t="s">
        <v>16</v>
      </c>
      <c r="G6" s="24" t="s">
        <v>201</v>
      </c>
      <c r="H6" s="24" t="s">
        <v>115</v>
      </c>
      <c r="I6" s="24" t="s">
        <v>202</v>
      </c>
      <c r="J6" s="12"/>
      <c r="K6" s="12" t="str">
        <f>"292,5"</f>
        <v>292,5</v>
      </c>
      <c r="L6" s="12" t="str">
        <f>"180,7942"</f>
        <v>180,7942</v>
      </c>
      <c r="M6" s="32" t="s">
        <v>246</v>
      </c>
    </row>
    <row r="7" spans="1:13">
      <c r="A7" s="16" t="s">
        <v>57</v>
      </c>
      <c r="B7" s="15" t="s">
        <v>203</v>
      </c>
      <c r="C7" s="15" t="s">
        <v>204</v>
      </c>
      <c r="D7" s="15" t="s">
        <v>205</v>
      </c>
      <c r="E7" s="15" t="str">
        <f>"0,6238"</f>
        <v>0,6238</v>
      </c>
      <c r="F7" s="15" t="s">
        <v>206</v>
      </c>
      <c r="G7" s="29" t="s">
        <v>48</v>
      </c>
      <c r="H7" s="29" t="s">
        <v>103</v>
      </c>
      <c r="I7" s="28" t="s">
        <v>207</v>
      </c>
      <c r="J7" s="16"/>
      <c r="K7" s="16" t="str">
        <f>"230,0"</f>
        <v>230,0</v>
      </c>
      <c r="L7" s="16" t="str">
        <f>"143,4855"</f>
        <v>143,4855</v>
      </c>
      <c r="M7" s="15" t="s">
        <v>121</v>
      </c>
    </row>
    <row r="8" spans="1:13">
      <c r="B8" s="7" t="s">
        <v>56</v>
      </c>
    </row>
    <row r="9" spans="1:13" ht="16">
      <c r="A9" s="57" t="s">
        <v>25</v>
      </c>
      <c r="B9" s="57"/>
      <c r="C9" s="57"/>
      <c r="D9" s="57"/>
      <c r="E9" s="57"/>
      <c r="F9" s="57"/>
      <c r="G9" s="57"/>
      <c r="H9" s="57"/>
      <c r="I9" s="57"/>
      <c r="J9" s="57"/>
    </row>
    <row r="10" spans="1:13">
      <c r="A10" s="10" t="s">
        <v>55</v>
      </c>
      <c r="B10" s="9" t="s">
        <v>176</v>
      </c>
      <c r="C10" s="9" t="s">
        <v>177</v>
      </c>
      <c r="D10" s="9" t="s">
        <v>178</v>
      </c>
      <c r="E10" s="9" t="str">
        <f>"0,5878"</f>
        <v>0,5878</v>
      </c>
      <c r="F10" s="9" t="s">
        <v>74</v>
      </c>
      <c r="G10" s="22" t="s">
        <v>103</v>
      </c>
      <c r="H10" s="22" t="s">
        <v>126</v>
      </c>
      <c r="I10" s="22" t="s">
        <v>208</v>
      </c>
      <c r="J10" s="10"/>
      <c r="K10" s="10" t="str">
        <f>"245,0"</f>
        <v>245,0</v>
      </c>
      <c r="L10" s="10" t="str">
        <f>"143,9988"</f>
        <v>143,9988</v>
      </c>
      <c r="M10" s="9" t="s">
        <v>121</v>
      </c>
    </row>
    <row r="11" spans="1:13">
      <c r="B11" s="7" t="s">
        <v>56</v>
      </c>
    </row>
  </sheetData>
  <mergeCells count="13">
    <mergeCell ref="A9:J9"/>
    <mergeCell ref="B3:B4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M9"/>
  <sheetViews>
    <sheetView workbookViewId="0">
      <selection sqref="A1:M2"/>
    </sheetView>
  </sheetViews>
  <sheetFormatPr baseColWidth="10" defaultColWidth="9.1640625" defaultRowHeight="13"/>
  <cols>
    <col min="1" max="1" width="7.5" style="7" bestFit="1" customWidth="1"/>
    <col min="2" max="2" width="15.33203125" style="7" bestFit="1" customWidth="1"/>
    <col min="3" max="3" width="27.5" style="7" bestFit="1" customWidth="1"/>
    <col min="4" max="4" width="21.5" style="7" bestFit="1" customWidth="1"/>
    <col min="5" max="5" width="10.5" style="7" bestFit="1" customWidth="1"/>
    <col min="6" max="6" width="34" style="7" bestFit="1" customWidth="1"/>
    <col min="7" max="10" width="7" style="8" customWidth="1"/>
    <col min="11" max="11" width="11.1640625" style="8" customWidth="1"/>
    <col min="12" max="12" width="8.5" style="8" bestFit="1" customWidth="1"/>
    <col min="13" max="13" width="23.5" style="7" customWidth="1"/>
    <col min="14" max="16384" width="9.1640625" style="3"/>
  </cols>
  <sheetData>
    <row r="1" spans="1:13" s="2" customFormat="1" ht="29" customHeight="1">
      <c r="A1" s="38" t="s">
        <v>270</v>
      </c>
      <c r="B1" s="39"/>
      <c r="C1" s="40"/>
      <c r="D1" s="40"/>
      <c r="E1" s="40"/>
      <c r="F1" s="40"/>
      <c r="G1" s="40"/>
      <c r="H1" s="40"/>
      <c r="I1" s="40"/>
      <c r="J1" s="40"/>
      <c r="K1" s="40"/>
      <c r="L1" s="40"/>
      <c r="M1" s="41"/>
    </row>
    <row r="2" spans="1:13" s="2" customFormat="1" ht="62" customHeight="1" thickBot="1">
      <c r="A2" s="42"/>
      <c r="B2" s="43"/>
      <c r="C2" s="44"/>
      <c r="D2" s="44"/>
      <c r="E2" s="44"/>
      <c r="F2" s="44"/>
      <c r="G2" s="44"/>
      <c r="H2" s="44"/>
      <c r="I2" s="44"/>
      <c r="J2" s="44"/>
      <c r="K2" s="44"/>
      <c r="L2" s="44"/>
      <c r="M2" s="45"/>
    </row>
    <row r="3" spans="1:13" s="1" customFormat="1" ht="12.75" customHeight="1">
      <c r="A3" s="46" t="s">
        <v>58</v>
      </c>
      <c r="B3" s="51" t="s">
        <v>0</v>
      </c>
      <c r="C3" s="48" t="s">
        <v>5</v>
      </c>
      <c r="D3" s="48" t="s">
        <v>7</v>
      </c>
      <c r="E3" s="50" t="s">
        <v>8</v>
      </c>
      <c r="F3" s="50" t="s">
        <v>6</v>
      </c>
      <c r="G3" s="50" t="s">
        <v>11</v>
      </c>
      <c r="H3" s="50"/>
      <c r="I3" s="50"/>
      <c r="J3" s="50"/>
      <c r="K3" s="50" t="s">
        <v>143</v>
      </c>
      <c r="L3" s="50" t="s">
        <v>3</v>
      </c>
      <c r="M3" s="53" t="s">
        <v>2</v>
      </c>
    </row>
    <row r="4" spans="1:13" s="1" customFormat="1" ht="21" customHeight="1" thickBot="1">
      <c r="A4" s="47"/>
      <c r="B4" s="52"/>
      <c r="C4" s="49"/>
      <c r="D4" s="49"/>
      <c r="E4" s="49"/>
      <c r="F4" s="49"/>
      <c r="G4" s="4">
        <v>1</v>
      </c>
      <c r="H4" s="4">
        <v>2</v>
      </c>
      <c r="I4" s="4">
        <v>3</v>
      </c>
      <c r="J4" s="4" t="s">
        <v>4</v>
      </c>
      <c r="K4" s="49"/>
      <c r="L4" s="49"/>
      <c r="M4" s="54"/>
    </row>
    <row r="5" spans="1:13" ht="16">
      <c r="A5" s="55" t="s">
        <v>25</v>
      </c>
      <c r="B5" s="55"/>
      <c r="C5" s="56"/>
      <c r="D5" s="56"/>
      <c r="E5" s="56"/>
      <c r="F5" s="56"/>
      <c r="G5" s="56"/>
      <c r="H5" s="56"/>
      <c r="I5" s="56"/>
      <c r="J5" s="56"/>
    </row>
    <row r="6" spans="1:13">
      <c r="A6" s="12" t="s">
        <v>55</v>
      </c>
      <c r="B6" s="11" t="s">
        <v>26</v>
      </c>
      <c r="C6" s="11" t="s">
        <v>27</v>
      </c>
      <c r="D6" s="11" t="s">
        <v>28</v>
      </c>
      <c r="E6" s="11" t="str">
        <f>"0,5902"</f>
        <v>0,5902</v>
      </c>
      <c r="F6" s="11" t="s">
        <v>29</v>
      </c>
      <c r="G6" s="24" t="s">
        <v>36</v>
      </c>
      <c r="H6" s="25" t="s">
        <v>37</v>
      </c>
      <c r="I6" s="25" t="s">
        <v>37</v>
      </c>
      <c r="J6" s="12"/>
      <c r="K6" s="12" t="str">
        <f>"250,0"</f>
        <v>250,0</v>
      </c>
      <c r="L6" s="12" t="str">
        <f>"147,5500"</f>
        <v>147,5500</v>
      </c>
      <c r="M6" s="11" t="s">
        <v>38</v>
      </c>
    </row>
    <row r="7" spans="1:13">
      <c r="A7" s="14" t="s">
        <v>57</v>
      </c>
      <c r="B7" s="13" t="s">
        <v>195</v>
      </c>
      <c r="C7" s="13" t="s">
        <v>196</v>
      </c>
      <c r="D7" s="13" t="s">
        <v>197</v>
      </c>
      <c r="E7" s="13" t="str">
        <f>"0,5831"</f>
        <v>0,5831</v>
      </c>
      <c r="F7" s="13" t="s">
        <v>16</v>
      </c>
      <c r="G7" s="26" t="s">
        <v>103</v>
      </c>
      <c r="H7" s="26" t="s">
        <v>126</v>
      </c>
      <c r="I7" s="26" t="s">
        <v>36</v>
      </c>
      <c r="J7" s="14"/>
      <c r="K7" s="14" t="str">
        <f>"250,0"</f>
        <v>250,0</v>
      </c>
      <c r="L7" s="14" t="str">
        <f>"145,7625"</f>
        <v>145,7625</v>
      </c>
      <c r="M7" s="33" t="s">
        <v>250</v>
      </c>
    </row>
    <row r="8" spans="1:13">
      <c r="A8" s="16" t="s">
        <v>55</v>
      </c>
      <c r="B8" s="15" t="s">
        <v>26</v>
      </c>
      <c r="C8" s="15" t="s">
        <v>39</v>
      </c>
      <c r="D8" s="15" t="s">
        <v>28</v>
      </c>
      <c r="E8" s="15" t="str">
        <f>"0,5902"</f>
        <v>0,5902</v>
      </c>
      <c r="F8" s="15" t="s">
        <v>29</v>
      </c>
      <c r="G8" s="29" t="s">
        <v>36</v>
      </c>
      <c r="H8" s="28" t="s">
        <v>37</v>
      </c>
      <c r="I8" s="28" t="s">
        <v>37</v>
      </c>
      <c r="J8" s="16"/>
      <c r="K8" s="16" t="str">
        <f>"250,0"</f>
        <v>250,0</v>
      </c>
      <c r="L8" s="16" t="str">
        <f>"150,5010"</f>
        <v>150,5010</v>
      </c>
      <c r="M8" s="15" t="s">
        <v>38</v>
      </c>
    </row>
    <row r="9" spans="1:13">
      <c r="B9" s="7" t="s">
        <v>56</v>
      </c>
    </row>
  </sheetData>
  <mergeCells count="12">
    <mergeCell ref="A5:J5"/>
    <mergeCell ref="B3:B4"/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M16"/>
  <sheetViews>
    <sheetView workbookViewId="0">
      <selection sqref="A1:M2"/>
    </sheetView>
  </sheetViews>
  <sheetFormatPr baseColWidth="10" defaultColWidth="9.1640625" defaultRowHeight="13"/>
  <cols>
    <col min="1" max="1" width="7.5" style="7" bestFit="1" customWidth="1"/>
    <col min="2" max="2" width="22.6640625" style="7" customWidth="1"/>
    <col min="3" max="3" width="28.5" style="7" bestFit="1" customWidth="1"/>
    <col min="4" max="4" width="21.5" style="7" bestFit="1" customWidth="1"/>
    <col min="5" max="5" width="10.5" style="7" bestFit="1" customWidth="1"/>
    <col min="6" max="6" width="29.1640625" style="7" bestFit="1" customWidth="1"/>
    <col min="7" max="10" width="6.5" style="8" customWidth="1"/>
    <col min="11" max="11" width="13.6640625" style="8" customWidth="1"/>
    <col min="12" max="12" width="10" style="8" customWidth="1"/>
    <col min="13" max="13" width="21.6640625" style="7" customWidth="1"/>
    <col min="14" max="16384" width="9.1640625" style="3"/>
  </cols>
  <sheetData>
    <row r="1" spans="1:13" s="2" customFormat="1" ht="29" customHeight="1">
      <c r="A1" s="38" t="s">
        <v>261</v>
      </c>
      <c r="B1" s="39"/>
      <c r="C1" s="40"/>
      <c r="D1" s="40"/>
      <c r="E1" s="40"/>
      <c r="F1" s="40"/>
      <c r="G1" s="40"/>
      <c r="H1" s="40"/>
      <c r="I1" s="40"/>
      <c r="J1" s="40"/>
      <c r="K1" s="40"/>
      <c r="L1" s="40"/>
      <c r="M1" s="41"/>
    </row>
    <row r="2" spans="1:13" s="2" customFormat="1" ht="62" customHeight="1" thickBot="1">
      <c r="A2" s="42"/>
      <c r="B2" s="43"/>
      <c r="C2" s="44"/>
      <c r="D2" s="44"/>
      <c r="E2" s="44"/>
      <c r="F2" s="44"/>
      <c r="G2" s="44"/>
      <c r="H2" s="44"/>
      <c r="I2" s="44"/>
      <c r="J2" s="44"/>
      <c r="K2" s="44"/>
      <c r="L2" s="44"/>
      <c r="M2" s="45"/>
    </row>
    <row r="3" spans="1:13" s="1" customFormat="1" ht="12.75" customHeight="1">
      <c r="A3" s="46" t="s">
        <v>58</v>
      </c>
      <c r="B3" s="51" t="s">
        <v>0</v>
      </c>
      <c r="C3" s="48" t="s">
        <v>5</v>
      </c>
      <c r="D3" s="48" t="s">
        <v>7</v>
      </c>
      <c r="E3" s="50" t="s">
        <v>8</v>
      </c>
      <c r="F3" s="50" t="s">
        <v>6</v>
      </c>
      <c r="G3" s="50" t="s">
        <v>214</v>
      </c>
      <c r="H3" s="50"/>
      <c r="I3" s="50"/>
      <c r="J3" s="50"/>
      <c r="K3" s="50" t="s">
        <v>143</v>
      </c>
      <c r="L3" s="50" t="s">
        <v>3</v>
      </c>
      <c r="M3" s="53" t="s">
        <v>2</v>
      </c>
    </row>
    <row r="4" spans="1:13" s="1" customFormat="1" ht="21" customHeight="1" thickBot="1">
      <c r="A4" s="47"/>
      <c r="B4" s="52"/>
      <c r="C4" s="49"/>
      <c r="D4" s="49"/>
      <c r="E4" s="49"/>
      <c r="F4" s="49"/>
      <c r="G4" s="4">
        <v>1</v>
      </c>
      <c r="H4" s="4">
        <v>2</v>
      </c>
      <c r="I4" s="4">
        <v>3</v>
      </c>
      <c r="J4" s="4" t="s">
        <v>4</v>
      </c>
      <c r="K4" s="49"/>
      <c r="L4" s="49"/>
      <c r="M4" s="54"/>
    </row>
    <row r="5" spans="1:13" ht="16">
      <c r="A5" s="55" t="s">
        <v>144</v>
      </c>
      <c r="B5" s="55"/>
      <c r="C5" s="56"/>
      <c r="D5" s="56"/>
      <c r="E5" s="56"/>
      <c r="F5" s="56"/>
      <c r="G5" s="56"/>
      <c r="H5" s="56"/>
      <c r="I5" s="56"/>
      <c r="J5" s="56"/>
    </row>
    <row r="6" spans="1:13">
      <c r="A6" s="12" t="s">
        <v>55</v>
      </c>
      <c r="B6" s="11" t="s">
        <v>145</v>
      </c>
      <c r="C6" s="11" t="s">
        <v>146</v>
      </c>
      <c r="D6" s="11" t="s">
        <v>147</v>
      </c>
      <c r="E6" s="11" t="str">
        <f>"1,1076"</f>
        <v>1,1076</v>
      </c>
      <c r="F6" s="11" t="s">
        <v>148</v>
      </c>
      <c r="G6" s="24" t="s">
        <v>215</v>
      </c>
      <c r="H6" s="24" t="s">
        <v>75</v>
      </c>
      <c r="I6" s="24" t="s">
        <v>216</v>
      </c>
      <c r="J6" s="25" t="s">
        <v>210</v>
      </c>
      <c r="K6" s="12" t="str">
        <f>"33,5"</f>
        <v>33,5</v>
      </c>
      <c r="L6" s="12" t="str">
        <f>"37,1046"</f>
        <v>37,1046</v>
      </c>
      <c r="M6" s="32" t="s">
        <v>244</v>
      </c>
    </row>
    <row r="7" spans="1:13">
      <c r="A7" s="16" t="s">
        <v>55</v>
      </c>
      <c r="B7" s="15" t="s">
        <v>145</v>
      </c>
      <c r="C7" s="15" t="s">
        <v>150</v>
      </c>
      <c r="D7" s="15" t="s">
        <v>147</v>
      </c>
      <c r="E7" s="15" t="str">
        <f>"1,1076"</f>
        <v>1,1076</v>
      </c>
      <c r="F7" s="15" t="s">
        <v>148</v>
      </c>
      <c r="G7" s="29" t="s">
        <v>215</v>
      </c>
      <c r="H7" s="29" t="s">
        <v>75</v>
      </c>
      <c r="I7" s="29" t="s">
        <v>216</v>
      </c>
      <c r="J7" s="28" t="s">
        <v>210</v>
      </c>
      <c r="K7" s="16" t="str">
        <f>"33,5"</f>
        <v>33,5</v>
      </c>
      <c r="L7" s="16" t="str">
        <f>"37,4756"</f>
        <v>37,4756</v>
      </c>
      <c r="M7" s="31" t="s">
        <v>244</v>
      </c>
    </row>
    <row r="8" spans="1:13">
      <c r="B8" s="7" t="s">
        <v>56</v>
      </c>
    </row>
    <row r="9" spans="1:13" ht="16">
      <c r="A9" s="57" t="s">
        <v>95</v>
      </c>
      <c r="B9" s="57"/>
      <c r="C9" s="57"/>
      <c r="D9" s="57"/>
      <c r="E9" s="57"/>
      <c r="F9" s="57"/>
      <c r="G9" s="57"/>
      <c r="H9" s="57"/>
      <c r="I9" s="57"/>
      <c r="J9" s="57"/>
    </row>
    <row r="10" spans="1:13">
      <c r="A10" s="10" t="s">
        <v>55</v>
      </c>
      <c r="B10" s="9" t="s">
        <v>203</v>
      </c>
      <c r="C10" s="9" t="s">
        <v>204</v>
      </c>
      <c r="D10" s="9" t="s">
        <v>205</v>
      </c>
      <c r="E10" s="9" t="str">
        <f>"0,6238"</f>
        <v>0,6238</v>
      </c>
      <c r="F10" s="9" t="s">
        <v>206</v>
      </c>
      <c r="G10" s="22" t="s">
        <v>63</v>
      </c>
      <c r="H10" s="23" t="s">
        <v>217</v>
      </c>
      <c r="I10" s="23" t="s">
        <v>217</v>
      </c>
      <c r="J10" s="10"/>
      <c r="K10" s="10" t="str">
        <f>"55,0"</f>
        <v>55,0</v>
      </c>
      <c r="L10" s="10" t="str">
        <f>"34,3117"</f>
        <v>34,3117</v>
      </c>
      <c r="M10" s="9" t="s">
        <v>121</v>
      </c>
    </row>
    <row r="11" spans="1:13">
      <c r="B11" s="7" t="s">
        <v>56</v>
      </c>
    </row>
    <row r="12" spans="1:13" ht="16">
      <c r="A12" s="57" t="s">
        <v>25</v>
      </c>
      <c r="B12" s="57"/>
      <c r="C12" s="57"/>
      <c r="D12" s="57"/>
      <c r="E12" s="57"/>
      <c r="F12" s="57"/>
      <c r="G12" s="57"/>
      <c r="H12" s="57"/>
      <c r="I12" s="57"/>
      <c r="J12" s="57"/>
    </row>
    <row r="13" spans="1:13">
      <c r="A13" s="12" t="s">
        <v>55</v>
      </c>
      <c r="B13" s="11" t="s">
        <v>211</v>
      </c>
      <c r="C13" s="11" t="s">
        <v>212</v>
      </c>
      <c r="D13" s="11" t="s">
        <v>213</v>
      </c>
      <c r="E13" s="11" t="str">
        <f>"0,5823"</f>
        <v>0,5823</v>
      </c>
      <c r="F13" s="11" t="s">
        <v>148</v>
      </c>
      <c r="G13" s="25" t="s">
        <v>63</v>
      </c>
      <c r="H13" s="24" t="s">
        <v>218</v>
      </c>
      <c r="I13" s="25" t="s">
        <v>64</v>
      </c>
      <c r="J13" s="12"/>
      <c r="K13" s="12" t="str">
        <f>"60,5"</f>
        <v>60,5</v>
      </c>
      <c r="L13" s="12" t="str">
        <f>"35,2292"</f>
        <v>35,2292</v>
      </c>
      <c r="M13" s="11" t="s">
        <v>121</v>
      </c>
    </row>
    <row r="14" spans="1:13">
      <c r="A14" s="16" t="s">
        <v>55</v>
      </c>
      <c r="B14" s="15" t="s">
        <v>211</v>
      </c>
      <c r="C14" s="15" t="s">
        <v>255</v>
      </c>
      <c r="D14" s="15" t="s">
        <v>213</v>
      </c>
      <c r="E14" s="15" t="str">
        <f>"0,5823"</f>
        <v>0,5823</v>
      </c>
      <c r="F14" s="15" t="s">
        <v>148</v>
      </c>
      <c r="G14" s="28" t="s">
        <v>63</v>
      </c>
      <c r="H14" s="29" t="s">
        <v>218</v>
      </c>
      <c r="I14" s="28" t="s">
        <v>64</v>
      </c>
      <c r="J14" s="16"/>
      <c r="K14" s="16" t="str">
        <f>"60,5"</f>
        <v>60,5</v>
      </c>
      <c r="L14" s="16" t="str">
        <f>"40,4078"</f>
        <v>40,4078</v>
      </c>
      <c r="M14" s="15" t="s">
        <v>121</v>
      </c>
    </row>
    <row r="15" spans="1:13">
      <c r="B15" s="7" t="s">
        <v>56</v>
      </c>
    </row>
    <row r="16" spans="1:13">
      <c r="B16" s="7" t="s">
        <v>56</v>
      </c>
    </row>
  </sheetData>
  <mergeCells count="14">
    <mergeCell ref="A9:J9"/>
    <mergeCell ref="A12:J12"/>
    <mergeCell ref="B3:B4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M8"/>
  <sheetViews>
    <sheetView workbookViewId="0">
      <selection sqref="A1:M2"/>
    </sheetView>
  </sheetViews>
  <sheetFormatPr baseColWidth="10" defaultColWidth="9.1640625" defaultRowHeight="13"/>
  <cols>
    <col min="1" max="1" width="7.5" style="7" bestFit="1" customWidth="1"/>
    <col min="2" max="2" width="20.1640625" style="7" bestFit="1" customWidth="1"/>
    <col min="3" max="3" width="26.33203125" style="7" bestFit="1" customWidth="1"/>
    <col min="4" max="4" width="21.5" style="7" bestFit="1" customWidth="1"/>
    <col min="5" max="5" width="10.5" style="7" bestFit="1" customWidth="1"/>
    <col min="6" max="6" width="30.5" style="7" bestFit="1" customWidth="1"/>
    <col min="7" max="10" width="6.6640625" style="8" customWidth="1"/>
    <col min="11" max="11" width="14.33203125" style="8" customWidth="1"/>
    <col min="12" max="12" width="10.5" style="8" customWidth="1"/>
    <col min="13" max="13" width="15.5" style="7" bestFit="1" customWidth="1"/>
    <col min="14" max="16384" width="9.1640625" style="3"/>
  </cols>
  <sheetData>
    <row r="1" spans="1:13" s="2" customFormat="1" ht="29" customHeight="1">
      <c r="A1" s="38" t="s">
        <v>262</v>
      </c>
      <c r="B1" s="39"/>
      <c r="C1" s="40"/>
      <c r="D1" s="40"/>
      <c r="E1" s="40"/>
      <c r="F1" s="40"/>
      <c r="G1" s="40"/>
      <c r="H1" s="40"/>
      <c r="I1" s="40"/>
      <c r="J1" s="40"/>
      <c r="K1" s="40"/>
      <c r="L1" s="40"/>
      <c r="M1" s="41"/>
    </row>
    <row r="2" spans="1:13" s="2" customFormat="1" ht="62" customHeight="1" thickBot="1">
      <c r="A2" s="42"/>
      <c r="B2" s="43"/>
      <c r="C2" s="44"/>
      <c r="D2" s="44"/>
      <c r="E2" s="44"/>
      <c r="F2" s="44"/>
      <c r="G2" s="44"/>
      <c r="H2" s="44"/>
      <c r="I2" s="44"/>
      <c r="J2" s="44"/>
      <c r="K2" s="44"/>
      <c r="L2" s="44"/>
      <c r="M2" s="45"/>
    </row>
    <row r="3" spans="1:13" s="1" customFormat="1" ht="12.75" customHeight="1">
      <c r="A3" s="46" t="s">
        <v>58</v>
      </c>
      <c r="B3" s="51" t="s">
        <v>0</v>
      </c>
      <c r="C3" s="48" t="s">
        <v>5</v>
      </c>
      <c r="D3" s="48" t="s">
        <v>7</v>
      </c>
      <c r="E3" s="50" t="s">
        <v>8</v>
      </c>
      <c r="F3" s="50" t="s">
        <v>6</v>
      </c>
      <c r="G3" s="50" t="s">
        <v>214</v>
      </c>
      <c r="H3" s="50"/>
      <c r="I3" s="50"/>
      <c r="J3" s="50"/>
      <c r="K3" s="50" t="s">
        <v>143</v>
      </c>
      <c r="L3" s="50" t="s">
        <v>3</v>
      </c>
      <c r="M3" s="53" t="s">
        <v>2</v>
      </c>
    </row>
    <row r="4" spans="1:13" s="1" customFormat="1" ht="21" customHeight="1" thickBot="1">
      <c r="A4" s="47"/>
      <c r="B4" s="52"/>
      <c r="C4" s="49"/>
      <c r="D4" s="49"/>
      <c r="E4" s="49"/>
      <c r="F4" s="49"/>
      <c r="G4" s="4">
        <v>1</v>
      </c>
      <c r="H4" s="4">
        <v>2</v>
      </c>
      <c r="I4" s="4">
        <v>3</v>
      </c>
      <c r="J4" s="4" t="s">
        <v>4</v>
      </c>
      <c r="K4" s="49"/>
      <c r="L4" s="49"/>
      <c r="M4" s="54"/>
    </row>
    <row r="5" spans="1:13" ht="16">
      <c r="A5" s="55" t="s">
        <v>25</v>
      </c>
      <c r="B5" s="55"/>
      <c r="C5" s="56"/>
      <c r="D5" s="56"/>
      <c r="E5" s="56"/>
      <c r="F5" s="56"/>
      <c r="G5" s="56"/>
      <c r="H5" s="56"/>
      <c r="I5" s="56"/>
      <c r="J5" s="56"/>
    </row>
    <row r="6" spans="1:13">
      <c r="A6" s="10" t="s">
        <v>55</v>
      </c>
      <c r="B6" s="9" t="s">
        <v>137</v>
      </c>
      <c r="C6" s="9" t="s">
        <v>138</v>
      </c>
      <c r="D6" s="9" t="s">
        <v>139</v>
      </c>
      <c r="E6" s="9" t="str">
        <f>"0,6000"</f>
        <v>0,6000</v>
      </c>
      <c r="F6" s="9" t="s">
        <v>140</v>
      </c>
      <c r="G6" s="22" t="s">
        <v>64</v>
      </c>
      <c r="H6" s="22" t="s">
        <v>67</v>
      </c>
      <c r="I6" s="22" t="s">
        <v>209</v>
      </c>
      <c r="J6" s="10"/>
      <c r="K6" s="10" t="str">
        <f>"75,0"</f>
        <v>75,0</v>
      </c>
      <c r="L6" s="10" t="str">
        <f>"44,9963"</f>
        <v>44,9963</v>
      </c>
      <c r="M6" s="9" t="s">
        <v>121</v>
      </c>
    </row>
    <row r="7" spans="1:13">
      <c r="B7" s="7" t="s">
        <v>56</v>
      </c>
    </row>
    <row r="8" spans="1:13">
      <c r="B8" s="7" t="s">
        <v>56</v>
      </c>
    </row>
  </sheetData>
  <mergeCells count="12">
    <mergeCell ref="A5:J5"/>
    <mergeCell ref="B3:B4"/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M8"/>
  <sheetViews>
    <sheetView zoomScaleNormal="100" workbookViewId="0">
      <selection sqref="A1:M2"/>
    </sheetView>
  </sheetViews>
  <sheetFormatPr baseColWidth="10" defaultColWidth="9.1640625" defaultRowHeight="13"/>
  <cols>
    <col min="1" max="1" width="7.5" style="7" bestFit="1" customWidth="1"/>
    <col min="2" max="2" width="17.6640625" style="7" bestFit="1" customWidth="1"/>
    <col min="3" max="3" width="26.33203125" style="7" bestFit="1" customWidth="1"/>
    <col min="4" max="4" width="21.5" style="7" bestFit="1" customWidth="1"/>
    <col min="5" max="5" width="10.5" style="7" bestFit="1" customWidth="1"/>
    <col min="6" max="6" width="17.33203125" style="7" bestFit="1" customWidth="1"/>
    <col min="7" max="9" width="5.5" style="8" customWidth="1"/>
    <col min="10" max="10" width="4.83203125" style="8" customWidth="1"/>
    <col min="11" max="11" width="12.6640625" style="8" customWidth="1"/>
    <col min="12" max="12" width="8.5" style="8" bestFit="1" customWidth="1"/>
    <col min="13" max="13" width="23" style="7" customWidth="1"/>
    <col min="14" max="16384" width="9.1640625" style="3"/>
  </cols>
  <sheetData>
    <row r="1" spans="1:13" s="2" customFormat="1" ht="29" customHeight="1">
      <c r="A1" s="38" t="s">
        <v>272</v>
      </c>
      <c r="B1" s="39"/>
      <c r="C1" s="40"/>
      <c r="D1" s="40"/>
      <c r="E1" s="40"/>
      <c r="F1" s="40"/>
      <c r="G1" s="40"/>
      <c r="H1" s="40"/>
      <c r="I1" s="40"/>
      <c r="J1" s="40"/>
      <c r="K1" s="40"/>
      <c r="L1" s="40"/>
      <c r="M1" s="41"/>
    </row>
    <row r="2" spans="1:13" s="2" customFormat="1" ht="62" customHeight="1">
      <c r="A2" s="61"/>
      <c r="B2" s="62"/>
      <c r="C2" s="63"/>
      <c r="D2" s="63"/>
      <c r="E2" s="63"/>
      <c r="F2" s="63"/>
      <c r="G2" s="63"/>
      <c r="H2" s="63"/>
      <c r="I2" s="63"/>
      <c r="J2" s="63"/>
      <c r="K2" s="63"/>
      <c r="L2" s="63"/>
      <c r="M2" s="64"/>
    </row>
    <row r="3" spans="1:13" s="1" customFormat="1" ht="12.75" customHeight="1">
      <c r="A3" s="65" t="s">
        <v>58</v>
      </c>
      <c r="B3" s="68" t="s">
        <v>0</v>
      </c>
      <c r="C3" s="66" t="s">
        <v>5</v>
      </c>
      <c r="D3" s="66" t="s">
        <v>7</v>
      </c>
      <c r="E3" s="67" t="s">
        <v>236</v>
      </c>
      <c r="F3" s="67" t="s">
        <v>6</v>
      </c>
      <c r="G3" s="67" t="s">
        <v>10</v>
      </c>
      <c r="H3" s="67"/>
      <c r="I3" s="67"/>
      <c r="J3" s="67"/>
      <c r="K3" s="67" t="s">
        <v>143</v>
      </c>
      <c r="L3" s="67" t="s">
        <v>3</v>
      </c>
      <c r="M3" s="60" t="s">
        <v>2</v>
      </c>
    </row>
    <row r="4" spans="1:13" s="1" customFormat="1" ht="21" customHeight="1" thickBot="1">
      <c r="A4" s="47"/>
      <c r="B4" s="52"/>
      <c r="C4" s="49"/>
      <c r="D4" s="49"/>
      <c r="E4" s="49"/>
      <c r="F4" s="49"/>
      <c r="G4" s="4">
        <v>1</v>
      </c>
      <c r="H4" s="4">
        <v>2</v>
      </c>
      <c r="I4" s="4">
        <v>3</v>
      </c>
      <c r="J4" s="4" t="s">
        <v>4</v>
      </c>
      <c r="K4" s="49"/>
      <c r="L4" s="49"/>
      <c r="M4" s="54"/>
    </row>
    <row r="5" spans="1:13" ht="16">
      <c r="A5" s="55" t="s">
        <v>25</v>
      </c>
      <c r="B5" s="55"/>
      <c r="C5" s="56"/>
      <c r="D5" s="56"/>
      <c r="E5" s="56"/>
      <c r="F5" s="56"/>
      <c r="G5" s="56"/>
      <c r="H5" s="56"/>
      <c r="I5" s="56"/>
      <c r="J5" s="56"/>
    </row>
    <row r="6" spans="1:13">
      <c r="A6" s="10" t="s">
        <v>55</v>
      </c>
      <c r="B6" s="9" t="s">
        <v>179</v>
      </c>
      <c r="C6" s="9" t="s">
        <v>237</v>
      </c>
      <c r="D6" s="9" t="s">
        <v>238</v>
      </c>
      <c r="E6" s="9" t="str">
        <f>"0,6298"</f>
        <v>0,6298</v>
      </c>
      <c r="F6" s="9" t="s">
        <v>239</v>
      </c>
      <c r="G6" s="22" t="s">
        <v>175</v>
      </c>
      <c r="H6" s="22" t="s">
        <v>240</v>
      </c>
      <c r="I6" s="23" t="s">
        <v>118</v>
      </c>
      <c r="J6" s="10"/>
      <c r="K6" s="10" t="str">
        <f>"177,5"</f>
        <v>177,5</v>
      </c>
      <c r="L6" s="10" t="str">
        <f>"111,7895"</f>
        <v>111,7895</v>
      </c>
      <c r="M6" s="9" t="s">
        <v>121</v>
      </c>
    </row>
    <row r="7" spans="1:13">
      <c r="B7" s="7" t="s">
        <v>56</v>
      </c>
    </row>
    <row r="8" spans="1:13">
      <c r="B8" s="7" t="s">
        <v>56</v>
      </c>
    </row>
  </sheetData>
  <mergeCells count="12">
    <mergeCell ref="A5:J5"/>
    <mergeCell ref="B3:B4"/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  <pageSetup paperSize="9" orientation="portrait" horizontalDpi="0" verticalDpi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M7"/>
  <sheetViews>
    <sheetView tabSelected="1" workbookViewId="0">
      <selection sqref="A1:M2"/>
    </sheetView>
  </sheetViews>
  <sheetFormatPr baseColWidth="10" defaultColWidth="9.1640625" defaultRowHeight="13"/>
  <cols>
    <col min="1" max="1" width="7.5" style="7" bestFit="1" customWidth="1"/>
    <col min="2" max="2" width="17.6640625" style="7" bestFit="1" customWidth="1"/>
    <col min="3" max="3" width="26.33203125" style="7" bestFit="1" customWidth="1"/>
    <col min="4" max="4" width="21.5" style="7" bestFit="1" customWidth="1"/>
    <col min="5" max="5" width="10.5" style="7" bestFit="1" customWidth="1"/>
    <col min="6" max="6" width="17.33203125" style="7" bestFit="1" customWidth="1"/>
    <col min="7" max="9" width="5.5" style="8" customWidth="1"/>
    <col min="10" max="10" width="4.83203125" style="8" customWidth="1"/>
    <col min="11" max="11" width="15.1640625" style="8" customWidth="1"/>
    <col min="12" max="12" width="7.5" style="8" bestFit="1" customWidth="1"/>
    <col min="13" max="13" width="15.5" style="7" bestFit="1" customWidth="1"/>
    <col min="14" max="16384" width="9.1640625" style="3"/>
  </cols>
  <sheetData>
    <row r="1" spans="1:13" s="2" customFormat="1" ht="29" customHeight="1">
      <c r="A1" s="38" t="s">
        <v>271</v>
      </c>
      <c r="B1" s="39"/>
      <c r="C1" s="40"/>
      <c r="D1" s="40"/>
      <c r="E1" s="40"/>
      <c r="F1" s="40"/>
      <c r="G1" s="40"/>
      <c r="H1" s="40"/>
      <c r="I1" s="40"/>
      <c r="J1" s="40"/>
      <c r="K1" s="40"/>
      <c r="L1" s="40"/>
      <c r="M1" s="41"/>
    </row>
    <row r="2" spans="1:13" s="2" customFormat="1" ht="62" customHeight="1">
      <c r="A2" s="61"/>
      <c r="B2" s="62"/>
      <c r="C2" s="63"/>
      <c r="D2" s="63"/>
      <c r="E2" s="63"/>
      <c r="F2" s="63"/>
      <c r="G2" s="63"/>
      <c r="H2" s="63"/>
      <c r="I2" s="63"/>
      <c r="J2" s="63"/>
      <c r="K2" s="63"/>
      <c r="L2" s="63"/>
      <c r="M2" s="64"/>
    </row>
    <row r="3" spans="1:13" s="1" customFormat="1" ht="12.75" customHeight="1">
      <c r="A3" s="65" t="s">
        <v>58</v>
      </c>
      <c r="B3" s="68" t="s">
        <v>0</v>
      </c>
      <c r="C3" s="66" t="s">
        <v>5</v>
      </c>
      <c r="D3" s="66" t="s">
        <v>7</v>
      </c>
      <c r="E3" s="67" t="s">
        <v>236</v>
      </c>
      <c r="F3" s="67" t="s">
        <v>6</v>
      </c>
      <c r="G3" s="67" t="s">
        <v>10</v>
      </c>
      <c r="H3" s="67"/>
      <c r="I3" s="67"/>
      <c r="J3" s="67"/>
      <c r="K3" s="67" t="s">
        <v>143</v>
      </c>
      <c r="L3" s="67" t="s">
        <v>3</v>
      </c>
      <c r="M3" s="60" t="s">
        <v>2</v>
      </c>
    </row>
    <row r="4" spans="1:13" s="1" customFormat="1" ht="21" customHeight="1" thickBot="1">
      <c r="A4" s="47"/>
      <c r="B4" s="52"/>
      <c r="C4" s="49"/>
      <c r="D4" s="49"/>
      <c r="E4" s="49"/>
      <c r="F4" s="49"/>
      <c r="G4" s="4">
        <v>1</v>
      </c>
      <c r="H4" s="4">
        <v>2</v>
      </c>
      <c r="I4" s="4">
        <v>3</v>
      </c>
      <c r="J4" s="4" t="s">
        <v>4</v>
      </c>
      <c r="K4" s="49"/>
      <c r="L4" s="49"/>
      <c r="M4" s="54"/>
    </row>
    <row r="5" spans="1:13" ht="16">
      <c r="A5" s="55" t="s">
        <v>25</v>
      </c>
      <c r="B5" s="55"/>
      <c r="C5" s="56"/>
      <c r="D5" s="56"/>
      <c r="E5" s="56"/>
      <c r="F5" s="56"/>
      <c r="G5" s="56"/>
      <c r="H5" s="56"/>
      <c r="I5" s="56"/>
      <c r="J5" s="56"/>
    </row>
    <row r="6" spans="1:13">
      <c r="A6" s="10" t="s">
        <v>55</v>
      </c>
      <c r="B6" s="9" t="s">
        <v>179</v>
      </c>
      <c r="C6" s="9" t="s">
        <v>237</v>
      </c>
      <c r="D6" s="9" t="s">
        <v>238</v>
      </c>
      <c r="E6" s="9" t="str">
        <f>"0,6298"</f>
        <v>0,6298</v>
      </c>
      <c r="F6" s="9" t="s">
        <v>239</v>
      </c>
      <c r="G6" s="22" t="s">
        <v>35</v>
      </c>
      <c r="H6" s="23" t="s">
        <v>92</v>
      </c>
      <c r="I6" s="23" t="s">
        <v>92</v>
      </c>
      <c r="J6" s="10"/>
      <c r="K6" s="10" t="str">
        <f>"152,5"</f>
        <v>152,5</v>
      </c>
      <c r="L6" s="10" t="str">
        <f>"96,0445"</f>
        <v>96,0445</v>
      </c>
      <c r="M6" s="9" t="s">
        <v>121</v>
      </c>
    </row>
    <row r="7" spans="1:13">
      <c r="B7" s="7" t="s">
        <v>56</v>
      </c>
    </row>
  </sheetData>
  <mergeCells count="12">
    <mergeCell ref="A5:J5"/>
    <mergeCell ref="B3:B4"/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5">
    <pageSetUpPr fitToPage="1"/>
  </sheetPr>
  <dimension ref="A1:U12"/>
  <sheetViews>
    <sheetView workbookViewId="0">
      <selection sqref="A1:U2"/>
    </sheetView>
  </sheetViews>
  <sheetFormatPr baseColWidth="10" defaultColWidth="9.1640625" defaultRowHeight="13"/>
  <cols>
    <col min="1" max="1" width="7.5" style="7" bestFit="1" customWidth="1"/>
    <col min="2" max="2" width="18" style="7" bestFit="1" customWidth="1"/>
    <col min="3" max="3" width="27.5" style="7" bestFit="1" customWidth="1"/>
    <col min="4" max="4" width="16.5" style="7" customWidth="1"/>
    <col min="5" max="5" width="10.5" style="7" bestFit="1" customWidth="1"/>
    <col min="6" max="6" width="34" style="7" bestFit="1" customWidth="1"/>
    <col min="7" max="9" width="5.5" style="8" customWidth="1"/>
    <col min="10" max="10" width="4.83203125" style="8" customWidth="1"/>
    <col min="11" max="13" width="5.5" style="8" customWidth="1"/>
    <col min="14" max="14" width="4.83203125" style="8" customWidth="1"/>
    <col min="15" max="17" width="5.5" style="8" customWidth="1"/>
    <col min="18" max="18" width="4.83203125" style="8" customWidth="1"/>
    <col min="19" max="19" width="7.83203125" style="8" bestFit="1" customWidth="1"/>
    <col min="20" max="20" width="8.5" style="8" bestFit="1" customWidth="1"/>
    <col min="21" max="21" width="15.5" style="7" bestFit="1" customWidth="1"/>
    <col min="22" max="16384" width="9.1640625" style="3"/>
  </cols>
  <sheetData>
    <row r="1" spans="1:21" s="2" customFormat="1" ht="29" customHeight="1">
      <c r="A1" s="38" t="s">
        <v>264</v>
      </c>
      <c r="B1" s="39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1"/>
    </row>
    <row r="2" spans="1:21" s="2" customFormat="1" ht="62" customHeight="1" thickBot="1">
      <c r="A2" s="42"/>
      <c r="B2" s="43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5"/>
    </row>
    <row r="3" spans="1:21" s="1" customFormat="1" ht="12.75" customHeight="1">
      <c r="A3" s="46" t="s">
        <v>58</v>
      </c>
      <c r="B3" s="51" t="s">
        <v>0</v>
      </c>
      <c r="C3" s="48" t="s">
        <v>5</v>
      </c>
      <c r="D3" s="48" t="s">
        <v>7</v>
      </c>
      <c r="E3" s="50" t="s">
        <v>8</v>
      </c>
      <c r="F3" s="50" t="s">
        <v>6</v>
      </c>
      <c r="G3" s="50" t="s">
        <v>9</v>
      </c>
      <c r="H3" s="50"/>
      <c r="I3" s="50"/>
      <c r="J3" s="50"/>
      <c r="K3" s="50" t="s">
        <v>10</v>
      </c>
      <c r="L3" s="50"/>
      <c r="M3" s="50"/>
      <c r="N3" s="50"/>
      <c r="O3" s="50" t="s">
        <v>11</v>
      </c>
      <c r="P3" s="50"/>
      <c r="Q3" s="50"/>
      <c r="R3" s="50"/>
      <c r="S3" s="50" t="s">
        <v>1</v>
      </c>
      <c r="T3" s="50" t="s">
        <v>3</v>
      </c>
      <c r="U3" s="53" t="s">
        <v>2</v>
      </c>
    </row>
    <row r="4" spans="1:21" s="1" customFormat="1" ht="21" customHeight="1" thickBot="1">
      <c r="A4" s="47"/>
      <c r="B4" s="52"/>
      <c r="C4" s="49"/>
      <c r="D4" s="49"/>
      <c r="E4" s="49"/>
      <c r="F4" s="49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">
        <v>1</v>
      </c>
      <c r="P4" s="4">
        <v>2</v>
      </c>
      <c r="Q4" s="4">
        <v>3</v>
      </c>
      <c r="R4" s="4" t="s">
        <v>4</v>
      </c>
      <c r="S4" s="49"/>
      <c r="T4" s="49"/>
      <c r="U4" s="54"/>
    </row>
    <row r="5" spans="1:21" ht="16">
      <c r="A5" s="55" t="s">
        <v>12</v>
      </c>
      <c r="B5" s="55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</row>
    <row r="6" spans="1:21">
      <c r="A6" s="10" t="s">
        <v>55</v>
      </c>
      <c r="B6" s="9" t="s">
        <v>13</v>
      </c>
      <c r="C6" s="9" t="s">
        <v>14</v>
      </c>
      <c r="D6" s="9" t="s">
        <v>15</v>
      </c>
      <c r="E6" s="9" t="str">
        <f>"1,0591"</f>
        <v>1,0591</v>
      </c>
      <c r="F6" s="9" t="s">
        <v>16</v>
      </c>
      <c r="G6" s="22" t="s">
        <v>17</v>
      </c>
      <c r="H6" s="22" t="s">
        <v>18</v>
      </c>
      <c r="I6" s="22" t="s">
        <v>19</v>
      </c>
      <c r="J6" s="10"/>
      <c r="K6" s="22" t="s">
        <v>20</v>
      </c>
      <c r="L6" s="23" t="s">
        <v>21</v>
      </c>
      <c r="M6" s="23" t="s">
        <v>21</v>
      </c>
      <c r="N6" s="10"/>
      <c r="O6" s="22" t="s">
        <v>22</v>
      </c>
      <c r="P6" s="22" t="s">
        <v>23</v>
      </c>
      <c r="Q6" s="22" t="s">
        <v>24</v>
      </c>
      <c r="R6" s="10"/>
      <c r="S6" s="10" t="str">
        <f>"247,5"</f>
        <v>247,5</v>
      </c>
      <c r="T6" s="10" t="str">
        <f>"262,1273"</f>
        <v>262,1273</v>
      </c>
      <c r="U6" s="30" t="s">
        <v>249</v>
      </c>
    </row>
    <row r="7" spans="1:21">
      <c r="B7" s="7" t="s">
        <v>56</v>
      </c>
    </row>
    <row r="8" spans="1:21" ht="16">
      <c r="A8" s="57" t="s">
        <v>25</v>
      </c>
      <c r="B8" s="57"/>
      <c r="C8" s="57"/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</row>
    <row r="9" spans="1:21">
      <c r="A9" s="12" t="s">
        <v>55</v>
      </c>
      <c r="B9" s="11" t="s">
        <v>26</v>
      </c>
      <c r="C9" s="11" t="s">
        <v>27</v>
      </c>
      <c r="D9" s="11" t="s">
        <v>28</v>
      </c>
      <c r="E9" s="11" t="str">
        <f>"0,5902"</f>
        <v>0,5902</v>
      </c>
      <c r="F9" s="11" t="s">
        <v>29</v>
      </c>
      <c r="G9" s="24" t="s">
        <v>30</v>
      </c>
      <c r="H9" s="24" t="s">
        <v>31</v>
      </c>
      <c r="I9" s="24" t="s">
        <v>32</v>
      </c>
      <c r="J9" s="12"/>
      <c r="K9" s="24" t="s">
        <v>33</v>
      </c>
      <c r="L9" s="24" t="s">
        <v>34</v>
      </c>
      <c r="M9" s="25" t="s">
        <v>35</v>
      </c>
      <c r="N9" s="12"/>
      <c r="O9" s="24" t="s">
        <v>36</v>
      </c>
      <c r="P9" s="25" t="s">
        <v>37</v>
      </c>
      <c r="Q9" s="25" t="s">
        <v>37</v>
      </c>
      <c r="R9" s="12"/>
      <c r="S9" s="12" t="str">
        <f>"617,5"</f>
        <v>617,5</v>
      </c>
      <c r="T9" s="12" t="str">
        <f>"364,4485"</f>
        <v>364,4485</v>
      </c>
      <c r="U9" s="11" t="s">
        <v>38</v>
      </c>
    </row>
    <row r="10" spans="1:21">
      <c r="A10" s="14" t="s">
        <v>55</v>
      </c>
      <c r="B10" s="13" t="s">
        <v>26</v>
      </c>
      <c r="C10" s="13" t="s">
        <v>39</v>
      </c>
      <c r="D10" s="13" t="s">
        <v>28</v>
      </c>
      <c r="E10" s="13" t="str">
        <f>"0,5902"</f>
        <v>0,5902</v>
      </c>
      <c r="F10" s="13" t="s">
        <v>29</v>
      </c>
      <c r="G10" s="26" t="s">
        <v>30</v>
      </c>
      <c r="H10" s="26" t="s">
        <v>31</v>
      </c>
      <c r="I10" s="26" t="s">
        <v>32</v>
      </c>
      <c r="J10" s="14"/>
      <c r="K10" s="26" t="s">
        <v>33</v>
      </c>
      <c r="L10" s="26" t="s">
        <v>34</v>
      </c>
      <c r="M10" s="27" t="s">
        <v>35</v>
      </c>
      <c r="N10" s="14"/>
      <c r="O10" s="26" t="s">
        <v>36</v>
      </c>
      <c r="P10" s="27" t="s">
        <v>37</v>
      </c>
      <c r="Q10" s="27" t="s">
        <v>37</v>
      </c>
      <c r="R10" s="14"/>
      <c r="S10" s="14" t="str">
        <f>"617,5"</f>
        <v>617,5</v>
      </c>
      <c r="T10" s="14" t="str">
        <f>"371,7375"</f>
        <v>371,7375</v>
      </c>
      <c r="U10" s="13" t="s">
        <v>38</v>
      </c>
    </row>
    <row r="11" spans="1:21">
      <c r="A11" s="16" t="s">
        <v>57</v>
      </c>
      <c r="B11" s="15" t="s">
        <v>40</v>
      </c>
      <c r="C11" s="15" t="s">
        <v>41</v>
      </c>
      <c r="D11" s="15" t="s">
        <v>42</v>
      </c>
      <c r="E11" s="15" t="str">
        <f>"0,6023"</f>
        <v>0,6023</v>
      </c>
      <c r="F11" s="15" t="s">
        <v>16</v>
      </c>
      <c r="G11" s="28" t="s">
        <v>34</v>
      </c>
      <c r="H11" s="29" t="s">
        <v>34</v>
      </c>
      <c r="I11" s="29" t="s">
        <v>43</v>
      </c>
      <c r="J11" s="16"/>
      <c r="K11" s="29" t="s">
        <v>44</v>
      </c>
      <c r="L11" s="29" t="s">
        <v>45</v>
      </c>
      <c r="M11" s="29" t="s">
        <v>46</v>
      </c>
      <c r="N11" s="16"/>
      <c r="O11" s="29" t="s">
        <v>47</v>
      </c>
      <c r="P11" s="29" t="s">
        <v>31</v>
      </c>
      <c r="Q11" s="29" t="s">
        <v>48</v>
      </c>
      <c r="R11" s="16"/>
      <c r="S11" s="16" t="str">
        <f>"520,0"</f>
        <v>520,0</v>
      </c>
      <c r="T11" s="16" t="str">
        <f>"326,6634"</f>
        <v>326,6634</v>
      </c>
      <c r="U11" s="15" t="s">
        <v>121</v>
      </c>
    </row>
    <row r="12" spans="1:21">
      <c r="B12" s="7" t="s">
        <v>56</v>
      </c>
    </row>
  </sheetData>
  <mergeCells count="15">
    <mergeCell ref="A5:R5"/>
    <mergeCell ref="A8:R8"/>
    <mergeCell ref="B3:B4"/>
    <mergeCell ref="E3:E4"/>
    <mergeCell ref="S3:S4"/>
    <mergeCell ref="T3:T4"/>
    <mergeCell ref="A1:U2"/>
    <mergeCell ref="G3:J3"/>
    <mergeCell ref="K3:N3"/>
    <mergeCell ref="O3:R3"/>
    <mergeCell ref="A3:A4"/>
    <mergeCell ref="C3:C4"/>
    <mergeCell ref="D3:D4"/>
    <mergeCell ref="U3:U4"/>
    <mergeCell ref="F3:F4"/>
  </mergeCells>
  <phoneticPr fontId="0" type="noConversion"/>
  <pageMargins left="0.19685039370078741" right="0.47244094488188981" top="0.43307086614173229" bottom="0.47244094488188981" header="0.51181102362204722" footer="0.51181102362204722"/>
  <pageSetup scale="58" fitToHeight="100" orientation="landscape" horizontalDpi="300" verticalDpi="300" r:id="rId1"/>
  <headerFooter alignWithMargins="0">
    <oddFooter>&amp;L&amp;G&amp;R&amp;D&amp;T&amp;P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7"/>
  <sheetViews>
    <sheetView workbookViewId="0">
      <selection sqref="A1:U2"/>
    </sheetView>
  </sheetViews>
  <sheetFormatPr baseColWidth="10" defaultColWidth="9.1640625" defaultRowHeight="13"/>
  <cols>
    <col min="1" max="1" width="7.5" style="7" bestFit="1" customWidth="1"/>
    <col min="2" max="2" width="15.5" style="7" bestFit="1" customWidth="1"/>
    <col min="3" max="3" width="26.33203125" style="7" bestFit="1" customWidth="1"/>
    <col min="4" max="4" width="21.5" style="7" bestFit="1" customWidth="1"/>
    <col min="5" max="5" width="10.5" style="7" bestFit="1" customWidth="1"/>
    <col min="6" max="6" width="30.5" style="7" bestFit="1" customWidth="1"/>
    <col min="7" max="9" width="5.5" style="8" customWidth="1"/>
    <col min="10" max="10" width="4.83203125" style="8" customWidth="1"/>
    <col min="11" max="13" width="5.5" style="8" customWidth="1"/>
    <col min="14" max="14" width="4.83203125" style="8" customWidth="1"/>
    <col min="15" max="17" width="5.5" style="8" customWidth="1"/>
    <col min="18" max="18" width="4.83203125" style="8" customWidth="1"/>
    <col min="19" max="19" width="7.83203125" style="8" bestFit="1" customWidth="1"/>
    <col min="20" max="20" width="8.5" style="8" bestFit="1" customWidth="1"/>
    <col min="21" max="21" width="26.83203125" style="7" bestFit="1" customWidth="1"/>
    <col min="22" max="16384" width="9.1640625" style="3"/>
  </cols>
  <sheetData>
    <row r="1" spans="1:21" s="2" customFormat="1" ht="29" customHeight="1">
      <c r="A1" s="38" t="s">
        <v>265</v>
      </c>
      <c r="B1" s="39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1"/>
    </row>
    <row r="2" spans="1:21" s="2" customFormat="1" ht="62" customHeight="1" thickBot="1">
      <c r="A2" s="42"/>
      <c r="B2" s="43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5"/>
    </row>
    <row r="3" spans="1:21" s="1" customFormat="1" ht="12.75" customHeight="1">
      <c r="A3" s="46" t="s">
        <v>58</v>
      </c>
      <c r="B3" s="51" t="s">
        <v>0</v>
      </c>
      <c r="C3" s="48" t="s">
        <v>5</v>
      </c>
      <c r="D3" s="48" t="s">
        <v>7</v>
      </c>
      <c r="E3" s="50" t="s">
        <v>8</v>
      </c>
      <c r="F3" s="50" t="s">
        <v>6</v>
      </c>
      <c r="G3" s="50" t="s">
        <v>9</v>
      </c>
      <c r="H3" s="50"/>
      <c r="I3" s="50"/>
      <c r="J3" s="50"/>
      <c r="K3" s="50" t="s">
        <v>10</v>
      </c>
      <c r="L3" s="50"/>
      <c r="M3" s="50"/>
      <c r="N3" s="50"/>
      <c r="O3" s="50" t="s">
        <v>11</v>
      </c>
      <c r="P3" s="50"/>
      <c r="Q3" s="50"/>
      <c r="R3" s="50"/>
      <c r="S3" s="50" t="s">
        <v>1</v>
      </c>
      <c r="T3" s="50" t="s">
        <v>3</v>
      </c>
      <c r="U3" s="53" t="s">
        <v>2</v>
      </c>
    </row>
    <row r="4" spans="1:21" s="1" customFormat="1" ht="21" customHeight="1" thickBot="1">
      <c r="A4" s="47"/>
      <c r="B4" s="52"/>
      <c r="C4" s="49"/>
      <c r="D4" s="49"/>
      <c r="E4" s="49"/>
      <c r="F4" s="49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">
        <v>1</v>
      </c>
      <c r="P4" s="4">
        <v>2</v>
      </c>
      <c r="Q4" s="4">
        <v>3</v>
      </c>
      <c r="R4" s="4" t="s">
        <v>4</v>
      </c>
      <c r="S4" s="49"/>
      <c r="T4" s="49"/>
      <c r="U4" s="54"/>
    </row>
    <row r="5" spans="1:21" ht="16">
      <c r="A5" s="57" t="s">
        <v>122</v>
      </c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</row>
    <row r="6" spans="1:21">
      <c r="A6" s="10" t="s">
        <v>55</v>
      </c>
      <c r="B6" s="9" t="s">
        <v>123</v>
      </c>
      <c r="C6" s="9" t="s">
        <v>124</v>
      </c>
      <c r="D6" s="9" t="s">
        <v>125</v>
      </c>
      <c r="E6" s="9" t="str">
        <f>"0,5661"</f>
        <v>0,5661</v>
      </c>
      <c r="F6" s="9" t="s">
        <v>74</v>
      </c>
      <c r="G6" s="22" t="s">
        <v>30</v>
      </c>
      <c r="H6" s="22" t="s">
        <v>31</v>
      </c>
      <c r="I6" s="22" t="s">
        <v>102</v>
      </c>
      <c r="J6" s="10"/>
      <c r="K6" s="22" t="s">
        <v>83</v>
      </c>
      <c r="L6" s="23" t="s">
        <v>34</v>
      </c>
      <c r="M6" s="22" t="s">
        <v>34</v>
      </c>
      <c r="N6" s="10"/>
      <c r="O6" s="22" t="s">
        <v>102</v>
      </c>
      <c r="P6" s="22" t="s">
        <v>126</v>
      </c>
      <c r="Q6" s="23" t="s">
        <v>36</v>
      </c>
      <c r="R6" s="10"/>
      <c r="S6" s="10" t="str">
        <f>"610,0"</f>
        <v>610,0</v>
      </c>
      <c r="T6" s="10" t="str">
        <f>"345,3210"</f>
        <v>345,3210</v>
      </c>
      <c r="U6" s="9" t="s">
        <v>242</v>
      </c>
    </row>
    <row r="7" spans="1:21">
      <c r="B7" s="7" t="s">
        <v>56</v>
      </c>
    </row>
  </sheetData>
  <mergeCells count="14">
    <mergeCell ref="A5:R5"/>
    <mergeCell ref="B3:B4"/>
    <mergeCell ref="S3:S4"/>
    <mergeCell ref="T3:T4"/>
    <mergeCell ref="U3:U4"/>
    <mergeCell ref="A1:U2"/>
    <mergeCell ref="A3:A4"/>
    <mergeCell ref="C3:C4"/>
    <mergeCell ref="D3:D4"/>
    <mergeCell ref="E3:E4"/>
    <mergeCell ref="F3:F4"/>
    <mergeCell ref="G3:J3"/>
    <mergeCell ref="K3:N3"/>
    <mergeCell ref="O3:R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U7"/>
  <sheetViews>
    <sheetView workbookViewId="0">
      <selection sqref="A1:U2"/>
    </sheetView>
  </sheetViews>
  <sheetFormatPr baseColWidth="10" defaultColWidth="9.1640625" defaultRowHeight="13"/>
  <cols>
    <col min="1" max="1" width="7.5" style="7" bestFit="1" customWidth="1"/>
    <col min="2" max="2" width="15.33203125" style="7" bestFit="1" customWidth="1"/>
    <col min="3" max="3" width="26.33203125" style="7" bestFit="1" customWidth="1"/>
    <col min="4" max="4" width="21.5" style="7" bestFit="1" customWidth="1"/>
    <col min="5" max="5" width="10.5" style="7" bestFit="1" customWidth="1"/>
    <col min="6" max="6" width="28.1640625" style="7" bestFit="1" customWidth="1"/>
    <col min="7" max="9" width="5.5" style="8" customWidth="1"/>
    <col min="10" max="10" width="4.83203125" style="8" customWidth="1"/>
    <col min="11" max="13" width="5.5" style="8" customWidth="1"/>
    <col min="14" max="14" width="4.83203125" style="8" customWidth="1"/>
    <col min="15" max="17" width="5.5" style="8" customWidth="1"/>
    <col min="18" max="18" width="4.83203125" style="8" customWidth="1"/>
    <col min="19" max="19" width="7.83203125" style="8" bestFit="1" customWidth="1"/>
    <col min="20" max="20" width="8.5" style="8" bestFit="1" customWidth="1"/>
    <col min="21" max="21" width="16.1640625" style="7" customWidth="1"/>
    <col min="22" max="16384" width="9.1640625" style="3"/>
  </cols>
  <sheetData>
    <row r="1" spans="1:21" s="2" customFormat="1" ht="29" customHeight="1">
      <c r="A1" s="38" t="s">
        <v>266</v>
      </c>
      <c r="B1" s="39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1"/>
    </row>
    <row r="2" spans="1:21" s="2" customFormat="1" ht="62" customHeight="1" thickBot="1">
      <c r="A2" s="42"/>
      <c r="B2" s="43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5"/>
    </row>
    <row r="3" spans="1:21" s="1" customFormat="1" ht="12.75" customHeight="1">
      <c r="A3" s="46" t="s">
        <v>58</v>
      </c>
      <c r="B3" s="51" t="s">
        <v>0</v>
      </c>
      <c r="C3" s="48" t="s">
        <v>5</v>
      </c>
      <c r="D3" s="48" t="s">
        <v>7</v>
      </c>
      <c r="E3" s="50" t="s">
        <v>8</v>
      </c>
      <c r="F3" s="50" t="s">
        <v>6</v>
      </c>
      <c r="G3" s="50" t="s">
        <v>9</v>
      </c>
      <c r="H3" s="50"/>
      <c r="I3" s="50"/>
      <c r="J3" s="50"/>
      <c r="K3" s="50" t="s">
        <v>10</v>
      </c>
      <c r="L3" s="50"/>
      <c r="M3" s="50"/>
      <c r="N3" s="50"/>
      <c r="O3" s="50" t="s">
        <v>11</v>
      </c>
      <c r="P3" s="50"/>
      <c r="Q3" s="50"/>
      <c r="R3" s="50"/>
      <c r="S3" s="50" t="s">
        <v>1</v>
      </c>
      <c r="T3" s="50" t="s">
        <v>3</v>
      </c>
      <c r="U3" s="53" t="s">
        <v>2</v>
      </c>
    </row>
    <row r="4" spans="1:21" s="1" customFormat="1" ht="21" customHeight="1" thickBot="1">
      <c r="A4" s="47"/>
      <c r="B4" s="52"/>
      <c r="C4" s="49"/>
      <c r="D4" s="49"/>
      <c r="E4" s="49"/>
      <c r="F4" s="49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">
        <v>1</v>
      </c>
      <c r="P4" s="4">
        <v>2</v>
      </c>
      <c r="Q4" s="4">
        <v>3</v>
      </c>
      <c r="R4" s="4" t="s">
        <v>4</v>
      </c>
      <c r="S4" s="49"/>
      <c r="T4" s="49"/>
      <c r="U4" s="54"/>
    </row>
    <row r="5" spans="1:21" ht="16">
      <c r="A5" s="55" t="s">
        <v>111</v>
      </c>
      <c r="B5" s="55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</row>
    <row r="6" spans="1:21">
      <c r="A6" s="10" t="s">
        <v>55</v>
      </c>
      <c r="B6" s="9" t="s">
        <v>112</v>
      </c>
      <c r="C6" s="9" t="s">
        <v>113</v>
      </c>
      <c r="D6" s="9" t="s">
        <v>114</v>
      </c>
      <c r="E6" s="9" t="str">
        <f>"0,5271"</f>
        <v>0,5271</v>
      </c>
      <c r="F6" s="9" t="s">
        <v>16</v>
      </c>
      <c r="G6" s="22" t="s">
        <v>115</v>
      </c>
      <c r="H6" s="22" t="s">
        <v>116</v>
      </c>
      <c r="I6" s="22" t="s">
        <v>117</v>
      </c>
      <c r="J6" s="10"/>
      <c r="K6" s="22" t="s">
        <v>118</v>
      </c>
      <c r="L6" s="22" t="s">
        <v>47</v>
      </c>
      <c r="M6" s="22" t="s">
        <v>30</v>
      </c>
      <c r="N6" s="10"/>
      <c r="O6" s="22" t="s">
        <v>117</v>
      </c>
      <c r="P6" s="22" t="s">
        <v>119</v>
      </c>
      <c r="Q6" s="22" t="s">
        <v>120</v>
      </c>
      <c r="R6" s="10"/>
      <c r="S6" s="10" t="str">
        <f>"830,0"</f>
        <v>830,0</v>
      </c>
      <c r="T6" s="10" t="str">
        <f>"437,4722"</f>
        <v>437,4722</v>
      </c>
      <c r="U6" s="9" t="s">
        <v>273</v>
      </c>
    </row>
    <row r="7" spans="1:21">
      <c r="B7" s="7" t="s">
        <v>56</v>
      </c>
    </row>
  </sheetData>
  <mergeCells count="14">
    <mergeCell ref="A5:R5"/>
    <mergeCell ref="B3:B4"/>
    <mergeCell ref="A1:U2"/>
    <mergeCell ref="A3:A4"/>
    <mergeCell ref="C3:C4"/>
    <mergeCell ref="D3:D4"/>
    <mergeCell ref="E3:E4"/>
    <mergeCell ref="F3:F4"/>
    <mergeCell ref="G3:J3"/>
    <mergeCell ref="K3:N3"/>
    <mergeCell ref="O3:R3"/>
    <mergeCell ref="S3:S4"/>
    <mergeCell ref="T3:T4"/>
    <mergeCell ref="U3:U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48"/>
  <sheetViews>
    <sheetView workbookViewId="0">
      <selection sqref="A1:M2"/>
    </sheetView>
  </sheetViews>
  <sheetFormatPr baseColWidth="10" defaultColWidth="9.1640625" defaultRowHeight="13"/>
  <cols>
    <col min="1" max="1" width="7.5" style="7" bestFit="1" customWidth="1"/>
    <col min="2" max="2" width="22.1640625" style="7" bestFit="1" customWidth="1"/>
    <col min="3" max="3" width="27.6640625" style="7" bestFit="1" customWidth="1"/>
    <col min="4" max="4" width="21.5" style="7" bestFit="1" customWidth="1"/>
    <col min="5" max="5" width="12.33203125" style="7" customWidth="1"/>
    <col min="6" max="6" width="38.33203125" style="7" bestFit="1" customWidth="1"/>
    <col min="7" max="10" width="6" style="8" customWidth="1"/>
    <col min="11" max="11" width="13.33203125" style="34" customWidth="1"/>
    <col min="12" max="12" width="8.5" style="8" bestFit="1" customWidth="1"/>
    <col min="13" max="13" width="25.1640625" style="7" bestFit="1" customWidth="1"/>
    <col min="14" max="16384" width="9.1640625" style="3"/>
  </cols>
  <sheetData>
    <row r="1" spans="1:13" s="2" customFormat="1" ht="29" customHeight="1">
      <c r="A1" s="38" t="s">
        <v>267</v>
      </c>
      <c r="B1" s="39"/>
      <c r="C1" s="40"/>
      <c r="D1" s="40"/>
      <c r="E1" s="40"/>
      <c r="F1" s="40"/>
      <c r="G1" s="40"/>
      <c r="H1" s="40"/>
      <c r="I1" s="40"/>
      <c r="J1" s="40"/>
      <c r="K1" s="40"/>
      <c r="L1" s="40"/>
      <c r="M1" s="41"/>
    </row>
    <row r="2" spans="1:13" s="2" customFormat="1" ht="62" customHeight="1" thickBot="1">
      <c r="A2" s="42"/>
      <c r="B2" s="43"/>
      <c r="C2" s="44"/>
      <c r="D2" s="44"/>
      <c r="E2" s="44"/>
      <c r="F2" s="44"/>
      <c r="G2" s="44"/>
      <c r="H2" s="44"/>
      <c r="I2" s="44"/>
      <c r="J2" s="44"/>
      <c r="K2" s="44"/>
      <c r="L2" s="44"/>
      <c r="M2" s="45"/>
    </row>
    <row r="3" spans="1:13" s="1" customFormat="1" ht="12.75" customHeight="1">
      <c r="A3" s="46" t="s">
        <v>58</v>
      </c>
      <c r="B3" s="51" t="s">
        <v>0</v>
      </c>
      <c r="C3" s="48" t="s">
        <v>5</v>
      </c>
      <c r="D3" s="48" t="s">
        <v>7</v>
      </c>
      <c r="E3" s="50" t="s">
        <v>8</v>
      </c>
      <c r="F3" s="50" t="s">
        <v>6</v>
      </c>
      <c r="G3" s="50" t="s">
        <v>10</v>
      </c>
      <c r="H3" s="50"/>
      <c r="I3" s="50"/>
      <c r="J3" s="50"/>
      <c r="K3" s="58" t="s">
        <v>143</v>
      </c>
      <c r="L3" s="50" t="s">
        <v>3</v>
      </c>
      <c r="M3" s="53" t="s">
        <v>2</v>
      </c>
    </row>
    <row r="4" spans="1:13" s="1" customFormat="1" ht="21" customHeight="1" thickBot="1">
      <c r="A4" s="47"/>
      <c r="B4" s="52"/>
      <c r="C4" s="49"/>
      <c r="D4" s="49"/>
      <c r="E4" s="49"/>
      <c r="F4" s="49"/>
      <c r="G4" s="4">
        <v>1</v>
      </c>
      <c r="H4" s="4">
        <v>2</v>
      </c>
      <c r="I4" s="4">
        <v>3</v>
      </c>
      <c r="J4" s="4" t="s">
        <v>4</v>
      </c>
      <c r="K4" s="59"/>
      <c r="L4" s="49"/>
      <c r="M4" s="54"/>
    </row>
    <row r="5" spans="1:13" ht="16">
      <c r="A5" s="55" t="s">
        <v>144</v>
      </c>
      <c r="B5" s="55"/>
      <c r="C5" s="56"/>
      <c r="D5" s="56"/>
      <c r="E5" s="56"/>
      <c r="F5" s="56"/>
      <c r="G5" s="56"/>
      <c r="H5" s="56"/>
      <c r="I5" s="56"/>
      <c r="J5" s="56"/>
    </row>
    <row r="6" spans="1:13">
      <c r="A6" s="12" t="s">
        <v>55</v>
      </c>
      <c r="B6" s="11" t="s">
        <v>145</v>
      </c>
      <c r="C6" s="11" t="s">
        <v>146</v>
      </c>
      <c r="D6" s="11" t="s">
        <v>147</v>
      </c>
      <c r="E6" s="11" t="str">
        <f>"1,1076"</f>
        <v>1,1076</v>
      </c>
      <c r="F6" s="11" t="s">
        <v>148</v>
      </c>
      <c r="G6" s="24" t="s">
        <v>21</v>
      </c>
      <c r="H6" s="24" t="s">
        <v>149</v>
      </c>
      <c r="I6" s="25" t="s">
        <v>63</v>
      </c>
      <c r="J6" s="12"/>
      <c r="K6" s="35" t="str">
        <f>"50,0"</f>
        <v>50,0</v>
      </c>
      <c r="L6" s="12" t="str">
        <f>"55,3800"</f>
        <v>55,3800</v>
      </c>
      <c r="M6" s="32" t="s">
        <v>247</v>
      </c>
    </row>
    <row r="7" spans="1:13">
      <c r="A7" s="16" t="s">
        <v>55</v>
      </c>
      <c r="B7" s="15" t="s">
        <v>145</v>
      </c>
      <c r="C7" s="15" t="s">
        <v>150</v>
      </c>
      <c r="D7" s="15" t="s">
        <v>147</v>
      </c>
      <c r="E7" s="15" t="str">
        <f>"1,1076"</f>
        <v>1,1076</v>
      </c>
      <c r="F7" s="15" t="s">
        <v>148</v>
      </c>
      <c r="G7" s="29" t="s">
        <v>21</v>
      </c>
      <c r="H7" s="29" t="s">
        <v>149</v>
      </c>
      <c r="I7" s="28" t="s">
        <v>63</v>
      </c>
      <c r="J7" s="16"/>
      <c r="K7" s="36" t="str">
        <f>"50,0"</f>
        <v>50,0</v>
      </c>
      <c r="L7" s="16" t="str">
        <f>"55,9338"</f>
        <v>55,9338</v>
      </c>
      <c r="M7" s="31" t="s">
        <v>244</v>
      </c>
    </row>
    <row r="8" spans="1:13">
      <c r="B8" s="7" t="s">
        <v>56</v>
      </c>
    </row>
    <row r="9" spans="1:13" ht="16">
      <c r="A9" s="57" t="s">
        <v>12</v>
      </c>
      <c r="B9" s="57"/>
      <c r="C9" s="57"/>
      <c r="D9" s="57"/>
      <c r="E9" s="57"/>
      <c r="F9" s="57"/>
      <c r="G9" s="57"/>
      <c r="H9" s="57"/>
      <c r="I9" s="57"/>
      <c r="J9" s="57"/>
    </row>
    <row r="10" spans="1:13">
      <c r="A10" s="12" t="s">
        <v>55</v>
      </c>
      <c r="B10" s="11" t="s">
        <v>79</v>
      </c>
      <c r="C10" s="11" t="s">
        <v>252</v>
      </c>
      <c r="D10" s="11" t="s">
        <v>80</v>
      </c>
      <c r="E10" s="11" t="str">
        <f>"0,8976"</f>
        <v>0,8976</v>
      </c>
      <c r="F10" s="11" t="s">
        <v>81</v>
      </c>
      <c r="G10" s="24" t="s">
        <v>69</v>
      </c>
      <c r="H10" s="24" t="s">
        <v>22</v>
      </c>
      <c r="I10" s="24" t="s">
        <v>23</v>
      </c>
      <c r="J10" s="12"/>
      <c r="K10" s="35" t="str">
        <f>"107,5"</f>
        <v>107,5</v>
      </c>
      <c r="L10" s="12" t="str">
        <f>"96,4920"</f>
        <v>96,4920</v>
      </c>
      <c r="M10" s="11" t="s">
        <v>121</v>
      </c>
    </row>
    <row r="11" spans="1:13">
      <c r="A11" s="16" t="s">
        <v>55</v>
      </c>
      <c r="B11" s="15" t="s">
        <v>79</v>
      </c>
      <c r="C11" s="15" t="s">
        <v>85</v>
      </c>
      <c r="D11" s="15" t="s">
        <v>80</v>
      </c>
      <c r="E11" s="15" t="str">
        <f>"0,8976"</f>
        <v>0,8976</v>
      </c>
      <c r="F11" s="15" t="s">
        <v>81</v>
      </c>
      <c r="G11" s="29" t="s">
        <v>69</v>
      </c>
      <c r="H11" s="29" t="s">
        <v>22</v>
      </c>
      <c r="I11" s="29" t="s">
        <v>23</v>
      </c>
      <c r="J11" s="16"/>
      <c r="K11" s="36" t="str">
        <f>"107,5"</f>
        <v>107,5</v>
      </c>
      <c r="L11" s="16" t="str">
        <f>"96,4920"</f>
        <v>96,4920</v>
      </c>
      <c r="M11" s="15" t="s">
        <v>121</v>
      </c>
    </row>
    <row r="12" spans="1:13">
      <c r="B12" s="7" t="s">
        <v>56</v>
      </c>
    </row>
    <row r="13" spans="1:13" ht="16">
      <c r="A13" s="57" t="s">
        <v>71</v>
      </c>
      <c r="B13" s="57"/>
      <c r="C13" s="57"/>
      <c r="D13" s="57"/>
      <c r="E13" s="57"/>
      <c r="F13" s="57"/>
      <c r="G13" s="57"/>
      <c r="H13" s="57"/>
      <c r="I13" s="57"/>
      <c r="J13" s="57"/>
    </row>
    <row r="14" spans="1:13">
      <c r="A14" s="10" t="s">
        <v>55</v>
      </c>
      <c r="B14" s="9" t="s">
        <v>151</v>
      </c>
      <c r="C14" s="9" t="s">
        <v>152</v>
      </c>
      <c r="D14" s="9" t="s">
        <v>153</v>
      </c>
      <c r="E14" s="9" t="str">
        <f>"0,7681"</f>
        <v>0,7681</v>
      </c>
      <c r="F14" s="9" t="s">
        <v>154</v>
      </c>
      <c r="G14" s="22" t="s">
        <v>90</v>
      </c>
      <c r="H14" s="22" t="s">
        <v>91</v>
      </c>
      <c r="I14" s="23" t="s">
        <v>155</v>
      </c>
      <c r="J14" s="10"/>
      <c r="K14" s="37" t="str">
        <f>"155,0"</f>
        <v>155,0</v>
      </c>
      <c r="L14" s="10" t="str">
        <f>"119,0478"</f>
        <v>119,0478</v>
      </c>
      <c r="M14" s="9" t="s">
        <v>121</v>
      </c>
    </row>
    <row r="15" spans="1:13">
      <c r="B15" s="7" t="s">
        <v>56</v>
      </c>
    </row>
    <row r="16" spans="1:13" ht="16">
      <c r="A16" s="57" t="s">
        <v>156</v>
      </c>
      <c r="B16" s="57"/>
      <c r="C16" s="57"/>
      <c r="D16" s="57"/>
      <c r="E16" s="57"/>
      <c r="F16" s="57"/>
      <c r="G16" s="57"/>
      <c r="H16" s="57"/>
      <c r="I16" s="57"/>
      <c r="J16" s="57"/>
    </row>
    <row r="17" spans="1:13">
      <c r="A17" s="10" t="s">
        <v>55</v>
      </c>
      <c r="B17" s="9" t="s">
        <v>157</v>
      </c>
      <c r="C17" s="9" t="s">
        <v>158</v>
      </c>
      <c r="D17" s="9" t="s">
        <v>159</v>
      </c>
      <c r="E17" s="9" t="str">
        <f>"0,6899"</f>
        <v>0,6899</v>
      </c>
      <c r="F17" s="9" t="s">
        <v>16</v>
      </c>
      <c r="G17" s="22" t="s">
        <v>44</v>
      </c>
      <c r="H17" s="22" t="s">
        <v>46</v>
      </c>
      <c r="I17" s="22" t="s">
        <v>83</v>
      </c>
      <c r="J17" s="10"/>
      <c r="K17" s="37" t="str">
        <f>"140,0"</f>
        <v>140,0</v>
      </c>
      <c r="L17" s="10" t="str">
        <f>"96,5860"</f>
        <v>96,5860</v>
      </c>
      <c r="M17" s="9" t="s">
        <v>121</v>
      </c>
    </row>
    <row r="18" spans="1:13">
      <c r="B18" s="7" t="s">
        <v>56</v>
      </c>
    </row>
    <row r="19" spans="1:13" ht="16">
      <c r="A19" s="57" t="s">
        <v>86</v>
      </c>
      <c r="B19" s="57"/>
      <c r="C19" s="57"/>
      <c r="D19" s="57"/>
      <c r="E19" s="57"/>
      <c r="F19" s="57"/>
      <c r="G19" s="57"/>
      <c r="H19" s="57"/>
      <c r="I19" s="57"/>
      <c r="J19" s="57"/>
    </row>
    <row r="20" spans="1:13">
      <c r="A20" s="12" t="s">
        <v>55</v>
      </c>
      <c r="B20" s="11" t="s">
        <v>160</v>
      </c>
      <c r="C20" s="11" t="s">
        <v>254</v>
      </c>
      <c r="D20" s="11" t="s">
        <v>161</v>
      </c>
      <c r="E20" s="11" t="str">
        <f>"0,6518"</f>
        <v>0,6518</v>
      </c>
      <c r="F20" s="11" t="s">
        <v>74</v>
      </c>
      <c r="G20" s="24" t="s">
        <v>162</v>
      </c>
      <c r="H20" s="24" t="s">
        <v>24</v>
      </c>
      <c r="I20" s="24" t="s">
        <v>163</v>
      </c>
      <c r="J20" s="12"/>
      <c r="K20" s="35" t="str">
        <f>"115,0"</f>
        <v>115,0</v>
      </c>
      <c r="L20" s="12" t="str">
        <f>"74,9627"</f>
        <v>74,9627</v>
      </c>
      <c r="M20" s="32" t="s">
        <v>245</v>
      </c>
    </row>
    <row r="21" spans="1:13">
      <c r="A21" s="16" t="s">
        <v>55</v>
      </c>
      <c r="B21" s="15" t="s">
        <v>164</v>
      </c>
      <c r="C21" s="15" t="s">
        <v>165</v>
      </c>
      <c r="D21" s="15" t="s">
        <v>166</v>
      </c>
      <c r="E21" s="15" t="str">
        <f>"0,6589"</f>
        <v>0,6589</v>
      </c>
      <c r="F21" s="15" t="s">
        <v>167</v>
      </c>
      <c r="G21" s="28" t="s">
        <v>34</v>
      </c>
      <c r="H21" s="29" t="s">
        <v>34</v>
      </c>
      <c r="I21" s="28" t="s">
        <v>91</v>
      </c>
      <c r="J21" s="16"/>
      <c r="K21" s="36" t="str">
        <f>"150,0"</f>
        <v>150,0</v>
      </c>
      <c r="L21" s="16" t="str">
        <f>"98,8425"</f>
        <v>98,8425</v>
      </c>
      <c r="M21" s="15" t="s">
        <v>121</v>
      </c>
    </row>
    <row r="22" spans="1:13">
      <c r="B22" s="7" t="s">
        <v>56</v>
      </c>
    </row>
    <row r="23" spans="1:13" ht="16">
      <c r="A23" s="57" t="s">
        <v>95</v>
      </c>
      <c r="B23" s="57"/>
      <c r="C23" s="57"/>
      <c r="D23" s="57"/>
      <c r="E23" s="57"/>
      <c r="F23" s="57"/>
      <c r="G23" s="57"/>
      <c r="H23" s="57"/>
      <c r="I23" s="57"/>
      <c r="J23" s="57"/>
    </row>
    <row r="24" spans="1:13">
      <c r="A24" s="10" t="s">
        <v>128</v>
      </c>
      <c r="B24" s="9" t="s">
        <v>168</v>
      </c>
      <c r="C24" s="9" t="s">
        <v>169</v>
      </c>
      <c r="D24" s="9" t="s">
        <v>170</v>
      </c>
      <c r="E24" s="9" t="str">
        <f>"0,6153"</f>
        <v>0,6153</v>
      </c>
      <c r="F24" s="9" t="s">
        <v>81</v>
      </c>
      <c r="G24" s="23" t="s">
        <v>90</v>
      </c>
      <c r="H24" s="10"/>
      <c r="I24" s="10"/>
      <c r="J24" s="10"/>
      <c r="K24" s="37">
        <v>0</v>
      </c>
      <c r="L24" s="10" t="str">
        <f>"0,0000"</f>
        <v>0,0000</v>
      </c>
      <c r="M24" s="9" t="s">
        <v>121</v>
      </c>
    </row>
    <row r="25" spans="1:13">
      <c r="B25" s="7" t="s">
        <v>56</v>
      </c>
    </row>
    <row r="26" spans="1:13" ht="16">
      <c r="A26" s="57" t="s">
        <v>25</v>
      </c>
      <c r="B26" s="57"/>
      <c r="C26" s="57"/>
      <c r="D26" s="57"/>
      <c r="E26" s="57"/>
      <c r="F26" s="57"/>
      <c r="G26" s="57"/>
      <c r="H26" s="57"/>
      <c r="I26" s="57"/>
      <c r="J26" s="57"/>
    </row>
    <row r="27" spans="1:13">
      <c r="A27" s="12" t="s">
        <v>55</v>
      </c>
      <c r="B27" s="11" t="s">
        <v>171</v>
      </c>
      <c r="C27" s="11" t="s">
        <v>172</v>
      </c>
      <c r="D27" s="11" t="s">
        <v>173</v>
      </c>
      <c r="E27" s="11" t="str">
        <f>"0,5917"</f>
        <v>0,5917</v>
      </c>
      <c r="F27" s="11" t="s">
        <v>174</v>
      </c>
      <c r="G27" s="24" t="s">
        <v>175</v>
      </c>
      <c r="H27" s="25" t="s">
        <v>84</v>
      </c>
      <c r="I27" s="25" t="s">
        <v>84</v>
      </c>
      <c r="J27" s="12"/>
      <c r="K27" s="35" t="str">
        <f>"172,5"</f>
        <v>172,5</v>
      </c>
      <c r="L27" s="12" t="str">
        <f>"102,0596"</f>
        <v>102,0596</v>
      </c>
      <c r="M27" s="11" t="s">
        <v>121</v>
      </c>
    </row>
    <row r="28" spans="1:13">
      <c r="A28" s="16" t="s">
        <v>57</v>
      </c>
      <c r="B28" s="15" t="s">
        <v>176</v>
      </c>
      <c r="C28" s="15" t="s">
        <v>177</v>
      </c>
      <c r="D28" s="15" t="s">
        <v>178</v>
      </c>
      <c r="E28" s="15" t="str">
        <f>"0,5878"</f>
        <v>0,5878</v>
      </c>
      <c r="F28" s="15" t="s">
        <v>74</v>
      </c>
      <c r="G28" s="29" t="s">
        <v>34</v>
      </c>
      <c r="H28" s="29" t="s">
        <v>91</v>
      </c>
      <c r="I28" s="28" t="s">
        <v>133</v>
      </c>
      <c r="J28" s="16"/>
      <c r="K28" s="36" t="str">
        <f>"155,0"</f>
        <v>155,0</v>
      </c>
      <c r="L28" s="16" t="str">
        <f>"91,1013"</f>
        <v>91,1013</v>
      </c>
      <c r="M28" s="15" t="s">
        <v>121</v>
      </c>
    </row>
    <row r="29" spans="1:13">
      <c r="B29" s="7" t="s">
        <v>56</v>
      </c>
    </row>
    <row r="30" spans="1:13" ht="16">
      <c r="A30" s="57" t="s">
        <v>122</v>
      </c>
      <c r="B30" s="57"/>
      <c r="C30" s="57"/>
      <c r="D30" s="57"/>
      <c r="E30" s="57"/>
      <c r="F30" s="57"/>
      <c r="G30" s="57"/>
      <c r="H30" s="57"/>
      <c r="I30" s="57"/>
      <c r="J30" s="57"/>
    </row>
    <row r="31" spans="1:13">
      <c r="A31" s="10" t="s">
        <v>55</v>
      </c>
      <c r="B31" s="9" t="s">
        <v>179</v>
      </c>
      <c r="C31" s="9" t="s">
        <v>180</v>
      </c>
      <c r="D31" s="9" t="s">
        <v>181</v>
      </c>
      <c r="E31" s="9" t="str">
        <f>"0,5677"</f>
        <v>0,5677</v>
      </c>
      <c r="F31" s="9" t="s">
        <v>29</v>
      </c>
      <c r="G31" s="22" t="s">
        <v>100</v>
      </c>
      <c r="H31" s="22" t="s">
        <v>182</v>
      </c>
      <c r="I31" s="22" t="s">
        <v>183</v>
      </c>
      <c r="J31" s="10"/>
      <c r="K31" s="37" t="str">
        <f>"207,5"</f>
        <v>207,5</v>
      </c>
      <c r="L31" s="10" t="str">
        <f>"117,7874"</f>
        <v>117,7874</v>
      </c>
      <c r="M31" s="9" t="s">
        <v>121</v>
      </c>
    </row>
    <row r="32" spans="1:13">
      <c r="B32" s="7" t="s">
        <v>56</v>
      </c>
    </row>
    <row r="33" spans="1:13" ht="16">
      <c r="A33" s="57" t="s">
        <v>104</v>
      </c>
      <c r="B33" s="57"/>
      <c r="C33" s="57"/>
      <c r="D33" s="57"/>
      <c r="E33" s="57"/>
      <c r="F33" s="57"/>
      <c r="G33" s="57"/>
      <c r="H33" s="57"/>
      <c r="I33" s="57"/>
      <c r="J33" s="57"/>
    </row>
    <row r="34" spans="1:13">
      <c r="A34" s="10" t="s">
        <v>55</v>
      </c>
      <c r="B34" s="9" t="s">
        <v>184</v>
      </c>
      <c r="C34" s="9" t="s">
        <v>185</v>
      </c>
      <c r="D34" s="9" t="s">
        <v>186</v>
      </c>
      <c r="E34" s="9" t="str">
        <f>"0,5612"</f>
        <v>0,5612</v>
      </c>
      <c r="F34" s="9" t="s">
        <v>74</v>
      </c>
      <c r="G34" s="22" t="s">
        <v>118</v>
      </c>
      <c r="H34" s="22" t="s">
        <v>100</v>
      </c>
      <c r="I34" s="23" t="s">
        <v>31</v>
      </c>
      <c r="J34" s="10"/>
      <c r="K34" s="37" t="str">
        <f>"195,0"</f>
        <v>195,0</v>
      </c>
      <c r="L34" s="10" t="str">
        <f>"109,4340"</f>
        <v>109,4340</v>
      </c>
      <c r="M34" s="9" t="s">
        <v>121</v>
      </c>
    </row>
    <row r="35" spans="1:13">
      <c r="B35" s="7" t="s">
        <v>56</v>
      </c>
    </row>
    <row r="36" spans="1:13" ht="16">
      <c r="A36" s="57" t="s">
        <v>111</v>
      </c>
      <c r="B36" s="57"/>
      <c r="C36" s="57"/>
      <c r="D36" s="57"/>
      <c r="E36" s="57"/>
      <c r="F36" s="57"/>
      <c r="G36" s="57"/>
      <c r="H36" s="57"/>
      <c r="I36" s="57"/>
      <c r="J36" s="57"/>
    </row>
    <row r="37" spans="1:13">
      <c r="A37" s="10" t="s">
        <v>55</v>
      </c>
      <c r="B37" s="9" t="s">
        <v>187</v>
      </c>
      <c r="C37" s="9" t="s">
        <v>188</v>
      </c>
      <c r="D37" s="9" t="s">
        <v>189</v>
      </c>
      <c r="E37" s="9" t="str">
        <f>"0,5297"</f>
        <v>0,5297</v>
      </c>
      <c r="F37" s="9" t="s">
        <v>190</v>
      </c>
      <c r="G37" s="22" t="s">
        <v>100</v>
      </c>
      <c r="H37" s="22" t="s">
        <v>191</v>
      </c>
      <c r="I37" s="23" t="s">
        <v>182</v>
      </c>
      <c r="J37" s="10"/>
      <c r="K37" s="37" t="str">
        <f>"202,5"</f>
        <v>202,5</v>
      </c>
      <c r="L37" s="10" t="str">
        <f>"107,2602"</f>
        <v>107,2602</v>
      </c>
      <c r="M37" s="9" t="s">
        <v>121</v>
      </c>
    </row>
    <row r="38" spans="1:13">
      <c r="B38" s="7" t="s">
        <v>56</v>
      </c>
    </row>
    <row r="41" spans="1:13" ht="18">
      <c r="B41" s="17" t="s">
        <v>49</v>
      </c>
      <c r="C41" s="17"/>
    </row>
    <row r="42" spans="1:13" ht="16">
      <c r="B42" s="18" t="s">
        <v>54</v>
      </c>
      <c r="C42" s="18"/>
    </row>
    <row r="43" spans="1:13" ht="14">
      <c r="B43" s="20"/>
      <c r="C43" s="21" t="s">
        <v>50</v>
      </c>
    </row>
    <row r="44" spans="1:13" ht="14">
      <c r="A44" s="1"/>
      <c r="B44" s="6" t="s">
        <v>51</v>
      </c>
      <c r="C44" s="5" t="s">
        <v>52</v>
      </c>
      <c r="D44" s="5" t="s">
        <v>274</v>
      </c>
      <c r="E44" s="5" t="s">
        <v>142</v>
      </c>
      <c r="F44" s="5" t="s">
        <v>53</v>
      </c>
    </row>
    <row r="45" spans="1:13">
      <c r="A45" s="8"/>
      <c r="B45" s="19" t="s">
        <v>151</v>
      </c>
      <c r="C45" s="7" t="s">
        <v>50</v>
      </c>
      <c r="D45" s="8" t="s">
        <v>109</v>
      </c>
      <c r="E45" s="8" t="s">
        <v>91</v>
      </c>
      <c r="F45" s="8" t="s">
        <v>192</v>
      </c>
    </row>
    <row r="46" spans="1:13">
      <c r="A46" s="8"/>
      <c r="B46" s="19" t="s">
        <v>179</v>
      </c>
      <c r="C46" s="7" t="s">
        <v>50</v>
      </c>
      <c r="D46" s="8" t="s">
        <v>127</v>
      </c>
      <c r="E46" s="8" t="s">
        <v>183</v>
      </c>
      <c r="F46" s="8" t="s">
        <v>193</v>
      </c>
    </row>
    <row r="47" spans="1:13">
      <c r="A47" s="8"/>
      <c r="B47" s="19" t="s">
        <v>184</v>
      </c>
      <c r="C47" s="7" t="s">
        <v>50</v>
      </c>
      <c r="D47" s="8" t="s">
        <v>110</v>
      </c>
      <c r="E47" s="8" t="s">
        <v>100</v>
      </c>
      <c r="F47" s="8" t="s">
        <v>194</v>
      </c>
    </row>
    <row r="48" spans="1:13">
      <c r="B48" s="7" t="s">
        <v>56</v>
      </c>
    </row>
  </sheetData>
  <mergeCells count="21">
    <mergeCell ref="A30:J30"/>
    <mergeCell ref="A33:J33"/>
    <mergeCell ref="A36:J36"/>
    <mergeCell ref="B3:B4"/>
    <mergeCell ref="A9:J9"/>
    <mergeCell ref="A13:J13"/>
    <mergeCell ref="A16:J16"/>
    <mergeCell ref="A19:J19"/>
    <mergeCell ref="A23:J23"/>
    <mergeCell ref="A26:J26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13"/>
  <sheetViews>
    <sheetView workbookViewId="0">
      <selection sqref="A1:M2"/>
    </sheetView>
  </sheetViews>
  <sheetFormatPr baseColWidth="10" defaultColWidth="9.1640625" defaultRowHeight="13"/>
  <cols>
    <col min="1" max="1" width="7.5" style="7" bestFit="1" customWidth="1"/>
    <col min="2" max="2" width="20.1640625" style="7" bestFit="1" customWidth="1"/>
    <col min="3" max="3" width="26.33203125" style="7" bestFit="1" customWidth="1"/>
    <col min="4" max="4" width="21.5" style="7" bestFit="1" customWidth="1"/>
    <col min="5" max="5" width="10.5" style="7" bestFit="1" customWidth="1"/>
    <col min="6" max="6" width="30.6640625" style="7" bestFit="1" customWidth="1"/>
    <col min="7" max="10" width="6.33203125" style="8" customWidth="1"/>
    <col min="11" max="11" width="12" style="8" customWidth="1"/>
    <col min="12" max="12" width="8.5" style="8" bestFit="1" customWidth="1"/>
    <col min="13" max="13" width="15.5" style="7" bestFit="1" customWidth="1"/>
    <col min="14" max="16384" width="9.1640625" style="3"/>
  </cols>
  <sheetData>
    <row r="1" spans="1:13" s="2" customFormat="1" ht="29" customHeight="1">
      <c r="A1" s="38" t="s">
        <v>268</v>
      </c>
      <c r="B1" s="39"/>
      <c r="C1" s="40"/>
      <c r="D1" s="40"/>
      <c r="E1" s="40"/>
      <c r="F1" s="40"/>
      <c r="G1" s="40"/>
      <c r="H1" s="40"/>
      <c r="I1" s="40"/>
      <c r="J1" s="40"/>
      <c r="K1" s="40"/>
      <c r="L1" s="40"/>
      <c r="M1" s="41"/>
    </row>
    <row r="2" spans="1:13" s="2" customFormat="1" ht="62" customHeight="1">
      <c r="A2" s="61"/>
      <c r="B2" s="62"/>
      <c r="C2" s="63"/>
      <c r="D2" s="63"/>
      <c r="E2" s="63"/>
      <c r="F2" s="63"/>
      <c r="G2" s="63"/>
      <c r="H2" s="63"/>
      <c r="I2" s="63"/>
      <c r="J2" s="63"/>
      <c r="K2" s="63"/>
      <c r="L2" s="63"/>
      <c r="M2" s="64"/>
    </row>
    <row r="3" spans="1:13" s="1" customFormat="1" ht="12.75" customHeight="1">
      <c r="A3" s="65" t="s">
        <v>58</v>
      </c>
      <c r="B3" s="68" t="s">
        <v>0</v>
      </c>
      <c r="C3" s="66" t="s">
        <v>5</v>
      </c>
      <c r="D3" s="66" t="s">
        <v>7</v>
      </c>
      <c r="E3" s="67" t="s">
        <v>8</v>
      </c>
      <c r="F3" s="67" t="s">
        <v>6</v>
      </c>
      <c r="G3" s="67" t="s">
        <v>10</v>
      </c>
      <c r="H3" s="67"/>
      <c r="I3" s="67"/>
      <c r="J3" s="67"/>
      <c r="K3" s="67" t="s">
        <v>143</v>
      </c>
      <c r="L3" s="67" t="s">
        <v>3</v>
      </c>
      <c r="M3" s="60" t="s">
        <v>2</v>
      </c>
    </row>
    <row r="4" spans="1:13" s="1" customFormat="1" ht="21" customHeight="1" thickBot="1">
      <c r="A4" s="47"/>
      <c r="B4" s="52"/>
      <c r="C4" s="49"/>
      <c r="D4" s="49"/>
      <c r="E4" s="49"/>
      <c r="F4" s="49"/>
      <c r="G4" s="4">
        <v>1</v>
      </c>
      <c r="H4" s="4">
        <v>2</v>
      </c>
      <c r="I4" s="4">
        <v>3</v>
      </c>
      <c r="J4" s="4" t="s">
        <v>4</v>
      </c>
      <c r="K4" s="49"/>
      <c r="L4" s="49"/>
      <c r="M4" s="54"/>
    </row>
    <row r="5" spans="1:13" ht="16">
      <c r="A5" s="55" t="s">
        <v>71</v>
      </c>
      <c r="B5" s="55"/>
      <c r="C5" s="56"/>
      <c r="D5" s="56"/>
      <c r="E5" s="56"/>
      <c r="F5" s="56"/>
      <c r="G5" s="56"/>
      <c r="H5" s="56"/>
      <c r="I5" s="56"/>
      <c r="J5" s="56"/>
    </row>
    <row r="6" spans="1:13">
      <c r="A6" s="10" t="s">
        <v>55</v>
      </c>
      <c r="B6" s="9" t="s">
        <v>129</v>
      </c>
      <c r="C6" s="9" t="s">
        <v>130</v>
      </c>
      <c r="D6" s="9" t="s">
        <v>131</v>
      </c>
      <c r="E6" s="9" t="str">
        <f>"0,7484"</f>
        <v>0,7484</v>
      </c>
      <c r="F6" s="9" t="s">
        <v>132</v>
      </c>
      <c r="G6" s="23" t="s">
        <v>35</v>
      </c>
      <c r="H6" s="22" t="s">
        <v>35</v>
      </c>
      <c r="I6" s="23" t="s">
        <v>133</v>
      </c>
      <c r="J6" s="10"/>
      <c r="K6" s="10" t="str">
        <f>"152,5"</f>
        <v>152,5</v>
      </c>
      <c r="L6" s="10" t="str">
        <f>"114,1310"</f>
        <v>114,1310</v>
      </c>
      <c r="M6" s="9" t="s">
        <v>121</v>
      </c>
    </row>
    <row r="7" spans="1:13">
      <c r="B7" s="7" t="s">
        <v>56</v>
      </c>
    </row>
    <row r="8" spans="1:13" ht="16">
      <c r="A8" s="57" t="s">
        <v>86</v>
      </c>
      <c r="B8" s="57"/>
      <c r="C8" s="57"/>
      <c r="D8" s="57"/>
      <c r="E8" s="57"/>
      <c r="F8" s="57"/>
      <c r="G8" s="57"/>
      <c r="H8" s="57"/>
      <c r="I8" s="57"/>
      <c r="J8" s="57"/>
    </row>
    <row r="9" spans="1:13">
      <c r="A9" s="10" t="s">
        <v>55</v>
      </c>
      <c r="B9" s="9" t="s">
        <v>134</v>
      </c>
      <c r="C9" s="9" t="s">
        <v>135</v>
      </c>
      <c r="D9" s="9" t="s">
        <v>136</v>
      </c>
      <c r="E9" s="9" t="str">
        <f>"0,6482"</f>
        <v>0,6482</v>
      </c>
      <c r="F9" s="9" t="s">
        <v>16</v>
      </c>
      <c r="G9" s="22" t="s">
        <v>90</v>
      </c>
      <c r="H9" s="22" t="s">
        <v>34</v>
      </c>
      <c r="I9" s="23" t="s">
        <v>91</v>
      </c>
      <c r="J9" s="10"/>
      <c r="K9" s="10" t="str">
        <f>"150,0"</f>
        <v>150,0</v>
      </c>
      <c r="L9" s="10" t="str">
        <f>"97,2300"</f>
        <v>97,2300</v>
      </c>
      <c r="M9" s="9" t="s">
        <v>121</v>
      </c>
    </row>
    <row r="10" spans="1:13">
      <c r="B10" s="7" t="s">
        <v>56</v>
      </c>
    </row>
    <row r="11" spans="1:13" ht="16">
      <c r="A11" s="57" t="s">
        <v>25</v>
      </c>
      <c r="B11" s="57"/>
      <c r="C11" s="57"/>
      <c r="D11" s="57"/>
      <c r="E11" s="57"/>
      <c r="F11" s="57"/>
      <c r="G11" s="57"/>
      <c r="H11" s="57"/>
      <c r="I11" s="57"/>
      <c r="J11" s="57"/>
    </row>
    <row r="12" spans="1:13">
      <c r="A12" s="10" t="s">
        <v>55</v>
      </c>
      <c r="B12" s="9" t="s">
        <v>137</v>
      </c>
      <c r="C12" s="9" t="s">
        <v>138</v>
      </c>
      <c r="D12" s="9" t="s">
        <v>139</v>
      </c>
      <c r="E12" s="9" t="str">
        <f>"0,6000"</f>
        <v>0,6000</v>
      </c>
      <c r="F12" s="9" t="s">
        <v>140</v>
      </c>
      <c r="G12" s="23" t="s">
        <v>141</v>
      </c>
      <c r="H12" s="22" t="s">
        <v>141</v>
      </c>
      <c r="I12" s="22" t="s">
        <v>43</v>
      </c>
      <c r="J12" s="10"/>
      <c r="K12" s="10" t="str">
        <f>"170,0"</f>
        <v>170,0</v>
      </c>
      <c r="L12" s="10" t="str">
        <f>"101,9915"</f>
        <v>101,9915</v>
      </c>
      <c r="M12" s="9" t="s">
        <v>121</v>
      </c>
    </row>
    <row r="13" spans="1:13">
      <c r="B13" s="7" t="s">
        <v>56</v>
      </c>
    </row>
  </sheetData>
  <mergeCells count="14">
    <mergeCell ref="A8:J8"/>
    <mergeCell ref="A11:J11"/>
    <mergeCell ref="B3:B4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7"/>
  <sheetViews>
    <sheetView workbookViewId="0">
      <selection sqref="A1:M2"/>
    </sheetView>
  </sheetViews>
  <sheetFormatPr baseColWidth="10" defaultColWidth="9.1640625" defaultRowHeight="13"/>
  <cols>
    <col min="1" max="1" width="7.5" style="7" bestFit="1" customWidth="1"/>
    <col min="2" max="2" width="21.83203125" style="7" customWidth="1"/>
    <col min="3" max="3" width="28.83203125" style="7" customWidth="1"/>
    <col min="4" max="4" width="16.5" style="7" customWidth="1"/>
    <col min="5" max="5" width="12.83203125" style="7" customWidth="1"/>
    <col min="6" max="6" width="30.5" style="7" bestFit="1" customWidth="1"/>
    <col min="7" max="10" width="6.5" style="8" customWidth="1"/>
    <col min="11" max="11" width="12.33203125" style="8" customWidth="1"/>
    <col min="12" max="12" width="11.5" style="8" customWidth="1"/>
    <col min="13" max="13" width="14.5" style="7" bestFit="1" customWidth="1"/>
    <col min="14" max="16384" width="9.1640625" style="3"/>
  </cols>
  <sheetData>
    <row r="1" spans="1:13" s="2" customFormat="1" ht="29" customHeight="1">
      <c r="A1" s="38" t="s">
        <v>256</v>
      </c>
      <c r="B1" s="39"/>
      <c r="C1" s="40"/>
      <c r="D1" s="40"/>
      <c r="E1" s="40"/>
      <c r="F1" s="40"/>
      <c r="G1" s="40"/>
      <c r="H1" s="40"/>
      <c r="I1" s="40"/>
      <c r="J1" s="40"/>
      <c r="K1" s="40"/>
      <c r="L1" s="40"/>
      <c r="M1" s="41"/>
    </row>
    <row r="2" spans="1:13" s="2" customFormat="1" ht="62" customHeight="1" thickBot="1">
      <c r="A2" s="42"/>
      <c r="B2" s="43"/>
      <c r="C2" s="44"/>
      <c r="D2" s="44"/>
      <c r="E2" s="44"/>
      <c r="F2" s="44"/>
      <c r="G2" s="44"/>
      <c r="H2" s="44"/>
      <c r="I2" s="44"/>
      <c r="J2" s="44"/>
      <c r="K2" s="44"/>
      <c r="L2" s="44"/>
      <c r="M2" s="45"/>
    </row>
    <row r="3" spans="1:13" s="1" customFormat="1" ht="12.75" customHeight="1">
      <c r="A3" s="46" t="s">
        <v>58</v>
      </c>
      <c r="B3" s="51" t="s">
        <v>0</v>
      </c>
      <c r="C3" s="48" t="s">
        <v>5</v>
      </c>
      <c r="D3" s="48" t="s">
        <v>7</v>
      </c>
      <c r="E3" s="50" t="s">
        <v>8</v>
      </c>
      <c r="F3" s="50" t="s">
        <v>6</v>
      </c>
      <c r="G3" s="50" t="s">
        <v>10</v>
      </c>
      <c r="H3" s="50"/>
      <c r="I3" s="50"/>
      <c r="J3" s="50"/>
      <c r="K3" s="50" t="s">
        <v>143</v>
      </c>
      <c r="L3" s="50" t="s">
        <v>3</v>
      </c>
      <c r="M3" s="53" t="s">
        <v>2</v>
      </c>
    </row>
    <row r="4" spans="1:13" s="1" customFormat="1" ht="21" customHeight="1" thickBot="1">
      <c r="A4" s="47"/>
      <c r="B4" s="52"/>
      <c r="C4" s="49"/>
      <c r="D4" s="49"/>
      <c r="E4" s="49"/>
      <c r="F4" s="49"/>
      <c r="G4" s="4">
        <v>1</v>
      </c>
      <c r="H4" s="4">
        <v>2</v>
      </c>
      <c r="I4" s="4">
        <v>3</v>
      </c>
      <c r="J4" s="4" t="s">
        <v>4</v>
      </c>
      <c r="K4" s="49"/>
      <c r="L4" s="49"/>
      <c r="M4" s="54"/>
    </row>
    <row r="5" spans="1:13" ht="16">
      <c r="A5" s="55" t="s">
        <v>71</v>
      </c>
      <c r="B5" s="55"/>
      <c r="C5" s="56"/>
      <c r="D5" s="56"/>
      <c r="E5" s="56"/>
      <c r="F5" s="56"/>
      <c r="G5" s="56"/>
      <c r="H5" s="56"/>
      <c r="I5" s="56"/>
      <c r="J5" s="56"/>
    </row>
    <row r="6" spans="1:13">
      <c r="A6" s="10" t="s">
        <v>128</v>
      </c>
      <c r="B6" s="9" t="s">
        <v>224</v>
      </c>
      <c r="C6" s="9" t="s">
        <v>225</v>
      </c>
      <c r="D6" s="9" t="s">
        <v>131</v>
      </c>
      <c r="E6" s="9" t="str">
        <f>"0,9000"</f>
        <v>0,9000</v>
      </c>
      <c r="F6" s="9" t="s">
        <v>74</v>
      </c>
      <c r="G6" s="23" t="s">
        <v>17</v>
      </c>
      <c r="H6" s="23" t="s">
        <v>17</v>
      </c>
      <c r="I6" s="23" t="s">
        <v>19</v>
      </c>
      <c r="J6" s="10"/>
      <c r="K6" s="37">
        <v>0</v>
      </c>
      <c r="L6" s="10" t="str">
        <f>"0,0000"</f>
        <v>0,0000</v>
      </c>
      <c r="M6" s="30" t="s">
        <v>243</v>
      </c>
    </row>
    <row r="7" spans="1:13">
      <c r="B7" s="7" t="s">
        <v>56</v>
      </c>
    </row>
  </sheetData>
  <mergeCells count="12">
    <mergeCell ref="A5:J5"/>
    <mergeCell ref="B3:B4"/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7"/>
  <sheetViews>
    <sheetView workbookViewId="0">
      <selection sqref="A1:M2"/>
    </sheetView>
  </sheetViews>
  <sheetFormatPr baseColWidth="10" defaultColWidth="9.1640625" defaultRowHeight="13"/>
  <cols>
    <col min="1" max="1" width="7.5" style="7" bestFit="1" customWidth="1"/>
    <col min="2" max="2" width="19.33203125" style="7" bestFit="1" customWidth="1"/>
    <col min="3" max="3" width="26.33203125" style="7" bestFit="1" customWidth="1"/>
    <col min="4" max="4" width="21.5" style="7" bestFit="1" customWidth="1"/>
    <col min="5" max="5" width="10.5" style="7" bestFit="1" customWidth="1"/>
    <col min="6" max="6" width="17.33203125" style="7" bestFit="1" customWidth="1"/>
    <col min="7" max="10" width="7.1640625" style="8" customWidth="1"/>
    <col min="11" max="11" width="12.83203125" style="8" customWidth="1"/>
    <col min="12" max="12" width="8.5" style="8" bestFit="1" customWidth="1"/>
    <col min="13" max="13" width="22" style="7" customWidth="1"/>
    <col min="14" max="16384" width="9.1640625" style="3"/>
  </cols>
  <sheetData>
    <row r="1" spans="1:13" s="2" customFormat="1" ht="29" customHeight="1">
      <c r="A1" s="38" t="s">
        <v>257</v>
      </c>
      <c r="B1" s="39"/>
      <c r="C1" s="40"/>
      <c r="D1" s="40"/>
      <c r="E1" s="40"/>
      <c r="F1" s="40"/>
      <c r="G1" s="40"/>
      <c r="H1" s="40"/>
      <c r="I1" s="40"/>
      <c r="J1" s="40"/>
      <c r="K1" s="40"/>
      <c r="L1" s="40"/>
      <c r="M1" s="41"/>
    </row>
    <row r="2" spans="1:13" s="2" customFormat="1" ht="62" customHeight="1" thickBot="1">
      <c r="A2" s="42"/>
      <c r="B2" s="43"/>
      <c r="C2" s="44"/>
      <c r="D2" s="44"/>
      <c r="E2" s="44"/>
      <c r="F2" s="44"/>
      <c r="G2" s="44"/>
      <c r="H2" s="44"/>
      <c r="I2" s="44"/>
      <c r="J2" s="44"/>
      <c r="K2" s="44"/>
      <c r="L2" s="44"/>
      <c r="M2" s="45"/>
    </row>
    <row r="3" spans="1:13" s="1" customFormat="1" ht="12.75" customHeight="1">
      <c r="A3" s="46" t="s">
        <v>58</v>
      </c>
      <c r="B3" s="51" t="s">
        <v>0</v>
      </c>
      <c r="C3" s="48" t="s">
        <v>5</v>
      </c>
      <c r="D3" s="48" t="s">
        <v>7</v>
      </c>
      <c r="E3" s="50" t="s">
        <v>8</v>
      </c>
      <c r="F3" s="50" t="s">
        <v>6</v>
      </c>
      <c r="G3" s="50" t="s">
        <v>10</v>
      </c>
      <c r="H3" s="50"/>
      <c r="I3" s="50"/>
      <c r="J3" s="50"/>
      <c r="K3" s="50" t="s">
        <v>143</v>
      </c>
      <c r="L3" s="50" t="s">
        <v>3</v>
      </c>
      <c r="M3" s="53" t="s">
        <v>2</v>
      </c>
    </row>
    <row r="4" spans="1:13" s="1" customFormat="1" ht="21" customHeight="1" thickBot="1">
      <c r="A4" s="47"/>
      <c r="B4" s="52"/>
      <c r="C4" s="49"/>
      <c r="D4" s="49"/>
      <c r="E4" s="49"/>
      <c r="F4" s="49"/>
      <c r="G4" s="4">
        <v>1</v>
      </c>
      <c r="H4" s="4">
        <v>2</v>
      </c>
      <c r="I4" s="4">
        <v>3</v>
      </c>
      <c r="J4" s="4" t="s">
        <v>4</v>
      </c>
      <c r="K4" s="49"/>
      <c r="L4" s="49"/>
      <c r="M4" s="54"/>
    </row>
    <row r="5" spans="1:13" ht="16">
      <c r="A5" s="55" t="s">
        <v>122</v>
      </c>
      <c r="B5" s="55"/>
      <c r="C5" s="56"/>
      <c r="D5" s="56"/>
      <c r="E5" s="56"/>
      <c r="F5" s="56"/>
      <c r="G5" s="56"/>
      <c r="H5" s="56"/>
      <c r="I5" s="56"/>
      <c r="J5" s="56"/>
    </row>
    <row r="6" spans="1:13">
      <c r="A6" s="10" t="s">
        <v>55</v>
      </c>
      <c r="B6" s="9" t="s">
        <v>219</v>
      </c>
      <c r="C6" s="9" t="s">
        <v>220</v>
      </c>
      <c r="D6" s="9" t="s">
        <v>221</v>
      </c>
      <c r="E6" s="9" t="str">
        <f>"0,5781"</f>
        <v>0,5781</v>
      </c>
      <c r="F6" s="9" t="s">
        <v>275</v>
      </c>
      <c r="G6" s="22" t="s">
        <v>222</v>
      </c>
      <c r="H6" s="23" t="s">
        <v>37</v>
      </c>
      <c r="I6" s="23" t="s">
        <v>37</v>
      </c>
      <c r="J6" s="10"/>
      <c r="K6" s="10" t="str">
        <f>"255,0"</f>
        <v>255,0</v>
      </c>
      <c r="L6" s="10" t="str">
        <f>"147,4028"</f>
        <v>147,4028</v>
      </c>
      <c r="M6" s="9" t="s">
        <v>223</v>
      </c>
    </row>
    <row r="7" spans="1:13">
      <c r="B7" s="7" t="s">
        <v>56</v>
      </c>
    </row>
  </sheetData>
  <mergeCells count="12">
    <mergeCell ref="A5:J5"/>
    <mergeCell ref="B3:B4"/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7"/>
  <sheetViews>
    <sheetView workbookViewId="0">
      <selection sqref="A1:M2"/>
    </sheetView>
  </sheetViews>
  <sheetFormatPr baseColWidth="10" defaultColWidth="9.1640625" defaultRowHeight="13"/>
  <cols>
    <col min="1" max="1" width="7.5" style="7" bestFit="1" customWidth="1"/>
    <col min="2" max="2" width="22.6640625" style="7" customWidth="1"/>
    <col min="3" max="3" width="26.33203125" style="7" bestFit="1" customWidth="1"/>
    <col min="4" max="4" width="21.5" style="7" bestFit="1" customWidth="1"/>
    <col min="5" max="5" width="10.5" style="7" bestFit="1" customWidth="1"/>
    <col min="6" max="6" width="30.5" style="7" bestFit="1" customWidth="1"/>
    <col min="7" max="10" width="6" style="8" customWidth="1"/>
    <col min="11" max="11" width="12.6640625" style="8" customWidth="1"/>
    <col min="12" max="12" width="8.5" style="8" bestFit="1" customWidth="1"/>
    <col min="13" max="13" width="23.33203125" style="7" customWidth="1"/>
    <col min="14" max="16384" width="9.1640625" style="3"/>
  </cols>
  <sheetData>
    <row r="1" spans="1:13" s="2" customFormat="1" ht="29" customHeight="1">
      <c r="A1" s="38" t="s">
        <v>258</v>
      </c>
      <c r="B1" s="39"/>
      <c r="C1" s="40"/>
      <c r="D1" s="40"/>
      <c r="E1" s="40"/>
      <c r="F1" s="40"/>
      <c r="G1" s="40"/>
      <c r="H1" s="40"/>
      <c r="I1" s="40"/>
      <c r="J1" s="40"/>
      <c r="K1" s="40"/>
      <c r="L1" s="40"/>
      <c r="M1" s="41"/>
    </row>
    <row r="2" spans="1:13" s="2" customFormat="1" ht="62" customHeight="1" thickBot="1">
      <c r="A2" s="42"/>
      <c r="B2" s="43"/>
      <c r="C2" s="44"/>
      <c r="D2" s="44"/>
      <c r="E2" s="44"/>
      <c r="F2" s="44"/>
      <c r="G2" s="44"/>
      <c r="H2" s="44"/>
      <c r="I2" s="44"/>
      <c r="J2" s="44"/>
      <c r="K2" s="44"/>
      <c r="L2" s="44"/>
      <c r="M2" s="45"/>
    </row>
    <row r="3" spans="1:13" s="1" customFormat="1" ht="12.75" customHeight="1">
      <c r="A3" s="46" t="s">
        <v>58</v>
      </c>
      <c r="B3" s="51" t="s">
        <v>0</v>
      </c>
      <c r="C3" s="48" t="s">
        <v>5</v>
      </c>
      <c r="D3" s="48" t="s">
        <v>7</v>
      </c>
      <c r="E3" s="50" t="s">
        <v>8</v>
      </c>
      <c r="F3" s="50" t="s">
        <v>6</v>
      </c>
      <c r="G3" s="50" t="s">
        <v>10</v>
      </c>
      <c r="H3" s="50"/>
      <c r="I3" s="50"/>
      <c r="J3" s="50"/>
      <c r="K3" s="50" t="s">
        <v>143</v>
      </c>
      <c r="L3" s="50" t="s">
        <v>3</v>
      </c>
      <c r="M3" s="53" t="s">
        <v>2</v>
      </c>
    </row>
    <row r="4" spans="1:13" s="1" customFormat="1" ht="21" customHeight="1" thickBot="1">
      <c r="A4" s="47"/>
      <c r="B4" s="52"/>
      <c r="C4" s="49"/>
      <c r="D4" s="49"/>
      <c r="E4" s="49"/>
      <c r="F4" s="49"/>
      <c r="G4" s="4">
        <v>1</v>
      </c>
      <c r="H4" s="4">
        <v>2</v>
      </c>
      <c r="I4" s="4">
        <v>3</v>
      </c>
      <c r="J4" s="4" t="s">
        <v>4</v>
      </c>
      <c r="K4" s="49"/>
      <c r="L4" s="49"/>
      <c r="M4" s="54"/>
    </row>
    <row r="5" spans="1:13" ht="16">
      <c r="A5" s="55" t="s">
        <v>122</v>
      </c>
      <c r="B5" s="55"/>
      <c r="C5" s="56"/>
      <c r="D5" s="56"/>
      <c r="E5" s="56"/>
      <c r="F5" s="56"/>
      <c r="G5" s="56"/>
      <c r="H5" s="56"/>
      <c r="I5" s="56"/>
      <c r="J5" s="56"/>
    </row>
    <row r="6" spans="1:13">
      <c r="A6" s="10" t="s">
        <v>55</v>
      </c>
      <c r="B6" s="9" t="s">
        <v>229</v>
      </c>
      <c r="C6" s="9" t="s">
        <v>230</v>
      </c>
      <c r="D6" s="9" t="s">
        <v>231</v>
      </c>
      <c r="E6" s="9" t="str">
        <f>"0,5625"</f>
        <v>0,5625</v>
      </c>
      <c r="F6" s="9" t="s">
        <v>74</v>
      </c>
      <c r="G6" s="22" t="s">
        <v>34</v>
      </c>
      <c r="H6" s="23" t="s">
        <v>92</v>
      </c>
      <c r="I6" s="10"/>
      <c r="J6" s="10"/>
      <c r="K6" s="10" t="str">
        <f>"150,0"</f>
        <v>150,0</v>
      </c>
      <c r="L6" s="10" t="str">
        <f>"117,5344"</f>
        <v>117,5344</v>
      </c>
      <c r="M6" s="9" t="s">
        <v>121</v>
      </c>
    </row>
    <row r="7" spans="1:13">
      <c r="B7" s="7" t="s">
        <v>56</v>
      </c>
    </row>
  </sheetData>
  <mergeCells count="12">
    <mergeCell ref="A5:J5"/>
    <mergeCell ref="B3:B4"/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17</vt:i4>
      </vt:variant>
    </vt:vector>
  </HeadingPairs>
  <TitlesOfParts>
    <vt:vector size="17" baseType="lpstr">
      <vt:lpstr>GPA ПЛ без экипировки ДК</vt:lpstr>
      <vt:lpstr>GPA ПЛ без экипировки</vt:lpstr>
      <vt:lpstr>GPA ПЛ в бинтах ДК</vt:lpstr>
      <vt:lpstr>GPA ПЛ в бинтах</vt:lpstr>
      <vt:lpstr>GPA Жим без экипировки ДК</vt:lpstr>
      <vt:lpstr>GPA Жим без экипировки</vt:lpstr>
      <vt:lpstr>СПР Жим софт однопетельная ДК</vt:lpstr>
      <vt:lpstr>СПР Жим софт однопетельная</vt:lpstr>
      <vt:lpstr>СПР Жим софт многопетельная ДК</vt:lpstr>
      <vt:lpstr>СПР Жим софт многопетельная</vt:lpstr>
      <vt:lpstr>СПР Жим СФО</vt:lpstr>
      <vt:lpstr>GPA Тяга без экипировки ДК</vt:lpstr>
      <vt:lpstr>GPA Тяга без экипировки</vt:lpstr>
      <vt:lpstr>СПР Подъем на бицепс ДК</vt:lpstr>
      <vt:lpstr>СПР Подъем на бицепс</vt:lpstr>
      <vt:lpstr>ФЖД Любители жим на макс.</vt:lpstr>
      <vt:lpstr>ФЖД Военный жим на макс.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Tomchin</dc:creator>
  <cp:lastModifiedBy>Екатерина Шевелева</cp:lastModifiedBy>
  <cp:lastPrinted>2015-07-16T19:10:53Z</cp:lastPrinted>
  <dcterms:created xsi:type="dcterms:W3CDTF">2002-06-16T13:36:44Z</dcterms:created>
  <dcterms:modified xsi:type="dcterms:W3CDTF">2020-08-25T10:11:04Z</dcterms:modified>
</cp:coreProperties>
</file>