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15" windowWidth="11340" windowHeight="9690" firstSheet="4" activeTab="8"/>
  </bookViews>
  <sheets>
    <sheet name="жимовое двоеборье" sheetId="15" r:id="rId1"/>
    <sheet name="Двоеборье люб" sheetId="14" r:id="rId2"/>
    <sheet name="ПРО тяга б.э." sheetId="13" r:id="rId3"/>
    <sheet name="Люб. тяга б.э." sheetId="12" r:id="rId4"/>
    <sheet name="ПРО жим софт экип. 3сл." sheetId="11" r:id="rId5"/>
    <sheet name="ПРО жим софт экип." sheetId="10" r:id="rId6"/>
    <sheet name="Люб. жим софт экип." sheetId="9" r:id="rId7"/>
    <sheet name="ПРО жим б.э." sheetId="8" r:id="rId8"/>
    <sheet name="Люб. жим б.э." sheetId="7" r:id="rId9"/>
    <sheet name="СОВ жим" sheetId="6" r:id="rId10"/>
    <sheet name="Люб. Военный жим" sheetId="5" r:id="rId11"/>
    <sheet name="Проф. народный жим 1 вес" sheetId="16" r:id="rId12"/>
    <sheet name="Люб. народный жим 1_2 вес" sheetId="17" r:id="rId13"/>
    <sheet name="Люб. народный жим 1 вес" sheetId="18" r:id="rId14"/>
    <sheet name="Пауэрспорт Любители" sheetId="19" r:id="rId15"/>
    <sheet name="Бицепс Любители" sheetId="20" r:id="rId16"/>
    <sheet name="РЖ любители 55 кг." sheetId="21" r:id="rId17"/>
  </sheets>
  <definedNames>
    <definedName name="_FilterDatabase" localSheetId="10" hidden="1">'Люб. Военный жим'!$A$1:$K$3</definedName>
  </definedNames>
  <calcPr calcId="125725" refMode="R1C1"/>
</workbook>
</file>

<file path=xl/calcChain.xml><?xml version="1.0" encoding="utf-8"?>
<calcChain xmlns="http://schemas.openxmlformats.org/spreadsheetml/2006/main">
  <c r="J10" i="21"/>
  <c r="I10"/>
  <c r="D10"/>
  <c r="J9"/>
  <c r="I9"/>
  <c r="D9"/>
  <c r="J8"/>
  <c r="I8"/>
  <c r="D8"/>
  <c r="J7"/>
  <c r="I7"/>
  <c r="D7"/>
  <c r="J6"/>
  <c r="I6"/>
  <c r="D6"/>
  <c r="L22" i="20"/>
  <c r="K22"/>
  <c r="D22"/>
  <c r="L19"/>
  <c r="K19"/>
  <c r="D19"/>
  <c r="L16"/>
  <c r="K16"/>
  <c r="D16"/>
  <c r="L15"/>
  <c r="K15"/>
  <c r="D15"/>
  <c r="L14"/>
  <c r="K14"/>
  <c r="D14"/>
  <c r="L11"/>
  <c r="K11"/>
  <c r="D11"/>
  <c r="L10"/>
  <c r="K10"/>
  <c r="D10"/>
  <c r="L7"/>
  <c r="K7"/>
  <c r="D7"/>
  <c r="L6"/>
  <c r="K6"/>
  <c r="D6"/>
  <c r="P19" i="19"/>
  <c r="O19"/>
  <c r="D19"/>
  <c r="P18"/>
  <c r="O18"/>
  <c r="D18"/>
  <c r="P17"/>
  <c r="O17"/>
  <c r="D17"/>
  <c r="P16"/>
  <c r="O16"/>
  <c r="D16"/>
  <c r="P15"/>
  <c r="O15"/>
  <c r="D15"/>
  <c r="P12"/>
  <c r="O12"/>
  <c r="D12"/>
  <c r="P9"/>
  <c r="O9"/>
  <c r="D9"/>
  <c r="P6"/>
  <c r="O6"/>
  <c r="D6"/>
  <c r="J15" i="18"/>
  <c r="I15"/>
  <c r="D15"/>
  <c r="J12"/>
  <c r="I12"/>
  <c r="D12"/>
  <c r="J9"/>
  <c r="I9"/>
  <c r="D9"/>
  <c r="J6"/>
  <c r="I6"/>
  <c r="D6"/>
  <c r="J6" i="17"/>
  <c r="I6"/>
  <c r="D6"/>
  <c r="J6" i="16"/>
  <c r="I6"/>
  <c r="D6"/>
  <c r="P12" i="14"/>
  <c r="O12"/>
  <c r="D12"/>
  <c r="P9"/>
  <c r="O9"/>
  <c r="D9"/>
  <c r="P6"/>
  <c r="O6"/>
  <c r="D6"/>
  <c r="L9" i="13"/>
  <c r="K9"/>
  <c r="D9"/>
  <c r="L6"/>
  <c r="K6"/>
  <c r="D6"/>
  <c r="L29" i="12"/>
  <c r="K29"/>
  <c r="D29"/>
  <c r="L28"/>
  <c r="K28"/>
  <c r="D28"/>
  <c r="L27"/>
  <c r="K27"/>
  <c r="D27"/>
  <c r="L26"/>
  <c r="K26"/>
  <c r="D26"/>
  <c r="L25"/>
  <c r="K25"/>
  <c r="D25"/>
  <c r="L22"/>
  <c r="K22"/>
  <c r="D22"/>
  <c r="L21"/>
  <c r="K21"/>
  <c r="D21"/>
  <c r="L20"/>
  <c r="K20"/>
  <c r="D20"/>
  <c r="L17"/>
  <c r="K17"/>
  <c r="D17"/>
  <c r="L16"/>
  <c r="K16"/>
  <c r="D16"/>
  <c r="L13"/>
  <c r="K13"/>
  <c r="D13"/>
  <c r="L12"/>
  <c r="K12"/>
  <c r="D12"/>
  <c r="L9"/>
  <c r="K9"/>
  <c r="D9"/>
  <c r="L6"/>
  <c r="K6"/>
  <c r="D6"/>
  <c r="L7" i="11"/>
  <c r="K7"/>
  <c r="D7"/>
  <c r="L6"/>
  <c r="K6"/>
  <c r="D6"/>
  <c r="L12" i="10"/>
  <c r="K12"/>
  <c r="D12"/>
  <c r="L9"/>
  <c r="K9"/>
  <c r="D9"/>
  <c r="L6"/>
  <c r="K6"/>
  <c r="D6"/>
  <c r="L6" i="9"/>
  <c r="K6"/>
  <c r="D6"/>
  <c r="L9" i="8"/>
  <c r="K9"/>
  <c r="D9"/>
  <c r="L6"/>
  <c r="K6"/>
  <c r="D6"/>
  <c r="L45" i="7"/>
  <c r="K45"/>
  <c r="D45"/>
  <c r="L42"/>
  <c r="K42"/>
  <c r="D42"/>
  <c r="L41"/>
  <c r="K41"/>
  <c r="D41"/>
  <c r="L38"/>
  <c r="K38"/>
  <c r="D38"/>
  <c r="L37"/>
  <c r="K37"/>
  <c r="D37"/>
  <c r="L36"/>
  <c r="K36"/>
  <c r="D36"/>
  <c r="L35"/>
  <c r="K35"/>
  <c r="D35"/>
  <c r="L34"/>
  <c r="K34"/>
  <c r="D34"/>
  <c r="L31"/>
  <c r="K31"/>
  <c r="D31"/>
  <c r="L30"/>
  <c r="K30"/>
  <c r="D30"/>
  <c r="L29"/>
  <c r="K29"/>
  <c r="D29"/>
  <c r="L28"/>
  <c r="K28"/>
  <c r="D28"/>
  <c r="L27"/>
  <c r="K27"/>
  <c r="D27"/>
  <c r="L24"/>
  <c r="K24"/>
  <c r="D24"/>
  <c r="L23"/>
  <c r="K23"/>
  <c r="D23"/>
  <c r="L22"/>
  <c r="K22"/>
  <c r="D22"/>
  <c r="L21"/>
  <c r="K21"/>
  <c r="D21"/>
  <c r="L20"/>
  <c r="K20"/>
  <c r="D20"/>
  <c r="L17"/>
  <c r="K17"/>
  <c r="D17"/>
  <c r="L16"/>
  <c r="K16"/>
  <c r="D16"/>
  <c r="L13"/>
  <c r="K13"/>
  <c r="D13"/>
  <c r="L10"/>
  <c r="K10"/>
  <c r="D10"/>
  <c r="L9"/>
  <c r="K9"/>
  <c r="D9"/>
  <c r="L6"/>
  <c r="K6"/>
  <c r="D6"/>
  <c r="L6" i="6"/>
  <c r="K6"/>
  <c r="D6"/>
  <c r="L14" i="5"/>
  <c r="K14"/>
  <c r="D14"/>
  <c r="L13"/>
  <c r="K13"/>
  <c r="D13"/>
  <c r="L10"/>
  <c r="K10"/>
  <c r="D10"/>
  <c r="L9"/>
  <c r="K9"/>
  <c r="D9"/>
  <c r="L6"/>
  <c r="K6"/>
  <c r="D6"/>
</calcChain>
</file>

<file path=xl/sharedStrings.xml><?xml version="1.0" encoding="utf-8"?>
<sst xmlns="http://schemas.openxmlformats.org/spreadsheetml/2006/main" count="2109" uniqueCount="601">
  <si>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</si>
  <si>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</si>
  <si>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</si>
  <si>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</si>
  <si>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</si>
  <si>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</si>
  <si>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</si>
  <si>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</si>
  <si>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</si>
  <si>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Shv/Mel</t>
  </si>
  <si>
    <t>Жим лёжа</t>
  </si>
  <si>
    <t>ВЕСОВАЯ КАТЕГОРИЯ   60</t>
  </si>
  <si>
    <t>Соломкин Роман</t>
  </si>
  <si>
    <t>1. Соломкин Роман</t>
  </si>
  <si>
    <t>Юноши 16 - 17 (26.12.2002)/16</t>
  </si>
  <si>
    <t>59,00</t>
  </si>
  <si>
    <t xml:space="preserve">Титан </t>
  </si>
  <si>
    <t xml:space="preserve">Новый Оскол/Белгородская область </t>
  </si>
  <si>
    <t>62,5</t>
  </si>
  <si>
    <t>67,5</t>
  </si>
  <si>
    <t>72,5</t>
  </si>
  <si>
    <t xml:space="preserve"> </t>
  </si>
  <si>
    <t>ВЕСОВАЯ КАТЕГОРИЯ   90</t>
  </si>
  <si>
    <t>Величко Владимир</t>
  </si>
  <si>
    <t>1. Величко Владимир</t>
  </si>
  <si>
    <t>Юноши 18 - 19 (01.04.2000)/18</t>
  </si>
  <si>
    <t>89,90</t>
  </si>
  <si>
    <t>110,0</t>
  </si>
  <si>
    <t>115,0</t>
  </si>
  <si>
    <t>120,0</t>
  </si>
  <si>
    <t>Мамонов Юрий</t>
  </si>
  <si>
    <t>1. Мамонов Юрий</t>
  </si>
  <si>
    <t>Мастера 50 - 54 (07.04.1966)/52</t>
  </si>
  <si>
    <t>86,00</t>
  </si>
  <si>
    <t xml:space="preserve">Лично </t>
  </si>
  <si>
    <t xml:space="preserve">Белгород/Белгородская область </t>
  </si>
  <si>
    <t>117,5</t>
  </si>
  <si>
    <t>125,0</t>
  </si>
  <si>
    <t>ВЕСОВАЯ КАТЕГОРИЯ   100</t>
  </si>
  <si>
    <t>Жинкин Дмитрий</t>
  </si>
  <si>
    <t>1. Жинкин Дмитрий</t>
  </si>
  <si>
    <t>Открытая (01.07.1980)/38</t>
  </si>
  <si>
    <t>95,90</t>
  </si>
  <si>
    <t>130,0</t>
  </si>
  <si>
    <t>135,0</t>
  </si>
  <si>
    <t>140,0</t>
  </si>
  <si>
    <t>Пахомов Никита</t>
  </si>
  <si>
    <t>2. Пахомов Никита</t>
  </si>
  <si>
    <t>Открытая (03.10.1991)/27</t>
  </si>
  <si>
    <t>99,90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</si>
  <si>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</si>
  <si>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</si>
  <si>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</si>
  <si>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</si>
  <si>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</si>
  <si>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</si>
  <si>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</si>
  <si>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</si>
  <si>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</si>
  <si>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</si>
  <si>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</si>
  <si>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</si>
  <si>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</si>
  <si>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Юноши 18 - 19 </t>
  </si>
  <si>
    <t>90</t>
  </si>
  <si>
    <t>74,5010</t>
  </si>
  <si>
    <t xml:space="preserve">Юноши 16 - 17 </t>
  </si>
  <si>
    <t>60</t>
  </si>
  <si>
    <t>63,0871</t>
  </si>
  <si>
    <t xml:space="preserve">Открытая </t>
  </si>
  <si>
    <t>100</t>
  </si>
  <si>
    <t>79,1140</t>
  </si>
  <si>
    <t>65,1303</t>
  </si>
  <si>
    <t xml:space="preserve">Мастера </t>
  </si>
  <si>
    <t xml:space="preserve">Мастера 50 - 54 </t>
  </si>
  <si>
    <t>80,0866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</si>
  <si>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</si>
  <si>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</si>
  <si>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</si>
  <si>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</si>
  <si>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45(12+12+9+12) </t>
  </si>
  <si>
    <t xml:space="preserve">Соломкин Роман, Жинкин Дмитрий, Пахомов Никита, Величко Владимир </t>
  </si>
  <si>
    <t xml:space="preserve">12(12) </t>
  </si>
  <si>
    <t xml:space="preserve">Мамонов Юрий </t>
  </si>
  <si>
    <t>Результат</t>
  </si>
  <si>
    <t>ВЕСОВАЯ КАТЕГОРИЯ   110</t>
  </si>
  <si>
    <t>Богомолов Вадим</t>
  </si>
  <si>
    <t>1. Богомолов Вадим</t>
  </si>
  <si>
    <t>Мастера 55 - 59 (20.12.1963)/55</t>
  </si>
  <si>
    <t>107,50</t>
  </si>
  <si>
    <t xml:space="preserve">Фитнес Сити </t>
  </si>
  <si>
    <t>112,5</t>
  </si>
  <si>
    <t xml:space="preserve">Мастера 55 - 59 </t>
  </si>
  <si>
    <t>110</t>
  </si>
  <si>
    <t>93,1155</t>
  </si>
  <si>
    <t xml:space="preserve">Богомолов Вадим </t>
  </si>
  <si>
    <t>ВЕСОВАЯ КАТЕГОРИЯ   56</t>
  </si>
  <si>
    <t>Гостева Валентина</t>
  </si>
  <si>
    <t>1. Гостева Валентина</t>
  </si>
  <si>
    <t>Мастера 60 - 64 (07.08.1955)/63</t>
  </si>
  <si>
    <t>56,00</t>
  </si>
  <si>
    <t xml:space="preserve">Курск/Курская область </t>
  </si>
  <si>
    <t>60,0</t>
  </si>
  <si>
    <t>65,0</t>
  </si>
  <si>
    <t>70,0</t>
  </si>
  <si>
    <t>ВЕСОВАЯ КАТЕГОРИЯ   52</t>
  </si>
  <si>
    <t>Анищенко Артем</t>
  </si>
  <si>
    <t>1. Анищенко Артем</t>
  </si>
  <si>
    <t>Юноши 0-13 (27.11.2007)/11</t>
  </si>
  <si>
    <t>47,90</t>
  </si>
  <si>
    <t>35,0o</t>
  </si>
  <si>
    <t>37,5o</t>
  </si>
  <si>
    <t>40,0</t>
  </si>
  <si>
    <t>Евлоев Муслим</t>
  </si>
  <si>
    <t>2. Евлоев Муслим</t>
  </si>
  <si>
    <t>Юноши 0-13 (08.04.2011)/7</t>
  </si>
  <si>
    <t>25,00</t>
  </si>
  <si>
    <t xml:space="preserve">Сталь Белогорья </t>
  </si>
  <si>
    <t>20,0</t>
  </si>
  <si>
    <t>23,0</t>
  </si>
  <si>
    <t>25,0</t>
  </si>
  <si>
    <t>ВЕСОВАЯ КАТЕГОРИЯ   67.5</t>
  </si>
  <si>
    <t>Белоусов Даниил</t>
  </si>
  <si>
    <t>1. Белоусов Даниил</t>
  </si>
  <si>
    <t>Юноши 16 - 17 (26.03.2001)/17</t>
  </si>
  <si>
    <t>67,50</t>
  </si>
  <si>
    <t>100,0o</t>
  </si>
  <si>
    <t>107,5o</t>
  </si>
  <si>
    <t>115,0o</t>
  </si>
  <si>
    <t>Потапов Алексей</t>
  </si>
  <si>
    <t>1. Потапов Алексей</t>
  </si>
  <si>
    <t>Юниоры 20 - 23 (04.06.1997)/21</t>
  </si>
  <si>
    <t>67,00</t>
  </si>
  <si>
    <t>90,0</t>
  </si>
  <si>
    <t>100,0</t>
  </si>
  <si>
    <t>105,0</t>
  </si>
  <si>
    <t>ВЕСОВАЯ КАТЕГОРИЯ   75</t>
  </si>
  <si>
    <t>-. Захаров Сергей</t>
  </si>
  <si>
    <t>Юноши 16 - 17 (30.11.2001)/17</t>
  </si>
  <si>
    <t>72,30</t>
  </si>
  <si>
    <t>97,5</t>
  </si>
  <si>
    <t>Бугаев Артем</t>
  </si>
  <si>
    <t>1. Бугаев Артем</t>
  </si>
  <si>
    <t>Юноши 18 - 19 (26.01.2000)/19</t>
  </si>
  <si>
    <t>74,40</t>
  </si>
  <si>
    <t>142,5</t>
  </si>
  <si>
    <t>Шульгин Виталий</t>
  </si>
  <si>
    <t>1. Шульгин Виталий</t>
  </si>
  <si>
    <t>Юниоры 20 - 23 (22.09.1997)/21</t>
  </si>
  <si>
    <t>74,00</t>
  </si>
  <si>
    <t>132,5</t>
  </si>
  <si>
    <t>Гасымов Санан</t>
  </si>
  <si>
    <t>2. Гасымов Санан</t>
  </si>
  <si>
    <t>Юниоры 20 - 23 (22.10.1998)/20</t>
  </si>
  <si>
    <t>74,30</t>
  </si>
  <si>
    <t>Открытая (26.01.2000)/19</t>
  </si>
  <si>
    <t>ВЕСОВАЯ КАТЕГОРИЯ   82.5</t>
  </si>
  <si>
    <t>Соловьев Дмитрий</t>
  </si>
  <si>
    <t>1. Соловьев Дмитрий</t>
  </si>
  <si>
    <t>Юноши 16 - 17 (09.11.2001)/17</t>
  </si>
  <si>
    <t>80,60</t>
  </si>
  <si>
    <t xml:space="preserve">Ровеньки/Белгородская область </t>
  </si>
  <si>
    <t>130,0o</t>
  </si>
  <si>
    <t>Якунин Никита</t>
  </si>
  <si>
    <t>2. Якунин Никита</t>
  </si>
  <si>
    <t>Юноши 16 - 17 (22.10.2001)/17</t>
  </si>
  <si>
    <t>82,40</t>
  </si>
  <si>
    <t xml:space="preserve">Валуйки/Белгородская область </t>
  </si>
  <si>
    <t>70,0o</t>
  </si>
  <si>
    <t>75,0</t>
  </si>
  <si>
    <t>80,0</t>
  </si>
  <si>
    <t>Киндур Владимир</t>
  </si>
  <si>
    <t>1. Киндур Владимир</t>
  </si>
  <si>
    <t>Юноши 18 - 19 (06.03.2000)/19</t>
  </si>
  <si>
    <t>81,00</t>
  </si>
  <si>
    <t>145,0</t>
  </si>
  <si>
    <t>Захаров Игорь</t>
  </si>
  <si>
    <t>1. Захаров Игорь</t>
  </si>
  <si>
    <t>Открытая (25.01.1992)/27</t>
  </si>
  <si>
    <t>81,80</t>
  </si>
  <si>
    <t>Поданев Игорь</t>
  </si>
  <si>
    <t>1. Поданев Игорь</t>
  </si>
  <si>
    <t>Мастера 40 - 44 (19.02.1979)/40</t>
  </si>
  <si>
    <t>150,0</t>
  </si>
  <si>
    <t>Кадыров Арсен</t>
  </si>
  <si>
    <t>1. Кадыров Арсен</t>
  </si>
  <si>
    <t>Юноши 16 - 17 (11.11.2001)/17</t>
  </si>
  <si>
    <t>90,0o</t>
  </si>
  <si>
    <t>Чернышов Александр</t>
  </si>
  <si>
    <t>1. Чернышов Александр</t>
  </si>
  <si>
    <t>Открытая (02.05.1985)/33</t>
  </si>
  <si>
    <t>87,70</t>
  </si>
  <si>
    <t>155,0</t>
  </si>
  <si>
    <t>Мусиенко Константин</t>
  </si>
  <si>
    <t>2. Мусиенко Константин</t>
  </si>
  <si>
    <t>Открытая (19.07.1989)/29</t>
  </si>
  <si>
    <t>89,50</t>
  </si>
  <si>
    <t>Жуков Станислав</t>
  </si>
  <si>
    <t>3. Жуков Станислав</t>
  </si>
  <si>
    <t>Открытая (13.09.1988)/30</t>
  </si>
  <si>
    <t>122,5</t>
  </si>
  <si>
    <t>97,00</t>
  </si>
  <si>
    <t>137,5</t>
  </si>
  <si>
    <t>Назин Александр</t>
  </si>
  <si>
    <t>2. Назин Александр</t>
  </si>
  <si>
    <t>Открытая (21.11.1985)/33</t>
  </si>
  <si>
    <t>98,10</t>
  </si>
  <si>
    <t>Иванов Виктор</t>
  </si>
  <si>
    <t>1. Иванов Виктор</t>
  </si>
  <si>
    <t>Открытая (28.09.1980)/38</t>
  </si>
  <si>
    <t>106,50</t>
  </si>
  <si>
    <t>120,0o</t>
  </si>
  <si>
    <t>125,0o</t>
  </si>
  <si>
    <t xml:space="preserve">Женщины </t>
  </si>
  <si>
    <t xml:space="preserve">Мастера 60 - 64 </t>
  </si>
  <si>
    <t>56</t>
  </si>
  <si>
    <t>107,3439</t>
  </si>
  <si>
    <t>75</t>
  </si>
  <si>
    <t>97,3627</t>
  </si>
  <si>
    <t>67.5</t>
  </si>
  <si>
    <t>90,1444</t>
  </si>
  <si>
    <t>82.5</t>
  </si>
  <si>
    <t>88,3818</t>
  </si>
  <si>
    <t>84,8110</t>
  </si>
  <si>
    <t>67,7602</t>
  </si>
  <si>
    <t>56,9300</t>
  </si>
  <si>
    <t>50,2038</t>
  </si>
  <si>
    <t xml:space="preserve">Юноши 0-13 </t>
  </si>
  <si>
    <t>52</t>
  </si>
  <si>
    <t>37,5</t>
  </si>
  <si>
    <t>48,4128</t>
  </si>
  <si>
    <t>37,1533</t>
  </si>
  <si>
    <t xml:space="preserve">Юниоры </t>
  </si>
  <si>
    <t xml:space="preserve">Юниоры 20 - 23 </t>
  </si>
  <si>
    <t>91,3564</t>
  </si>
  <si>
    <t>90,7667</t>
  </si>
  <si>
    <t>74,5314</t>
  </si>
  <si>
    <t>93,6180</t>
  </si>
  <si>
    <t>92,1785</t>
  </si>
  <si>
    <t>88,0950</t>
  </si>
  <si>
    <t>84,7650</t>
  </si>
  <si>
    <t>79,6432</t>
  </si>
  <si>
    <t>79,2855</t>
  </si>
  <si>
    <t>74,7600</t>
  </si>
  <si>
    <t>67,6625</t>
  </si>
  <si>
    <t xml:space="preserve">Мастера 40 - 44 </t>
  </si>
  <si>
    <t>94,0950</t>
  </si>
  <si>
    <t xml:space="preserve">143(8+12+12+12+9+12+9+12+12+12+12+9+12) </t>
  </si>
  <si>
    <t xml:space="preserve">Жуков Станислав, Кадыров Арсен, Анищенко Артем, Иванов Виктор, Якунин Никита, Мамонов Юрий, Гасымов Санан, Белоусов Даниил, Соловьев Дмитрий, Киндур Владимир, Чернышов Александр, Мусиенко Константин, Гостева Валентина </t>
  </si>
  <si>
    <t xml:space="preserve">81(12+12+12+12+12+12+9) </t>
  </si>
  <si>
    <t xml:space="preserve">Бугаев Артем, Соломкин Роман, Поданев Игорь, Жинкин Дмитрий, Шульгин Виталий, Потапов Алексей, Назин Александр </t>
  </si>
  <si>
    <t xml:space="preserve">Захаров Игорь </t>
  </si>
  <si>
    <t xml:space="preserve">9(9) </t>
  </si>
  <si>
    <t xml:space="preserve">Евлоев Муслим </t>
  </si>
  <si>
    <t>Каширин Иван</t>
  </si>
  <si>
    <t>1. Каширин Иван</t>
  </si>
  <si>
    <t>Мастера 40 - 44 (01.01.1979)/40</t>
  </si>
  <si>
    <t>97,50</t>
  </si>
  <si>
    <t xml:space="preserve">Воронеж/Воронежская область </t>
  </si>
  <si>
    <t>105,0o</t>
  </si>
  <si>
    <t>Пелин Артем</t>
  </si>
  <si>
    <t>1. Пелин Артем</t>
  </si>
  <si>
    <t>Открытая (28.01.1982)/37</t>
  </si>
  <si>
    <t>109,40</t>
  </si>
  <si>
    <t>180,0</t>
  </si>
  <si>
    <t>190,0</t>
  </si>
  <si>
    <t>96,6960</t>
  </si>
  <si>
    <t>70,0625</t>
  </si>
  <si>
    <t xml:space="preserve">24(12+12) </t>
  </si>
  <si>
    <t xml:space="preserve">Пелин Артем, Каширин Иван </t>
  </si>
  <si>
    <t>Орлов Александр</t>
  </si>
  <si>
    <t>1. Орлов Александр</t>
  </si>
  <si>
    <t>Юноши 14-15 (18.09.2004)/14</t>
  </si>
  <si>
    <t>54,40</t>
  </si>
  <si>
    <t xml:space="preserve">ФОК Олимпийский </t>
  </si>
  <si>
    <t xml:space="preserve">Строитель/Белгородская область </t>
  </si>
  <si>
    <t>55,0</t>
  </si>
  <si>
    <t xml:space="preserve">Юноши 14-15 </t>
  </si>
  <si>
    <t>72,2348</t>
  </si>
  <si>
    <t xml:space="preserve">Орлов Александр </t>
  </si>
  <si>
    <t>Долгополова Юлия</t>
  </si>
  <si>
    <t>1. Долгополова Юлия</t>
  </si>
  <si>
    <t>Открытая (19.01.1988)/31</t>
  </si>
  <si>
    <t>64,00</t>
  </si>
  <si>
    <t>85,0</t>
  </si>
  <si>
    <t>Кильдюшев Андрей</t>
  </si>
  <si>
    <t>1. Кильдюшев Андрей</t>
  </si>
  <si>
    <t>Открытая (04.08.1988)/30</t>
  </si>
  <si>
    <t>82,30</t>
  </si>
  <si>
    <t>200,0</t>
  </si>
  <si>
    <t>220,0</t>
  </si>
  <si>
    <t>240,0</t>
  </si>
  <si>
    <t>Мешковой Александр</t>
  </si>
  <si>
    <t>1. Мешковой Александр</t>
  </si>
  <si>
    <t>Открытая (28.12.1987)/31</t>
  </si>
  <si>
    <t>104,90</t>
  </si>
  <si>
    <t>250,0</t>
  </si>
  <si>
    <t>73,3815</t>
  </si>
  <si>
    <t>148,8720</t>
  </si>
  <si>
    <t>135,9750</t>
  </si>
  <si>
    <t xml:space="preserve">Кильдюшев Андрей, Долгополова Юлия </t>
  </si>
  <si>
    <t xml:space="preserve">Мешковой Александр </t>
  </si>
  <si>
    <t>Громов Сергей</t>
  </si>
  <si>
    <t>1. Громов Сергей</t>
  </si>
  <si>
    <t>Мастера 50 - 54 (02.09.1966)/52</t>
  </si>
  <si>
    <t>104,50</t>
  </si>
  <si>
    <t xml:space="preserve">Спарта </t>
  </si>
  <si>
    <t>270,0</t>
  </si>
  <si>
    <t xml:space="preserve">Самост </t>
  </si>
  <si>
    <t>-. Ващук Андрей</t>
  </si>
  <si>
    <t>Мастера 55 - 59 (28.06.1960)/58</t>
  </si>
  <si>
    <t>109,00</t>
  </si>
  <si>
    <t>164,6054</t>
  </si>
  <si>
    <t xml:space="preserve">Громов Сергей </t>
  </si>
  <si>
    <t>Становая тяга</t>
  </si>
  <si>
    <t>Крапивенцева Яна</t>
  </si>
  <si>
    <t>1. Крапивенцева Яна</t>
  </si>
  <si>
    <t>Девушки 18 - 19 (04.02.2001)/18</t>
  </si>
  <si>
    <t>71,20</t>
  </si>
  <si>
    <t>127,5</t>
  </si>
  <si>
    <t>Мануйленко Роман</t>
  </si>
  <si>
    <t>1. Мануйленко Роман</t>
  </si>
  <si>
    <t>Юноши 16 - 17 (07.05.2001)/17</t>
  </si>
  <si>
    <t>69,50</t>
  </si>
  <si>
    <t xml:space="preserve">Грайворон/Белгородская область </t>
  </si>
  <si>
    <t>Рычкин Алексей</t>
  </si>
  <si>
    <t>1. Рычкин Алексей</t>
  </si>
  <si>
    <t>Юниоры 20 - 23 (19.04.1995)/23</t>
  </si>
  <si>
    <t>72,90</t>
  </si>
  <si>
    <t xml:space="preserve">Бирюч/Белгородская область </t>
  </si>
  <si>
    <t>170,0</t>
  </si>
  <si>
    <t>Семеренко Вадим</t>
  </si>
  <si>
    <t>1. Семеренко Вадим</t>
  </si>
  <si>
    <t>Юноши 18 - 19 (04.07.1999)/19</t>
  </si>
  <si>
    <t>82,00</t>
  </si>
  <si>
    <t xml:space="preserve">Губкин/Белгородская область </t>
  </si>
  <si>
    <t>210,0</t>
  </si>
  <si>
    <t>Никонов Сергей</t>
  </si>
  <si>
    <t>1. Никонов Сергей</t>
  </si>
  <si>
    <t>Открытая (09.01.1990)/29</t>
  </si>
  <si>
    <t>80,00</t>
  </si>
  <si>
    <t xml:space="preserve">Ивня/Белгородская область </t>
  </si>
  <si>
    <t>175,0</t>
  </si>
  <si>
    <t>187,5</t>
  </si>
  <si>
    <t>160,0o</t>
  </si>
  <si>
    <t>172,5o</t>
  </si>
  <si>
    <t>197,5</t>
  </si>
  <si>
    <t>1. Мусиенко Константин</t>
  </si>
  <si>
    <t>260,0o</t>
  </si>
  <si>
    <t>270,0o</t>
  </si>
  <si>
    <t>Лазарев Игорь</t>
  </si>
  <si>
    <t>2. Лазарев Игорь</t>
  </si>
  <si>
    <t>Открытая (07.12.1987)/31</t>
  </si>
  <si>
    <t>89,00</t>
  </si>
  <si>
    <t>185,0</t>
  </si>
  <si>
    <t>Коныхов Игорь</t>
  </si>
  <si>
    <t>1. Коныхов Игорь</t>
  </si>
  <si>
    <t>Открытая (20.12.1970)/48</t>
  </si>
  <si>
    <t>99,00</t>
  </si>
  <si>
    <t>280,0o</t>
  </si>
  <si>
    <t>Лавренов Николай</t>
  </si>
  <si>
    <t>2. Лавренов Николай</t>
  </si>
  <si>
    <t>Открытая (21.05.1988)/30</t>
  </si>
  <si>
    <t>98,70</t>
  </si>
  <si>
    <t>225,0</t>
  </si>
  <si>
    <t>235,0</t>
  </si>
  <si>
    <t>245,0</t>
  </si>
  <si>
    <t>Лукьяненко Сергей</t>
  </si>
  <si>
    <t>3. Лукьяненко Сергей</t>
  </si>
  <si>
    <t>Открытая (16.12.1989)/29</t>
  </si>
  <si>
    <t>195,0</t>
  </si>
  <si>
    <t>205,0</t>
  </si>
  <si>
    <t>Карпунин Александр</t>
  </si>
  <si>
    <t>1. Карпунин Александр</t>
  </si>
  <si>
    <t>Мастера 40 - 44 (21.10.1974)/44</t>
  </si>
  <si>
    <t>230,0</t>
  </si>
  <si>
    <t>Мастера 45 - 49 (20.12.1970)/48</t>
  </si>
  <si>
    <t xml:space="preserve">Девушки </t>
  </si>
  <si>
    <t>105,2462</t>
  </si>
  <si>
    <t>189,9161</t>
  </si>
  <si>
    <t>129,3552</t>
  </si>
  <si>
    <t>110,7788</t>
  </si>
  <si>
    <t>172,5</t>
  </si>
  <si>
    <t>109,1159</t>
  </si>
  <si>
    <t>129,1430</t>
  </si>
  <si>
    <t>158,5710</t>
  </si>
  <si>
    <t>280,0</t>
  </si>
  <si>
    <t>155,8200</t>
  </si>
  <si>
    <t>136,5385</t>
  </si>
  <si>
    <t>117,9990</t>
  </si>
  <si>
    <t>110,7575</t>
  </si>
  <si>
    <t>109,0205</t>
  </si>
  <si>
    <t xml:space="preserve">Мастера 45 - 49 </t>
  </si>
  <si>
    <t>174,0509</t>
  </si>
  <si>
    <t>137,8983</t>
  </si>
  <si>
    <t xml:space="preserve">117(12+12+12+12+12+12+9+12+12+12) </t>
  </si>
  <si>
    <t xml:space="preserve">Семеренко Вадим, Рычкин Алексей, Никонов Сергей, Кадыров Арсен, Коныхов Игорь, Коныхов Игорь, Лазарев Игорь, Мануйленко Роман, Мусиенко Константин, Гостева Валентина </t>
  </si>
  <si>
    <t xml:space="preserve">21(9+12) </t>
  </si>
  <si>
    <t xml:space="preserve">Лавренов Николай, Крапивенцева Яна </t>
  </si>
  <si>
    <t xml:space="preserve">Карпунин Александр </t>
  </si>
  <si>
    <t xml:space="preserve">8(8) </t>
  </si>
  <si>
    <t xml:space="preserve">Лукьяненко Сергей </t>
  </si>
  <si>
    <t>Алябьев Роман</t>
  </si>
  <si>
    <t>1. Алябьев Роман</t>
  </si>
  <si>
    <t>Открытая (22.12.1993)/25</t>
  </si>
  <si>
    <t>86,30</t>
  </si>
  <si>
    <t>Бондарев Иван</t>
  </si>
  <si>
    <t>1. Бондарев Иван</t>
  </si>
  <si>
    <t>Открытая (09.09.1992)/26</t>
  </si>
  <si>
    <t>240,0o</t>
  </si>
  <si>
    <t>265,0o</t>
  </si>
  <si>
    <t>151,5640</t>
  </si>
  <si>
    <t>120,1800</t>
  </si>
  <si>
    <t xml:space="preserve">Алябьев Роман </t>
  </si>
  <si>
    <t xml:space="preserve">Бондарев Иван </t>
  </si>
  <si>
    <t>65,0o</t>
  </si>
  <si>
    <t>165,0</t>
  </si>
  <si>
    <t>ВЕСОВАЯ КАТЕГОРИЯ   125</t>
  </si>
  <si>
    <t>-. Евдокимов Евгений</t>
  </si>
  <si>
    <t>Юниоры 20 - 23 (14.11.1997)/21</t>
  </si>
  <si>
    <t>119,00</t>
  </si>
  <si>
    <t>297,2599</t>
  </si>
  <si>
    <t>297,5</t>
  </si>
  <si>
    <t>203,7970</t>
  </si>
  <si>
    <t xml:space="preserve">Гостева Валентина </t>
  </si>
  <si>
    <t xml:space="preserve">Шульгин Виталий </t>
  </si>
  <si>
    <t>Коробейников Д.Ю.</t>
  </si>
  <si>
    <t>Лыков Н.</t>
  </si>
  <si>
    <t>Коробейников М.Ю.</t>
  </si>
  <si>
    <t>Кузьменко Е.В.</t>
  </si>
  <si>
    <t>Юниоры 18-19</t>
  </si>
  <si>
    <t>Титан</t>
  </si>
  <si>
    <t>Новый Оскол</t>
  </si>
  <si>
    <t>Жим лежа</t>
  </si>
  <si>
    <t>Народный жим</t>
  </si>
  <si>
    <t>Вес штанги</t>
  </si>
  <si>
    <t>Повторы</t>
  </si>
  <si>
    <t>29</t>
  </si>
  <si>
    <t>169</t>
  </si>
  <si>
    <t>НАП Н.Ж.</t>
  </si>
  <si>
    <t>Жим мн. повт.</t>
  </si>
  <si>
    <t>Тоннаж</t>
  </si>
  <si>
    <t>Вес</t>
  </si>
  <si>
    <t>1. Бочаров Руслан</t>
  </si>
  <si>
    <t>Открытая (17.01.1980)/39</t>
  </si>
  <si>
    <t>107,00</t>
  </si>
  <si>
    <t xml:space="preserve">Булат </t>
  </si>
  <si>
    <t>107,5</t>
  </si>
  <si>
    <t>21,0</t>
  </si>
  <si>
    <t xml:space="preserve">НАП Н.Ж. </t>
  </si>
  <si>
    <t>Бочаров Руслан</t>
  </si>
  <si>
    <t>2257,5</t>
  </si>
  <si>
    <t>1486,3380</t>
  </si>
  <si>
    <t xml:space="preserve">Бочаров Руслан </t>
  </si>
  <si>
    <t>Чемпионат ЦФО памяти Андрей Тормозова 
Профессионалы народный жим (1 вес)
Белгород/Белгородская область 9-10 марта 2019 г.</t>
  </si>
  <si>
    <t>24,0</t>
  </si>
  <si>
    <t>600,0</t>
  </si>
  <si>
    <t>651,3600</t>
  </si>
  <si>
    <t xml:space="preserve">Анищенко Артем </t>
  </si>
  <si>
    <t>Чемпионат ЦФО памяти Андрей Тормозова 
Любители народный жим (1/2 вес)
Белгород/Белгородская область 9-10 марта 2019 г.</t>
  </si>
  <si>
    <t>1. Чубарых Петр</t>
  </si>
  <si>
    <t>Открытая (17.04.1980)/38</t>
  </si>
  <si>
    <t>1. Дергалев Тимофей</t>
  </si>
  <si>
    <t>Открытая (28.12.1994)/24</t>
  </si>
  <si>
    <t>79,00</t>
  </si>
  <si>
    <t>18,0</t>
  </si>
  <si>
    <t>1. Шульгин Сергей</t>
  </si>
  <si>
    <t>Мастера 40 - 44 (20.10.1975)/43</t>
  </si>
  <si>
    <t>15,0</t>
  </si>
  <si>
    <t>1. Журавель Сергей</t>
  </si>
  <si>
    <t>Мастера 45 - 49 (25.03.1969)/49</t>
  </si>
  <si>
    <t>19,0</t>
  </si>
  <si>
    <t>Чубарых Петр</t>
  </si>
  <si>
    <t>1875,0</t>
  </si>
  <si>
    <t>1495,6875</t>
  </si>
  <si>
    <t>Дергалев Тимофей</t>
  </si>
  <si>
    <t>1440,0</t>
  </si>
  <si>
    <t>1137,4560</t>
  </si>
  <si>
    <t>Журавель Сергей</t>
  </si>
  <si>
    <t>1900,0</t>
  </si>
  <si>
    <t>1273,9500</t>
  </si>
  <si>
    <t>Шульгин Сергей</t>
  </si>
  <si>
    <t>1350,0</t>
  </si>
  <si>
    <t>974,2950</t>
  </si>
  <si>
    <t xml:space="preserve">36(12+12+12) </t>
  </si>
  <si>
    <t xml:space="preserve">Чубарых Петр, Журавель Сергей, Шульгин Сергей </t>
  </si>
  <si>
    <t xml:space="preserve">Дергалев Тимофей </t>
  </si>
  <si>
    <t>Чемпионат ЦФО памяти Андрей Тормозова 
Любители народный жим (1 вес)
Белгород/Белгородская область 9-10 марта 2019 г.</t>
  </si>
  <si>
    <t>Чемпионат ЦФО памяти Андрей Тормозова
Любители военный жим
Белгород/Белгородская область 9-10 марта 2019 г.</t>
  </si>
  <si>
    <t>Чемпионат ЦФО памяти Андрей Тормозова
СОВ жим лежа
Белгород/Белгородская область 9-10 марта 2019 г.</t>
  </si>
  <si>
    <t>Чемпионат ЦФО памяти Андрей Тормозова
Любители жим лежа без экипировки
Белгород/Белгородская область 9-10 марта 2019 г.</t>
  </si>
  <si>
    <t>Чемпионат ЦФО памяти Андрей Тормозова
ПРО жим лежа без экипировки
Белгород/Белгородская область 9-10 марта 2019 г.</t>
  </si>
  <si>
    <t>Чемпионат ЦФО памяти Андрей Тормозова
Любители жим лежа в софт экипировке
Белгород/Белгородская область 9-10 марта 2019 г.</t>
  </si>
  <si>
    <t>Чемпионат ЦФО памяти Андрей Тормозова
ПРО жим лежа в софт экипировке
Белгород/Белгородская область 9-10 марта 2019 г.</t>
  </si>
  <si>
    <t>Чемпионат ЦФО памяти Андрей Тормозова
ПРО жим лежа в софт экипировке 3сл.
Белгород/Белгородская область 9-10 марта 2019 г.</t>
  </si>
  <si>
    <t>Чемпионат ЦФО памяти Андрей Тормозова
Любители становая тяга без экипировки
Белгород/Белгородская область 9-10 марта 2019 г.</t>
  </si>
  <si>
    <t>Чемпионат ЦФО памяти Андрей Тормозова
ПРО становая тяга без экипировки
Белгород/Белгородская область 9-10 марта 2019 г.</t>
  </si>
  <si>
    <t>Чемпионат ЦФО памяти Андрей Тормозова
Силовое двоеборье любители
Белгород/Белгородская область 9-10 марта 2019 г.</t>
  </si>
  <si>
    <t>Чемпионат ЦФО памяти Андрей Тормозова
Жимовое двоеборье любители
Белгород/Белгородская область 9-10 марта 2019 г.</t>
  </si>
  <si>
    <t>Жим стоя</t>
  </si>
  <si>
    <t>Подъем на бицепс</t>
  </si>
  <si>
    <t>45,0</t>
  </si>
  <si>
    <t>50,0</t>
  </si>
  <si>
    <t>52,5</t>
  </si>
  <si>
    <t>57,5</t>
  </si>
  <si>
    <t>1. Назин Александр</t>
  </si>
  <si>
    <t>77,5</t>
  </si>
  <si>
    <t>1. Алкидис Радислав</t>
  </si>
  <si>
    <t>Мастера 40 - 44 (04.12.1978)/40</t>
  </si>
  <si>
    <t>99,70</t>
  </si>
  <si>
    <t>95,0</t>
  </si>
  <si>
    <t>2. Журавель Сергей</t>
  </si>
  <si>
    <t>87,5</t>
  </si>
  <si>
    <t>83,8137</t>
  </si>
  <si>
    <t>89,4377</t>
  </si>
  <si>
    <t>88,9870</t>
  </si>
  <si>
    <t>152,5</t>
  </si>
  <si>
    <t>85,2322</t>
  </si>
  <si>
    <t>70,6733</t>
  </si>
  <si>
    <t>108,7818</t>
  </si>
  <si>
    <t>Алкидис Радислав</t>
  </si>
  <si>
    <t>95,7030</t>
  </si>
  <si>
    <t>147,5</t>
  </si>
  <si>
    <t>94,0388</t>
  </si>
  <si>
    <t xml:space="preserve">78(12+12+9+12+9+12+12) </t>
  </si>
  <si>
    <t xml:space="preserve">Чубарых Петр, Алкидис Радислав, Пахомов Никита, Величко Владимир, Журавель Сергей, Потапов Алексей, Назин Александр </t>
  </si>
  <si>
    <t xml:space="preserve">Коныхов Игорь </t>
  </si>
  <si>
    <t>Чемпионат ЦФО памяти Андрея Тормозова 
Пауэрспорт Любители
Белгород/Белгородская область 9-10 марта 2019 г.</t>
  </si>
  <si>
    <t>27,5</t>
  </si>
  <si>
    <t>32,5</t>
  </si>
  <si>
    <t>1. Подпорина Любовь</t>
  </si>
  <si>
    <t>Мастера 45 - 49 (30.09.1970)/48</t>
  </si>
  <si>
    <t>73,30</t>
  </si>
  <si>
    <t>30,0o</t>
  </si>
  <si>
    <t>1. Бондаренко Сергей</t>
  </si>
  <si>
    <t>Юноши 16 - 17 (10.08.2001)/17</t>
  </si>
  <si>
    <t>70,45</t>
  </si>
  <si>
    <t>50,0o</t>
  </si>
  <si>
    <t>52,5o</t>
  </si>
  <si>
    <t>1. Афанасьев Дмитрий</t>
  </si>
  <si>
    <t>Юниоры 20 - 23 (21.05.1997)/21</t>
  </si>
  <si>
    <t>69,90</t>
  </si>
  <si>
    <t>40,0o</t>
  </si>
  <si>
    <t>55,0o</t>
  </si>
  <si>
    <t>62,5o</t>
  </si>
  <si>
    <t>1. Карабутов Михаил</t>
  </si>
  <si>
    <t>Юниоры 20 - 23 (07.05.1997)/21</t>
  </si>
  <si>
    <t>1. Кузнецов Василий</t>
  </si>
  <si>
    <t>Открытая (13.05.1989)/29</t>
  </si>
  <si>
    <t>79,50</t>
  </si>
  <si>
    <t>25,8151</t>
  </si>
  <si>
    <t>Подпорина Любовь</t>
  </si>
  <si>
    <t>35,0</t>
  </si>
  <si>
    <t>28,6938</t>
  </si>
  <si>
    <t>40,7745</t>
  </si>
  <si>
    <t>Бондаренко Сергей</t>
  </si>
  <si>
    <t>39,6503</t>
  </si>
  <si>
    <t>Карабутов Михаил</t>
  </si>
  <si>
    <t>39,5122</t>
  </si>
  <si>
    <t>Афанасьев Дмитрий</t>
  </si>
  <si>
    <t>39,4944</t>
  </si>
  <si>
    <t>Кузнецов Василий</t>
  </si>
  <si>
    <t>41,3270</t>
  </si>
  <si>
    <t>55,8693</t>
  </si>
  <si>
    <t>42,9970</t>
  </si>
  <si>
    <t xml:space="preserve">72(12+12+12+12+12+12) </t>
  </si>
  <si>
    <t xml:space="preserve">Карабутов Михаил, Кузнецов Василий, Подпорина Любовь, Киндур Владимир, Бондаренко Сергей, Афанасьев Дмитрий </t>
  </si>
  <si>
    <t xml:space="preserve">Алкидис Радислав, Крапивенцева Яна </t>
  </si>
  <si>
    <t>Чемпионат ЦФО памяти Андрея Тормозова 
Одиночный подъём штанги на бицепс Любители
Белгород/Белгородская область 9-10 марта 2019 г.</t>
  </si>
  <si>
    <t>Атлетизм</t>
  </si>
  <si>
    <t>ВЕСОВАЯ КАТЕГОРИЯ   All</t>
  </si>
  <si>
    <t>101,0</t>
  </si>
  <si>
    <t>1. Лавренов Николай</t>
  </si>
  <si>
    <t>2. Дудник Владимир</t>
  </si>
  <si>
    <t>Открытая (12.12.1982)/36</t>
  </si>
  <si>
    <t>99,45</t>
  </si>
  <si>
    <t>28,0</t>
  </si>
  <si>
    <t>1. Лазуренко Виталий</t>
  </si>
  <si>
    <t>Мастера 40 - 44 (22.01.1979)/40</t>
  </si>
  <si>
    <t>78,70</t>
  </si>
  <si>
    <t>52,0</t>
  </si>
  <si>
    <t>2. Шульгин Сергей</t>
  </si>
  <si>
    <t>51,0</t>
  </si>
  <si>
    <t xml:space="preserve">Атлетизм </t>
  </si>
  <si>
    <t>All</t>
  </si>
  <si>
    <t>5555,0</t>
  </si>
  <si>
    <t>61,7908</t>
  </si>
  <si>
    <t>4400,0</t>
  </si>
  <si>
    <t>44,5795</t>
  </si>
  <si>
    <t>Дудник Владимир</t>
  </si>
  <si>
    <t>1540,0</t>
  </si>
  <si>
    <t>15,4851</t>
  </si>
  <si>
    <t>Лазуренко Виталий</t>
  </si>
  <si>
    <t>2860,0</t>
  </si>
  <si>
    <t>36,3405</t>
  </si>
  <si>
    <t>2805,0</t>
  </si>
  <si>
    <t>31,5168</t>
  </si>
  <si>
    <t xml:space="preserve">33(12+12+9) </t>
  </si>
  <si>
    <t xml:space="preserve">Лавренов Николай, Величко Владимир, Шульгин Сергей </t>
  </si>
  <si>
    <t xml:space="preserve">Дудник Владимир, Лазуренко Виталий </t>
  </si>
  <si>
    <t>Чемпионат ЦФО памяти Андрей Тормозова 
Русский жим любители 55 кг.
Белгород/Белгородская область 9-10 марта 2019 г.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</si>
</sst>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left"/>
    </xf>
    <xf numFmtId="49" fontId="0" fillId="0" borderId="16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left"/>
    </xf>
    <xf numFmtId="0" fontId="0" fillId="0" borderId="13" xfId="0" applyNumberFormat="1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49" fontId="0" fillId="0" borderId="16" xfId="0" applyNumberForma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M2"/>
    </sheetView>
  </sheetViews>
  <sheetFormatPr defaultRowHeight="12.75"/>
  <cols>
    <col min="1" max="1" width="25.85546875" style="4" bestFit="1" customWidth="1"/>
    <col min="2" max="2" width="27.85546875" style="4" customWidth="1"/>
    <col min="3" max="3" width="10" style="4" customWidth="1"/>
    <col min="4" max="4" width="11.140625" style="4" customWidth="1"/>
    <col min="5" max="5" width="21.140625" style="4" bestFit="1" customWidth="1"/>
    <col min="6" max="8" width="7" style="3" bestFit="1" customWidth="1"/>
    <col min="9" max="9" width="12.7109375" style="3" bestFit="1" customWidth="1"/>
    <col min="10" max="10" width="10.42578125" style="3" bestFit="1" customWidth="1"/>
    <col min="11" max="11" width="7.85546875" style="5" bestFit="1" customWidth="1"/>
    <col min="12" max="12" width="8.5703125" style="6" bestFit="1" customWidth="1"/>
    <col min="13" max="13" width="23" style="4" bestFit="1" customWidth="1"/>
    <col min="14" max="16384" width="9.140625" style="3"/>
  </cols>
  <sheetData>
    <row r="1" spans="1:13" s="2" customFormat="1" ht="15" customHeight="1">
      <c r="A1" s="41" t="s">
        <v>498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84.75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6</v>
      </c>
      <c r="C3" s="49" t="s">
        <v>7</v>
      </c>
      <c r="D3" s="51" t="s">
        <v>4</v>
      </c>
      <c r="E3" s="51" t="s">
        <v>8</v>
      </c>
      <c r="F3" s="51" t="s">
        <v>433</v>
      </c>
      <c r="G3" s="51"/>
      <c r="H3" s="51"/>
      <c r="I3" s="51" t="s">
        <v>434</v>
      </c>
      <c r="J3" s="51"/>
      <c r="K3" s="37" t="s">
        <v>1</v>
      </c>
      <c r="L3" s="37" t="s">
        <v>3</v>
      </c>
      <c r="M3" s="39" t="s">
        <v>2</v>
      </c>
    </row>
    <row r="4" spans="1:13" s="1" customFormat="1" ht="21" customHeight="1">
      <c r="A4" s="48"/>
      <c r="B4" s="50"/>
      <c r="C4" s="50"/>
      <c r="D4" s="50"/>
      <c r="E4" s="50"/>
      <c r="F4" s="33">
        <v>1</v>
      </c>
      <c r="G4" s="33">
        <v>2</v>
      </c>
      <c r="H4" s="33">
        <v>3</v>
      </c>
      <c r="I4" s="33" t="s">
        <v>435</v>
      </c>
      <c r="J4" s="33" t="s">
        <v>436</v>
      </c>
      <c r="K4" s="38"/>
      <c r="L4" s="38"/>
      <c r="M4" s="40"/>
    </row>
    <row r="5" spans="1:13" ht="15">
      <c r="A5" s="36" t="s">
        <v>136</v>
      </c>
      <c r="B5" s="36"/>
      <c r="C5" s="36"/>
      <c r="D5" s="36"/>
      <c r="E5" s="36"/>
      <c r="F5" s="36"/>
      <c r="G5" s="36"/>
      <c r="H5" s="36"/>
      <c r="I5" s="36"/>
      <c r="J5" s="36"/>
      <c r="K5" s="34"/>
      <c r="L5" s="35"/>
      <c r="M5" s="8"/>
    </row>
    <row r="6" spans="1:13">
      <c r="A6" s="30" t="s">
        <v>142</v>
      </c>
      <c r="B6" s="30" t="s">
        <v>430</v>
      </c>
      <c r="C6" s="30" t="s">
        <v>144</v>
      </c>
      <c r="D6" s="30" t="s">
        <v>431</v>
      </c>
      <c r="E6" s="30" t="s">
        <v>432</v>
      </c>
      <c r="F6" s="10" t="s">
        <v>44</v>
      </c>
      <c r="G6" s="10" t="s">
        <v>45</v>
      </c>
      <c r="H6" s="9" t="s">
        <v>145</v>
      </c>
      <c r="I6" s="30" t="s">
        <v>217</v>
      </c>
      <c r="J6" s="32" t="s">
        <v>437</v>
      </c>
      <c r="K6" s="32" t="s">
        <v>438</v>
      </c>
      <c r="L6" s="32" t="s">
        <v>438</v>
      </c>
      <c r="M6" s="10"/>
    </row>
    <row r="9" spans="1:13" ht="15">
      <c r="B9" s="17" t="s">
        <v>50</v>
      </c>
      <c r="C9" s="28" t="s">
        <v>426</v>
      </c>
    </row>
    <row r="10" spans="1:13" ht="15">
      <c r="B10" s="17" t="s">
        <v>51</v>
      </c>
      <c r="C10" s="28" t="s">
        <v>429</v>
      </c>
    </row>
    <row r="11" spans="1:13" ht="15">
      <c r="B11" s="17" t="s">
        <v>52</v>
      </c>
      <c r="C11" s="28" t="s">
        <v>426</v>
      </c>
    </row>
    <row r="12" spans="1:13" ht="15">
      <c r="B12" s="17" t="s">
        <v>53</v>
      </c>
      <c r="C12" s="28" t="s">
        <v>427</v>
      </c>
    </row>
    <row r="13" spans="1:13" ht="15">
      <c r="B13" s="17" t="s">
        <v>53</v>
      </c>
      <c r="C13" s="28" t="s">
        <v>428</v>
      </c>
    </row>
    <row r="14" spans="1:13" ht="15">
      <c r="B14" s="17" t="s">
        <v>54</v>
      </c>
      <c r="C14" s="28" t="s">
        <v>429</v>
      </c>
    </row>
  </sheetData>
  <mergeCells count="12">
    <mergeCell ref="A5:J5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H3"/>
    <mergeCell ref="I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sqref="A1:M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7.42578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1" t="s">
        <v>489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10</v>
      </c>
      <c r="H3" s="51"/>
      <c r="I3" s="51"/>
      <c r="J3" s="51"/>
      <c r="K3" s="51" t="s">
        <v>84</v>
      </c>
      <c r="L3" s="51" t="s">
        <v>3</v>
      </c>
      <c r="M3" s="39" t="s">
        <v>2</v>
      </c>
    </row>
    <row r="4" spans="1:13" s="1" customFormat="1" ht="21" customHeight="1" thickBot="1">
      <c r="A4" s="53"/>
      <c r="B4" s="54"/>
      <c r="C4" s="54"/>
      <c r="D4" s="54"/>
      <c r="E4" s="54"/>
      <c r="F4" s="54"/>
      <c r="G4" s="7">
        <v>1</v>
      </c>
      <c r="H4" s="7">
        <v>2</v>
      </c>
      <c r="I4" s="7">
        <v>3</v>
      </c>
      <c r="J4" s="7" t="s">
        <v>5</v>
      </c>
      <c r="K4" s="54"/>
      <c r="L4" s="54"/>
      <c r="M4" s="55"/>
    </row>
    <row r="5" spans="1:13" ht="15">
      <c r="A5" s="56" t="s">
        <v>85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>
      <c r="A6" s="8" t="s">
        <v>87</v>
      </c>
      <c r="B6" s="8" t="s">
        <v>88</v>
      </c>
      <c r="C6" s="8" t="s">
        <v>89</v>
      </c>
      <c r="D6" s="8" t="str">
        <f>"0,5398"</f>
        <v>0,5398</v>
      </c>
      <c r="E6" s="8" t="s">
        <v>90</v>
      </c>
      <c r="F6" s="8" t="s">
        <v>35</v>
      </c>
      <c r="G6" s="10" t="s">
        <v>91</v>
      </c>
      <c r="H6" s="10" t="s">
        <v>36</v>
      </c>
      <c r="I6" s="10" t="s">
        <v>37</v>
      </c>
      <c r="J6" s="9"/>
      <c r="K6" s="8" t="str">
        <f>"125,0"</f>
        <v>125,0</v>
      </c>
      <c r="L6" s="10" t="str">
        <f>"93,1155"</f>
        <v>93,1155</v>
      </c>
      <c r="M6" s="8" t="s">
        <v>21</v>
      </c>
    </row>
    <row r="8" spans="1:13" ht="15">
      <c r="E8" s="17" t="s">
        <v>50</v>
      </c>
      <c r="F8" s="28" t="s">
        <v>426</v>
      </c>
    </row>
    <row r="9" spans="1:13" ht="15">
      <c r="E9" s="17" t="s">
        <v>51</v>
      </c>
      <c r="F9" s="28" t="s">
        <v>429</v>
      </c>
    </row>
    <row r="10" spans="1:13" ht="15">
      <c r="E10" s="17" t="s">
        <v>52</v>
      </c>
      <c r="F10" s="28" t="s">
        <v>426</v>
      </c>
    </row>
    <row r="11" spans="1:13" ht="15">
      <c r="E11" s="17" t="s">
        <v>53</v>
      </c>
      <c r="F11" s="28" t="s">
        <v>427</v>
      </c>
    </row>
    <row r="12" spans="1:13" ht="15">
      <c r="E12" s="17" t="s">
        <v>53</v>
      </c>
      <c r="F12" s="28" t="s">
        <v>428</v>
      </c>
    </row>
    <row r="13" spans="1:13" ht="15">
      <c r="E13" s="17" t="s">
        <v>54</v>
      </c>
      <c r="F13" s="28" t="s">
        <v>429</v>
      </c>
    </row>
    <row r="14" spans="1:13" ht="15">
      <c r="E14" s="17"/>
    </row>
    <row r="16" spans="1:13" ht="18">
      <c r="A16" s="18" t="s">
        <v>55</v>
      </c>
      <c r="B16" s="18"/>
    </row>
    <row r="17" spans="1:5" ht="15">
      <c r="A17" s="19" t="s">
        <v>56</v>
      </c>
      <c r="B17" s="19"/>
    </row>
    <row r="18" spans="1:5" ht="14.25">
      <c r="A18" s="21"/>
      <c r="B18" s="22" t="s">
        <v>73</v>
      </c>
    </row>
    <row r="19" spans="1:5" ht="15">
      <c r="A19" s="23" t="s">
        <v>58</v>
      </c>
      <c r="B19" s="23" t="s">
        <v>59</v>
      </c>
      <c r="C19" s="23" t="s">
        <v>60</v>
      </c>
      <c r="D19" s="23" t="s">
        <v>61</v>
      </c>
      <c r="E19" s="23" t="s">
        <v>62</v>
      </c>
    </row>
    <row r="20" spans="1:5">
      <c r="A20" s="20" t="s">
        <v>86</v>
      </c>
      <c r="B20" s="4" t="s">
        <v>92</v>
      </c>
      <c r="C20" s="4" t="s">
        <v>93</v>
      </c>
      <c r="D20" s="4" t="s">
        <v>37</v>
      </c>
      <c r="E20" s="24" t="s">
        <v>94</v>
      </c>
    </row>
    <row r="25" spans="1:5" ht="18">
      <c r="A25" s="18" t="s">
        <v>76</v>
      </c>
      <c r="B25" s="18"/>
    </row>
    <row r="26" spans="1:5" ht="15">
      <c r="A26" s="23" t="s">
        <v>77</v>
      </c>
      <c r="B26" s="23" t="s">
        <v>78</v>
      </c>
      <c r="C26" s="23" t="s">
        <v>79</v>
      </c>
    </row>
    <row r="27" spans="1:5">
      <c r="A27" s="4" t="s">
        <v>90</v>
      </c>
      <c r="B27" s="4" t="s">
        <v>82</v>
      </c>
      <c r="C27" s="4" t="s">
        <v>95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46"/>
  <sheetViews>
    <sheetView zoomScaleNormal="100" workbookViewId="0">
      <selection sqref="A1:M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25.140625" style="4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1" t="s">
        <v>488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10</v>
      </c>
      <c r="H3" s="51"/>
      <c r="I3" s="51"/>
      <c r="J3" s="51"/>
      <c r="K3" s="51" t="s">
        <v>84</v>
      </c>
      <c r="L3" s="51" t="s">
        <v>3</v>
      </c>
      <c r="M3" s="39" t="s">
        <v>2</v>
      </c>
    </row>
    <row r="4" spans="1:13" s="1" customFormat="1" ht="21" customHeight="1" thickBot="1">
      <c r="A4" s="53"/>
      <c r="B4" s="54"/>
      <c r="C4" s="54"/>
      <c r="D4" s="54"/>
      <c r="E4" s="54"/>
      <c r="F4" s="54"/>
      <c r="G4" s="7">
        <v>1</v>
      </c>
      <c r="H4" s="7">
        <v>2</v>
      </c>
      <c r="I4" s="7">
        <v>3</v>
      </c>
      <c r="J4" s="7" t="s">
        <v>5</v>
      </c>
      <c r="K4" s="54"/>
      <c r="L4" s="54"/>
      <c r="M4" s="55"/>
    </row>
    <row r="5" spans="1:13" ht="15">
      <c r="A5" s="56" t="s">
        <v>11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>
      <c r="A6" s="8" t="s">
        <v>13</v>
      </c>
      <c r="B6" s="8" t="s">
        <v>14</v>
      </c>
      <c r="C6" s="8" t="s">
        <v>15</v>
      </c>
      <c r="D6" s="8" t="str">
        <f>"0,8271"</f>
        <v>0,8271</v>
      </c>
      <c r="E6" s="8" t="s">
        <v>16</v>
      </c>
      <c r="F6" s="8" t="s">
        <v>17</v>
      </c>
      <c r="G6" s="10" t="s">
        <v>18</v>
      </c>
      <c r="H6" s="10" t="s">
        <v>19</v>
      </c>
      <c r="I6" s="9" t="s">
        <v>20</v>
      </c>
      <c r="J6" s="9"/>
      <c r="K6" s="8" t="str">
        <f>"67,5"</f>
        <v>67,5</v>
      </c>
      <c r="L6" s="10" t="str">
        <f>"63,0871"</f>
        <v>63,0871</v>
      </c>
      <c r="M6" s="8" t="s">
        <v>21</v>
      </c>
    </row>
    <row r="8" spans="1:13" ht="15">
      <c r="A8" s="52" t="s">
        <v>22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11" t="s">
        <v>24</v>
      </c>
      <c r="B9" s="11" t="s">
        <v>25</v>
      </c>
      <c r="C9" s="11" t="s">
        <v>26</v>
      </c>
      <c r="D9" s="11" t="str">
        <f>"0,5857"</f>
        <v>0,5857</v>
      </c>
      <c r="E9" s="11" t="s">
        <v>16</v>
      </c>
      <c r="F9" s="11" t="s">
        <v>17</v>
      </c>
      <c r="G9" s="13" t="s">
        <v>27</v>
      </c>
      <c r="H9" s="13" t="s">
        <v>28</v>
      </c>
      <c r="I9" s="13" t="s">
        <v>29</v>
      </c>
      <c r="J9" s="12"/>
      <c r="K9" s="11" t="str">
        <f>"120,0"</f>
        <v>120,0</v>
      </c>
      <c r="L9" s="13" t="str">
        <f>"74,5010"</f>
        <v>74,5010</v>
      </c>
      <c r="M9" s="11" t="s">
        <v>21</v>
      </c>
    </row>
    <row r="10" spans="1:13">
      <c r="A10" s="14" t="s">
        <v>31</v>
      </c>
      <c r="B10" s="14" t="s">
        <v>32</v>
      </c>
      <c r="C10" s="14" t="s">
        <v>33</v>
      </c>
      <c r="D10" s="14" t="str">
        <f>"0,6022"</f>
        <v>0,6022</v>
      </c>
      <c r="E10" s="14" t="s">
        <v>34</v>
      </c>
      <c r="F10" s="14" t="s">
        <v>35</v>
      </c>
      <c r="G10" s="16" t="s">
        <v>27</v>
      </c>
      <c r="H10" s="15" t="s">
        <v>36</v>
      </c>
      <c r="I10" s="15" t="s">
        <v>37</v>
      </c>
      <c r="J10" s="15"/>
      <c r="K10" s="14" t="str">
        <f>"110,0"</f>
        <v>110,0</v>
      </c>
      <c r="L10" s="16" t="str">
        <f>"80,0866"</f>
        <v>80,0866</v>
      </c>
      <c r="M10" s="14" t="s">
        <v>21</v>
      </c>
    </row>
    <row r="12" spans="1:13" ht="15">
      <c r="A12" s="52" t="s">
        <v>38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3">
      <c r="A13" s="11" t="s">
        <v>40</v>
      </c>
      <c r="B13" s="11" t="s">
        <v>41</v>
      </c>
      <c r="C13" s="11" t="s">
        <v>42</v>
      </c>
      <c r="D13" s="11" t="str">
        <f>"0,5651"</f>
        <v>0,5651</v>
      </c>
      <c r="E13" s="11" t="s">
        <v>16</v>
      </c>
      <c r="F13" s="11" t="s">
        <v>17</v>
      </c>
      <c r="G13" s="13" t="s">
        <v>43</v>
      </c>
      <c r="H13" s="13" t="s">
        <v>44</v>
      </c>
      <c r="I13" s="13" t="s">
        <v>45</v>
      </c>
      <c r="J13" s="12"/>
      <c r="K13" s="11" t="str">
        <f>"140,0"</f>
        <v>140,0</v>
      </c>
      <c r="L13" s="13" t="str">
        <f>"79,1140"</f>
        <v>79,1140</v>
      </c>
      <c r="M13" s="11" t="s">
        <v>21</v>
      </c>
    </row>
    <row r="14" spans="1:13">
      <c r="A14" s="14" t="s">
        <v>47</v>
      </c>
      <c r="B14" s="14" t="s">
        <v>48</v>
      </c>
      <c r="C14" s="14" t="s">
        <v>49</v>
      </c>
      <c r="D14" s="14" t="str">
        <f>"0,5543"</f>
        <v>0,5543</v>
      </c>
      <c r="E14" s="14" t="s">
        <v>16</v>
      </c>
      <c r="F14" s="14" t="s">
        <v>17</v>
      </c>
      <c r="G14" s="16" t="s">
        <v>27</v>
      </c>
      <c r="H14" s="16" t="s">
        <v>28</v>
      </c>
      <c r="I14" s="16" t="s">
        <v>36</v>
      </c>
      <c r="J14" s="15"/>
      <c r="K14" s="14" t="str">
        <f>"117,5"</f>
        <v>117,5</v>
      </c>
      <c r="L14" s="16" t="str">
        <f>"65,1303"</f>
        <v>65,1303</v>
      </c>
      <c r="M14" s="14" t="s">
        <v>21</v>
      </c>
    </row>
    <row r="16" spans="1:13" ht="15">
      <c r="E16" s="17" t="s">
        <v>50</v>
      </c>
      <c r="F16" s="28" t="s">
        <v>426</v>
      </c>
    </row>
    <row r="17" spans="1:6" ht="15">
      <c r="E17" s="17" t="s">
        <v>51</v>
      </c>
      <c r="F17" s="28" t="s">
        <v>429</v>
      </c>
    </row>
    <row r="18" spans="1:6" ht="15">
      <c r="E18" s="17" t="s">
        <v>52</v>
      </c>
      <c r="F18" s="28" t="s">
        <v>426</v>
      </c>
    </row>
    <row r="19" spans="1:6" ht="15">
      <c r="E19" s="17" t="s">
        <v>53</v>
      </c>
      <c r="F19" s="28" t="s">
        <v>427</v>
      </c>
    </row>
    <row r="20" spans="1:6" ht="15">
      <c r="E20" s="17" t="s">
        <v>53</v>
      </c>
      <c r="F20" s="28" t="s">
        <v>428</v>
      </c>
    </row>
    <row r="21" spans="1:6" ht="15">
      <c r="E21" s="17" t="s">
        <v>54</v>
      </c>
      <c r="F21" s="28" t="s">
        <v>429</v>
      </c>
    </row>
    <row r="22" spans="1:6" ht="15">
      <c r="E22" s="17"/>
    </row>
    <row r="24" spans="1:6" ht="18">
      <c r="A24" s="18" t="s">
        <v>55</v>
      </c>
      <c r="B24" s="18"/>
    </row>
    <row r="25" spans="1:6" ht="15">
      <c r="A25" s="19" t="s">
        <v>56</v>
      </c>
      <c r="B25" s="19"/>
    </row>
    <row r="26" spans="1:6" ht="14.25">
      <c r="A26" s="21"/>
      <c r="B26" s="22" t="s">
        <v>57</v>
      </c>
    </row>
    <row r="27" spans="1:6" ht="15">
      <c r="A27" s="23" t="s">
        <v>58</v>
      </c>
      <c r="B27" s="23" t="s">
        <v>59</v>
      </c>
      <c r="C27" s="23" t="s">
        <v>60</v>
      </c>
      <c r="D27" s="23" t="s">
        <v>61</v>
      </c>
      <c r="E27" s="23" t="s">
        <v>62</v>
      </c>
    </row>
    <row r="28" spans="1:6">
      <c r="A28" s="20" t="s">
        <v>23</v>
      </c>
      <c r="B28" s="4" t="s">
        <v>63</v>
      </c>
      <c r="C28" s="4" t="s">
        <v>64</v>
      </c>
      <c r="D28" s="4" t="s">
        <v>29</v>
      </c>
      <c r="E28" s="24" t="s">
        <v>65</v>
      </c>
    </row>
    <row r="29" spans="1:6">
      <c r="A29" s="20" t="s">
        <v>12</v>
      </c>
      <c r="B29" s="4" t="s">
        <v>66</v>
      </c>
      <c r="C29" s="4" t="s">
        <v>67</v>
      </c>
      <c r="D29" s="4" t="s">
        <v>19</v>
      </c>
      <c r="E29" s="24" t="s">
        <v>68</v>
      </c>
    </row>
    <row r="31" spans="1:6" ht="14.25">
      <c r="A31" s="21"/>
      <c r="B31" s="22" t="s">
        <v>69</v>
      </c>
    </row>
    <row r="32" spans="1:6" ht="15">
      <c r="A32" s="23" t="s">
        <v>58</v>
      </c>
      <c r="B32" s="23" t="s">
        <v>59</v>
      </c>
      <c r="C32" s="23" t="s">
        <v>60</v>
      </c>
      <c r="D32" s="23" t="s">
        <v>61</v>
      </c>
      <c r="E32" s="23" t="s">
        <v>62</v>
      </c>
    </row>
    <row r="33" spans="1:5">
      <c r="A33" s="20" t="s">
        <v>39</v>
      </c>
      <c r="B33" s="4" t="s">
        <v>69</v>
      </c>
      <c r="C33" s="4" t="s">
        <v>70</v>
      </c>
      <c r="D33" s="4" t="s">
        <v>45</v>
      </c>
      <c r="E33" s="24" t="s">
        <v>71</v>
      </c>
    </row>
    <row r="34" spans="1:5">
      <c r="A34" s="20" t="s">
        <v>46</v>
      </c>
      <c r="B34" s="4" t="s">
        <v>69</v>
      </c>
      <c r="C34" s="4" t="s">
        <v>70</v>
      </c>
      <c r="D34" s="4" t="s">
        <v>36</v>
      </c>
      <c r="E34" s="24" t="s">
        <v>72</v>
      </c>
    </row>
    <row r="36" spans="1:5" ht="14.25">
      <c r="A36" s="21"/>
      <c r="B36" s="22" t="s">
        <v>73</v>
      </c>
    </row>
    <row r="37" spans="1:5" ht="15">
      <c r="A37" s="23" t="s">
        <v>58</v>
      </c>
      <c r="B37" s="23" t="s">
        <v>59</v>
      </c>
      <c r="C37" s="23" t="s">
        <v>60</v>
      </c>
      <c r="D37" s="23" t="s">
        <v>61</v>
      </c>
      <c r="E37" s="23" t="s">
        <v>62</v>
      </c>
    </row>
    <row r="38" spans="1:5">
      <c r="A38" s="20" t="s">
        <v>30</v>
      </c>
      <c r="B38" s="4" t="s">
        <v>74</v>
      </c>
      <c r="C38" s="4" t="s">
        <v>64</v>
      </c>
      <c r="D38" s="4" t="s">
        <v>27</v>
      </c>
      <c r="E38" s="24" t="s">
        <v>75</v>
      </c>
    </row>
    <row r="43" spans="1:5" ht="18">
      <c r="A43" s="18" t="s">
        <v>76</v>
      </c>
      <c r="B43" s="18"/>
    </row>
    <row r="44" spans="1:5" ht="15">
      <c r="A44" s="23" t="s">
        <v>77</v>
      </c>
      <c r="B44" s="23" t="s">
        <v>78</v>
      </c>
      <c r="C44" s="23" t="s">
        <v>79</v>
      </c>
    </row>
    <row r="45" spans="1:5">
      <c r="A45" s="4" t="s">
        <v>16</v>
      </c>
      <c r="B45" s="4" t="s">
        <v>80</v>
      </c>
      <c r="C45" s="4" t="s">
        <v>81</v>
      </c>
    </row>
    <row r="46" spans="1:5">
      <c r="A46" s="4" t="s">
        <v>34</v>
      </c>
      <c r="B46" s="4" t="s">
        <v>82</v>
      </c>
      <c r="C46" s="4" t="s">
        <v>83</v>
      </c>
    </row>
  </sheetData>
  <mergeCells count="14">
    <mergeCell ref="A5:L5"/>
    <mergeCell ref="A8:L8"/>
    <mergeCell ref="A12:L12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G11" sqref="G11"/>
    </sheetView>
  </sheetViews>
  <sheetFormatPr defaultRowHeight="12.75"/>
  <cols>
    <col min="1" max="1" width="26" customWidth="1"/>
    <col min="2" max="2" width="24.140625" customWidth="1"/>
    <col min="5" max="5" width="23.7109375" customWidth="1"/>
    <col min="6" max="6" width="27.5703125" customWidth="1"/>
  </cols>
  <sheetData>
    <row r="1" spans="1:11" ht="90.75" customHeight="1">
      <c r="A1" s="41" t="s">
        <v>454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13.5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15">
      <c r="A3" s="47" t="s">
        <v>0</v>
      </c>
      <c r="B3" s="49" t="s">
        <v>6</v>
      </c>
      <c r="C3" s="49" t="s">
        <v>7</v>
      </c>
      <c r="D3" s="51" t="s">
        <v>439</v>
      </c>
      <c r="E3" s="51" t="s">
        <v>4</v>
      </c>
      <c r="F3" s="51" t="s">
        <v>8</v>
      </c>
      <c r="G3" s="51" t="s">
        <v>440</v>
      </c>
      <c r="H3" s="51"/>
      <c r="I3" s="51" t="s">
        <v>441</v>
      </c>
      <c r="J3" s="51" t="s">
        <v>3</v>
      </c>
      <c r="K3" s="39" t="s">
        <v>2</v>
      </c>
    </row>
    <row r="4" spans="1:11" ht="15.75" thickBot="1">
      <c r="A4" s="53"/>
      <c r="B4" s="54"/>
      <c r="C4" s="54"/>
      <c r="D4" s="54"/>
      <c r="E4" s="54"/>
      <c r="F4" s="54"/>
      <c r="G4" s="29" t="s">
        <v>442</v>
      </c>
      <c r="H4" s="57" t="s">
        <v>436</v>
      </c>
      <c r="I4" s="54"/>
      <c r="J4" s="54"/>
      <c r="K4" s="55"/>
    </row>
    <row r="5" spans="1:11" ht="15">
      <c r="A5" s="56" t="s">
        <v>85</v>
      </c>
      <c r="B5" s="56"/>
      <c r="C5" s="56"/>
      <c r="D5" s="56"/>
      <c r="E5" s="56"/>
      <c r="F5" s="56"/>
      <c r="G5" s="56"/>
      <c r="H5" s="56"/>
      <c r="I5" s="56"/>
      <c r="J5" s="56"/>
      <c r="K5" s="4"/>
    </row>
    <row r="6" spans="1:11">
      <c r="A6" s="8" t="s">
        <v>443</v>
      </c>
      <c r="B6" s="8" t="s">
        <v>444</v>
      </c>
      <c r="C6" s="8" t="s">
        <v>445</v>
      </c>
      <c r="D6" s="8" t="str">
        <f>"0,6584"</f>
        <v>0,6584</v>
      </c>
      <c r="E6" s="8" t="s">
        <v>446</v>
      </c>
      <c r="F6" s="8" t="s">
        <v>335</v>
      </c>
      <c r="G6" s="10" t="s">
        <v>447</v>
      </c>
      <c r="H6" s="58" t="s">
        <v>448</v>
      </c>
      <c r="I6" s="8" t="str">
        <f>"2257,5"</f>
        <v>2257,5</v>
      </c>
      <c r="J6" s="10" t="str">
        <f>"1486,3380"</f>
        <v>1486,3380</v>
      </c>
      <c r="K6" s="8" t="s">
        <v>21</v>
      </c>
    </row>
    <row r="7" spans="1:11">
      <c r="A7" s="4"/>
      <c r="B7" s="4"/>
      <c r="C7" s="4"/>
      <c r="D7" s="4"/>
      <c r="E7" s="4"/>
      <c r="F7" s="4"/>
      <c r="G7" s="3"/>
      <c r="H7" s="59"/>
      <c r="I7" s="4"/>
      <c r="J7" s="3"/>
      <c r="K7" s="4"/>
    </row>
    <row r="8" spans="1:11" ht="15">
      <c r="A8" s="4"/>
      <c r="B8" s="4"/>
      <c r="C8" s="4"/>
      <c r="D8" s="4"/>
      <c r="E8" s="17" t="s">
        <v>50</v>
      </c>
      <c r="F8" s="28" t="s">
        <v>426</v>
      </c>
      <c r="G8" s="3"/>
      <c r="H8" s="59"/>
      <c r="I8" s="4"/>
      <c r="J8" s="3"/>
      <c r="K8" s="4"/>
    </row>
    <row r="9" spans="1:11" ht="15">
      <c r="A9" s="4"/>
      <c r="B9" s="4"/>
      <c r="C9" s="4"/>
      <c r="D9" s="4"/>
      <c r="E9" s="17" t="s">
        <v>51</v>
      </c>
      <c r="F9" s="28" t="s">
        <v>429</v>
      </c>
      <c r="G9" s="3"/>
      <c r="H9" s="59"/>
      <c r="I9" s="4"/>
      <c r="J9" s="3"/>
      <c r="K9" s="4"/>
    </row>
    <row r="10" spans="1:11" ht="15">
      <c r="A10" s="4"/>
      <c r="B10" s="4"/>
      <c r="C10" s="4"/>
      <c r="D10" s="4"/>
      <c r="E10" s="17" t="s">
        <v>52</v>
      </c>
      <c r="F10" s="28" t="s">
        <v>426</v>
      </c>
      <c r="G10" s="3"/>
      <c r="H10" s="59"/>
      <c r="I10" s="4"/>
      <c r="J10" s="3"/>
      <c r="K10" s="4"/>
    </row>
    <row r="11" spans="1:11" ht="15">
      <c r="A11" s="4"/>
      <c r="B11" s="4"/>
      <c r="C11" s="4"/>
      <c r="D11" s="4"/>
      <c r="E11" s="17" t="s">
        <v>53</v>
      </c>
      <c r="F11" s="28" t="s">
        <v>427</v>
      </c>
      <c r="G11" s="3"/>
      <c r="H11" s="59"/>
      <c r="I11" s="4"/>
      <c r="J11" s="3"/>
      <c r="K11" s="4"/>
    </row>
    <row r="12" spans="1:11" ht="15">
      <c r="A12" s="4"/>
      <c r="B12" s="4"/>
      <c r="C12" s="4"/>
      <c r="D12" s="4"/>
      <c r="E12" s="17" t="s">
        <v>53</v>
      </c>
      <c r="F12" s="28" t="s">
        <v>428</v>
      </c>
      <c r="G12" s="3"/>
      <c r="H12" s="59"/>
      <c r="I12" s="4"/>
      <c r="J12" s="3"/>
      <c r="K12" s="4"/>
    </row>
    <row r="13" spans="1:11" ht="15">
      <c r="A13" s="4"/>
      <c r="B13" s="4"/>
      <c r="C13" s="4"/>
      <c r="D13" s="4"/>
      <c r="E13" s="17" t="s">
        <v>54</v>
      </c>
      <c r="F13" s="28" t="s">
        <v>429</v>
      </c>
      <c r="G13" s="3"/>
      <c r="H13" s="59"/>
      <c r="I13" s="4"/>
      <c r="J13" s="3"/>
      <c r="K13" s="4"/>
    </row>
    <row r="14" spans="1:11" ht="15">
      <c r="A14" s="4"/>
      <c r="B14" s="4"/>
      <c r="C14" s="4"/>
      <c r="D14" s="4"/>
      <c r="E14" s="17"/>
      <c r="F14" s="4"/>
      <c r="G14" s="3"/>
      <c r="H14" s="59"/>
      <c r="I14" s="4"/>
      <c r="J14" s="3"/>
      <c r="K14" s="4"/>
    </row>
    <row r="15" spans="1:11">
      <c r="A15" s="4"/>
      <c r="B15" s="4"/>
      <c r="C15" s="4"/>
      <c r="D15" s="4"/>
      <c r="E15" s="4"/>
      <c r="F15" s="4"/>
      <c r="G15" s="3"/>
      <c r="H15" s="59"/>
      <c r="I15" s="4"/>
      <c r="J15" s="3"/>
      <c r="K15" s="4"/>
    </row>
    <row r="16" spans="1:11" ht="18">
      <c r="A16" s="18" t="s">
        <v>55</v>
      </c>
      <c r="B16" s="18"/>
      <c r="C16" s="4"/>
      <c r="D16" s="4"/>
      <c r="E16" s="4"/>
      <c r="F16" s="4"/>
      <c r="G16" s="3"/>
      <c r="H16" s="59"/>
      <c r="I16" s="4"/>
      <c r="J16" s="3"/>
      <c r="K16" s="4"/>
    </row>
    <row r="17" spans="1:11" ht="15">
      <c r="A17" s="19" t="s">
        <v>56</v>
      </c>
      <c r="B17" s="19"/>
      <c r="C17" s="4"/>
      <c r="D17" s="4"/>
      <c r="E17" s="4"/>
      <c r="F17" s="4"/>
      <c r="G17" s="3"/>
      <c r="H17" s="59"/>
      <c r="I17" s="4"/>
      <c r="J17" s="3"/>
      <c r="K17" s="4"/>
    </row>
    <row r="18" spans="1:11" ht="14.25">
      <c r="A18" s="21"/>
      <c r="B18" s="22" t="s">
        <v>69</v>
      </c>
      <c r="C18" s="4"/>
      <c r="D18" s="4"/>
      <c r="E18" s="4"/>
      <c r="F18" s="4"/>
      <c r="G18" s="3"/>
      <c r="H18" s="59"/>
      <c r="I18" s="4"/>
      <c r="J18" s="3"/>
      <c r="K18" s="4"/>
    </row>
    <row r="19" spans="1:11" ht="15">
      <c r="A19" s="23" t="s">
        <v>58</v>
      </c>
      <c r="B19" s="23" t="s">
        <v>59</v>
      </c>
      <c r="C19" s="23" t="s">
        <v>60</v>
      </c>
      <c r="D19" s="23" t="s">
        <v>61</v>
      </c>
      <c r="E19" s="23" t="s">
        <v>449</v>
      </c>
      <c r="F19" s="4"/>
      <c r="G19" s="3"/>
      <c r="H19" s="59"/>
      <c r="I19" s="4"/>
      <c r="J19" s="3"/>
      <c r="K19" s="4"/>
    </row>
    <row r="20" spans="1:11">
      <c r="A20" s="20" t="s">
        <v>450</v>
      </c>
      <c r="B20" s="4" t="s">
        <v>69</v>
      </c>
      <c r="C20" s="4" t="s">
        <v>93</v>
      </c>
      <c r="D20" s="4" t="s">
        <v>451</v>
      </c>
      <c r="E20" s="24" t="s">
        <v>452</v>
      </c>
      <c r="F20" s="4"/>
      <c r="G20" s="3"/>
      <c r="H20" s="59"/>
      <c r="I20" s="4"/>
      <c r="J20" s="3"/>
      <c r="K20" s="4"/>
    </row>
    <row r="21" spans="1:11">
      <c r="A21" s="4"/>
      <c r="B21" s="4"/>
      <c r="C21" s="4"/>
      <c r="D21" s="4"/>
      <c r="E21" s="4"/>
      <c r="F21" s="4"/>
      <c r="G21" s="3"/>
      <c r="H21" s="59"/>
      <c r="I21" s="4"/>
      <c r="J21" s="3"/>
      <c r="K21" s="4"/>
    </row>
    <row r="22" spans="1:11">
      <c r="A22" s="4"/>
      <c r="B22" s="4"/>
      <c r="C22" s="4"/>
      <c r="D22" s="4"/>
      <c r="E22" s="4"/>
      <c r="F22" s="4"/>
      <c r="G22" s="3"/>
      <c r="H22" s="59"/>
      <c r="I22" s="4"/>
      <c r="J22" s="3"/>
      <c r="K22" s="4"/>
    </row>
    <row r="23" spans="1:11">
      <c r="A23" s="4"/>
      <c r="B23" s="4"/>
      <c r="C23" s="4"/>
      <c r="D23" s="4"/>
      <c r="E23" s="4"/>
      <c r="F23" s="4"/>
      <c r="G23" s="3"/>
      <c r="H23" s="59"/>
      <c r="I23" s="4"/>
      <c r="J23" s="3"/>
      <c r="K23" s="4"/>
    </row>
    <row r="24" spans="1:11">
      <c r="A24" s="4"/>
      <c r="B24" s="4"/>
      <c r="C24" s="4"/>
      <c r="D24" s="4"/>
      <c r="E24" s="4"/>
      <c r="F24" s="4"/>
      <c r="G24" s="3"/>
      <c r="H24" s="59"/>
      <c r="I24" s="4"/>
      <c r="J24" s="3"/>
      <c r="K24" s="4"/>
    </row>
    <row r="25" spans="1:11" ht="18">
      <c r="A25" s="18" t="s">
        <v>76</v>
      </c>
      <c r="B25" s="18"/>
      <c r="C25" s="4"/>
      <c r="D25" s="4"/>
      <c r="E25" s="4"/>
      <c r="F25" s="4"/>
      <c r="G25" s="3"/>
      <c r="H25" s="59"/>
      <c r="I25" s="4"/>
      <c r="J25" s="3"/>
      <c r="K25" s="4"/>
    </row>
    <row r="26" spans="1:11" ht="15">
      <c r="A26" s="23" t="s">
        <v>77</v>
      </c>
      <c r="B26" s="23" t="s">
        <v>78</v>
      </c>
      <c r="C26" s="23" t="s">
        <v>79</v>
      </c>
      <c r="D26" s="4"/>
      <c r="E26" s="4"/>
      <c r="F26" s="4"/>
      <c r="G26" s="3"/>
      <c r="H26" s="59"/>
      <c r="I26" s="4"/>
      <c r="J26" s="3"/>
      <c r="K26" s="4"/>
    </row>
    <row r="27" spans="1:11">
      <c r="A27" s="4" t="s">
        <v>446</v>
      </c>
      <c r="B27" s="4" t="s">
        <v>82</v>
      </c>
      <c r="C27" s="4" t="s">
        <v>453</v>
      </c>
      <c r="D27" s="4"/>
      <c r="E27" s="4"/>
      <c r="F27" s="4"/>
      <c r="G27" s="3"/>
      <c r="H27" s="59"/>
      <c r="I27" s="4"/>
      <c r="J27" s="3"/>
      <c r="K27" s="4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D26" sqref="D26"/>
    </sheetView>
  </sheetViews>
  <sheetFormatPr defaultRowHeight="12.75"/>
  <cols>
    <col min="1" max="1" width="20.28515625" customWidth="1"/>
    <col min="2" max="2" width="27.42578125" customWidth="1"/>
    <col min="5" max="5" width="25.5703125" customWidth="1"/>
    <col min="6" max="6" width="30.85546875" customWidth="1"/>
  </cols>
  <sheetData>
    <row r="1" spans="1:11" ht="96" customHeight="1">
      <c r="A1" s="41" t="s">
        <v>459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13.5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15">
      <c r="A3" s="47" t="s">
        <v>0</v>
      </c>
      <c r="B3" s="49" t="s">
        <v>6</v>
      </c>
      <c r="C3" s="49" t="s">
        <v>7</v>
      </c>
      <c r="D3" s="51" t="s">
        <v>439</v>
      </c>
      <c r="E3" s="51" t="s">
        <v>4</v>
      </c>
      <c r="F3" s="51" t="s">
        <v>8</v>
      </c>
      <c r="G3" s="51" t="s">
        <v>440</v>
      </c>
      <c r="H3" s="51"/>
      <c r="I3" s="51" t="s">
        <v>441</v>
      </c>
      <c r="J3" s="51" t="s">
        <v>3</v>
      </c>
      <c r="K3" s="39" t="s">
        <v>2</v>
      </c>
    </row>
    <row r="4" spans="1:11" ht="15.75" thickBot="1">
      <c r="A4" s="53"/>
      <c r="B4" s="54"/>
      <c r="C4" s="54"/>
      <c r="D4" s="54"/>
      <c r="E4" s="54"/>
      <c r="F4" s="54"/>
      <c r="G4" s="29" t="s">
        <v>442</v>
      </c>
      <c r="H4" s="57" t="s">
        <v>436</v>
      </c>
      <c r="I4" s="54"/>
      <c r="J4" s="54"/>
      <c r="K4" s="55"/>
    </row>
    <row r="5" spans="1:11" ht="15">
      <c r="A5" s="56" t="s">
        <v>105</v>
      </c>
      <c r="B5" s="56"/>
      <c r="C5" s="56"/>
      <c r="D5" s="56"/>
      <c r="E5" s="56"/>
      <c r="F5" s="56"/>
      <c r="G5" s="56"/>
      <c r="H5" s="56"/>
      <c r="I5" s="56"/>
      <c r="J5" s="56"/>
      <c r="K5" s="4"/>
    </row>
    <row r="6" spans="1:11">
      <c r="A6" s="8" t="s">
        <v>107</v>
      </c>
      <c r="B6" s="8" t="s">
        <v>108</v>
      </c>
      <c r="C6" s="8" t="s">
        <v>109</v>
      </c>
      <c r="D6" s="8" t="str">
        <f>"1,0856"</f>
        <v>1,0856</v>
      </c>
      <c r="E6" s="8" t="s">
        <v>34</v>
      </c>
      <c r="F6" s="8" t="s">
        <v>35</v>
      </c>
      <c r="G6" s="10" t="s">
        <v>120</v>
      </c>
      <c r="H6" s="58" t="s">
        <v>455</v>
      </c>
      <c r="I6" s="8" t="str">
        <f>"600,0"</f>
        <v>600,0</v>
      </c>
      <c r="J6" s="10" t="str">
        <f>"651,3600"</f>
        <v>651,3600</v>
      </c>
      <c r="K6" s="8" t="s">
        <v>21</v>
      </c>
    </row>
    <row r="7" spans="1:11">
      <c r="A7" s="4"/>
      <c r="B7" s="4"/>
      <c r="C7" s="4"/>
      <c r="D7" s="4"/>
      <c r="E7" s="4"/>
      <c r="F7" s="4"/>
      <c r="G7" s="3"/>
      <c r="H7" s="59"/>
      <c r="I7" s="4"/>
      <c r="J7" s="3"/>
      <c r="K7" s="4"/>
    </row>
    <row r="8" spans="1:11" ht="15">
      <c r="A8" s="4"/>
      <c r="B8" s="4"/>
      <c r="C8" s="4"/>
      <c r="D8" s="4"/>
      <c r="E8" s="17" t="s">
        <v>50</v>
      </c>
      <c r="F8" s="28" t="s">
        <v>426</v>
      </c>
      <c r="G8" s="3"/>
      <c r="H8" s="59"/>
      <c r="I8" s="4"/>
      <c r="J8" s="3"/>
      <c r="K8" s="4"/>
    </row>
    <row r="9" spans="1:11" ht="15">
      <c r="A9" s="4"/>
      <c r="B9" s="4"/>
      <c r="C9" s="4"/>
      <c r="D9" s="4"/>
      <c r="E9" s="17" t="s">
        <v>51</v>
      </c>
      <c r="F9" s="28" t="s">
        <v>429</v>
      </c>
      <c r="G9" s="3"/>
      <c r="H9" s="59"/>
      <c r="I9" s="4"/>
      <c r="J9" s="3"/>
      <c r="K9" s="4"/>
    </row>
    <row r="10" spans="1:11" ht="15">
      <c r="A10" s="4"/>
      <c r="B10" s="4"/>
      <c r="C10" s="4"/>
      <c r="D10" s="4"/>
      <c r="E10" s="17" t="s">
        <v>52</v>
      </c>
      <c r="F10" s="28" t="s">
        <v>426</v>
      </c>
      <c r="G10" s="3"/>
      <c r="H10" s="59"/>
      <c r="I10" s="4"/>
      <c r="J10" s="3"/>
      <c r="K10" s="4"/>
    </row>
    <row r="11" spans="1:11" ht="15">
      <c r="A11" s="4"/>
      <c r="B11" s="4"/>
      <c r="C11" s="4"/>
      <c r="D11" s="4"/>
      <c r="E11" s="17" t="s">
        <v>53</v>
      </c>
      <c r="F11" s="28" t="s">
        <v>427</v>
      </c>
      <c r="G11" s="3"/>
      <c r="H11" s="59"/>
      <c r="I11" s="4"/>
      <c r="J11" s="3"/>
      <c r="K11" s="4"/>
    </row>
    <row r="12" spans="1:11" ht="15">
      <c r="A12" s="4"/>
      <c r="B12" s="4"/>
      <c r="C12" s="4"/>
      <c r="D12" s="4"/>
      <c r="E12" s="17" t="s">
        <v>53</v>
      </c>
      <c r="F12" s="28" t="s">
        <v>428</v>
      </c>
      <c r="G12" s="3"/>
      <c r="H12" s="59"/>
      <c r="I12" s="4"/>
      <c r="J12" s="3"/>
      <c r="K12" s="4"/>
    </row>
    <row r="13" spans="1:11" ht="15">
      <c r="A13" s="4"/>
      <c r="B13" s="4"/>
      <c r="C13" s="4"/>
      <c r="D13" s="4"/>
      <c r="E13" s="17" t="s">
        <v>54</v>
      </c>
      <c r="F13" s="28" t="s">
        <v>429</v>
      </c>
      <c r="G13" s="3"/>
      <c r="H13" s="59"/>
      <c r="I13" s="4"/>
      <c r="J13" s="3"/>
      <c r="K13" s="4"/>
    </row>
    <row r="14" spans="1:11" ht="15">
      <c r="A14" s="4"/>
      <c r="B14" s="4"/>
      <c r="C14" s="4"/>
      <c r="D14" s="4"/>
      <c r="E14" s="17"/>
      <c r="F14" s="4"/>
      <c r="G14" s="3"/>
      <c r="H14" s="59"/>
      <c r="I14" s="4"/>
      <c r="J14" s="3"/>
      <c r="K14" s="4"/>
    </row>
    <row r="15" spans="1:11">
      <c r="A15" s="4"/>
      <c r="B15" s="4"/>
      <c r="C15" s="4"/>
      <c r="D15" s="4"/>
      <c r="E15" s="4"/>
      <c r="F15" s="4"/>
      <c r="G15" s="3"/>
      <c r="H15" s="59"/>
      <c r="I15" s="4"/>
      <c r="J15" s="3"/>
      <c r="K15" s="4"/>
    </row>
    <row r="16" spans="1:11" ht="18">
      <c r="A16" s="18" t="s">
        <v>55</v>
      </c>
      <c r="B16" s="18"/>
      <c r="C16" s="4"/>
      <c r="D16" s="4"/>
      <c r="E16" s="4"/>
      <c r="F16" s="4"/>
      <c r="G16" s="3"/>
      <c r="H16" s="59"/>
      <c r="I16" s="4"/>
      <c r="J16" s="3"/>
      <c r="K16" s="4"/>
    </row>
    <row r="17" spans="1:11" ht="15">
      <c r="A17" s="19" t="s">
        <v>56</v>
      </c>
      <c r="B17" s="19"/>
      <c r="C17" s="4"/>
      <c r="D17" s="4"/>
      <c r="E17" s="4"/>
      <c r="F17" s="4"/>
      <c r="G17" s="3"/>
      <c r="H17" s="59"/>
      <c r="I17" s="4"/>
      <c r="J17" s="3"/>
      <c r="K17" s="4"/>
    </row>
    <row r="18" spans="1:11" ht="14.25">
      <c r="A18" s="21"/>
      <c r="B18" s="22" t="s">
        <v>57</v>
      </c>
      <c r="C18" s="4"/>
      <c r="D18" s="4"/>
      <c r="E18" s="4"/>
      <c r="F18" s="4"/>
      <c r="G18" s="3"/>
      <c r="H18" s="59"/>
      <c r="I18" s="4"/>
      <c r="J18" s="3"/>
      <c r="K18" s="4"/>
    </row>
    <row r="19" spans="1:11" ht="15">
      <c r="A19" s="23" t="s">
        <v>58</v>
      </c>
      <c r="B19" s="23" t="s">
        <v>59</v>
      </c>
      <c r="C19" s="23" t="s">
        <v>60</v>
      </c>
      <c r="D19" s="23" t="s">
        <v>61</v>
      </c>
      <c r="E19" s="23" t="s">
        <v>449</v>
      </c>
      <c r="F19" s="4"/>
      <c r="G19" s="3"/>
      <c r="H19" s="59"/>
      <c r="I19" s="4"/>
      <c r="J19" s="3"/>
      <c r="K19" s="4"/>
    </row>
    <row r="20" spans="1:11">
      <c r="A20" s="20" t="s">
        <v>106</v>
      </c>
      <c r="B20" s="4" t="s">
        <v>227</v>
      </c>
      <c r="C20" s="4" t="s">
        <v>228</v>
      </c>
      <c r="D20" s="4" t="s">
        <v>456</v>
      </c>
      <c r="E20" s="24" t="s">
        <v>457</v>
      </c>
      <c r="F20" s="4"/>
      <c r="G20" s="3"/>
      <c r="H20" s="59"/>
      <c r="I20" s="4"/>
      <c r="J20" s="3"/>
      <c r="K20" s="4"/>
    </row>
    <row r="21" spans="1:11">
      <c r="A21" s="4"/>
      <c r="B21" s="4"/>
      <c r="C21" s="4"/>
      <c r="D21" s="4"/>
      <c r="E21" s="4"/>
      <c r="F21" s="4"/>
      <c r="G21" s="3"/>
      <c r="H21" s="59"/>
      <c r="I21" s="4"/>
      <c r="J21" s="3"/>
      <c r="K21" s="4"/>
    </row>
    <row r="22" spans="1:11">
      <c r="A22" s="4"/>
      <c r="B22" s="4"/>
      <c r="C22" s="4"/>
      <c r="D22" s="4"/>
      <c r="E22" s="4"/>
      <c r="F22" s="4"/>
      <c r="G22" s="3"/>
      <c r="H22" s="59"/>
      <c r="I22" s="4"/>
      <c r="J22" s="3"/>
      <c r="K22" s="4"/>
    </row>
    <row r="23" spans="1:11">
      <c r="A23" s="4"/>
      <c r="B23" s="4"/>
      <c r="C23" s="4"/>
      <c r="D23" s="4"/>
      <c r="E23" s="4"/>
      <c r="F23" s="4"/>
      <c r="G23" s="3"/>
      <c r="H23" s="59"/>
      <c r="I23" s="4"/>
      <c r="J23" s="3"/>
      <c r="K23" s="4"/>
    </row>
    <row r="24" spans="1:11">
      <c r="A24" s="4"/>
      <c r="B24" s="4"/>
      <c r="C24" s="4"/>
      <c r="D24" s="4"/>
      <c r="E24" s="4"/>
      <c r="F24" s="4"/>
      <c r="G24" s="3"/>
      <c r="H24" s="59"/>
      <c r="I24" s="4"/>
      <c r="J24" s="3"/>
      <c r="K24" s="4"/>
    </row>
    <row r="25" spans="1:11" ht="18">
      <c r="A25" s="18" t="s">
        <v>76</v>
      </c>
      <c r="B25" s="18"/>
      <c r="C25" s="4"/>
      <c r="D25" s="4"/>
      <c r="E25" s="4"/>
      <c r="F25" s="4"/>
      <c r="G25" s="3"/>
      <c r="H25" s="59"/>
      <c r="I25" s="4"/>
      <c r="J25" s="3"/>
      <c r="K25" s="4"/>
    </row>
    <row r="26" spans="1:11" ht="15">
      <c r="A26" s="23" t="s">
        <v>77</v>
      </c>
      <c r="B26" s="23" t="s">
        <v>78</v>
      </c>
      <c r="C26" s="23" t="s">
        <v>79</v>
      </c>
      <c r="D26" s="4"/>
      <c r="E26" s="4"/>
      <c r="F26" s="4"/>
      <c r="G26" s="3"/>
      <c r="H26" s="59"/>
      <c r="I26" s="4"/>
      <c r="J26" s="3"/>
      <c r="K26" s="4"/>
    </row>
    <row r="27" spans="1:11">
      <c r="A27" s="4" t="s">
        <v>34</v>
      </c>
      <c r="B27" s="4" t="s">
        <v>82</v>
      </c>
      <c r="C27" s="4" t="s">
        <v>458</v>
      </c>
      <c r="D27" s="4"/>
      <c r="E27" s="4"/>
      <c r="F27" s="4"/>
      <c r="G27" s="3"/>
      <c r="H27" s="59"/>
      <c r="I27" s="4"/>
      <c r="J27" s="3"/>
      <c r="K27" s="4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sqref="A1:K2"/>
    </sheetView>
  </sheetViews>
  <sheetFormatPr defaultRowHeight="12.75"/>
  <cols>
    <col min="1" max="1" width="24.42578125" customWidth="1"/>
    <col min="2" max="2" width="29" customWidth="1"/>
    <col min="3" max="3" width="12.140625" customWidth="1"/>
    <col min="5" max="5" width="24" customWidth="1"/>
    <col min="6" max="6" width="32.28515625" customWidth="1"/>
  </cols>
  <sheetData>
    <row r="1" spans="1:11" ht="86.25" customHeight="1">
      <c r="A1" s="41" t="s">
        <v>487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13.5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15">
      <c r="A3" s="47" t="s">
        <v>0</v>
      </c>
      <c r="B3" s="49" t="s">
        <v>6</v>
      </c>
      <c r="C3" s="49" t="s">
        <v>7</v>
      </c>
      <c r="D3" s="51" t="s">
        <v>439</v>
      </c>
      <c r="E3" s="51" t="s">
        <v>4</v>
      </c>
      <c r="F3" s="51" t="s">
        <v>8</v>
      </c>
      <c r="G3" s="51" t="s">
        <v>440</v>
      </c>
      <c r="H3" s="51"/>
      <c r="I3" s="51" t="s">
        <v>441</v>
      </c>
      <c r="J3" s="51" t="s">
        <v>3</v>
      </c>
      <c r="K3" s="39" t="s">
        <v>2</v>
      </c>
    </row>
    <row r="4" spans="1:11" ht="15.75" thickBot="1">
      <c r="A4" s="53"/>
      <c r="B4" s="54"/>
      <c r="C4" s="54"/>
      <c r="D4" s="54"/>
      <c r="E4" s="54"/>
      <c r="F4" s="54"/>
      <c r="G4" s="29" t="s">
        <v>442</v>
      </c>
      <c r="H4" s="57" t="s">
        <v>436</v>
      </c>
      <c r="I4" s="54"/>
      <c r="J4" s="54"/>
      <c r="K4" s="55"/>
    </row>
    <row r="5" spans="1:11" ht="15">
      <c r="A5" s="56" t="s">
        <v>136</v>
      </c>
      <c r="B5" s="56"/>
      <c r="C5" s="56"/>
      <c r="D5" s="56"/>
      <c r="E5" s="56"/>
      <c r="F5" s="56"/>
      <c r="G5" s="56"/>
      <c r="H5" s="56"/>
      <c r="I5" s="56"/>
      <c r="J5" s="56"/>
      <c r="K5" s="4"/>
    </row>
    <row r="6" spans="1:11">
      <c r="A6" s="8" t="s">
        <v>460</v>
      </c>
      <c r="B6" s="8" t="s">
        <v>461</v>
      </c>
      <c r="C6" s="8" t="s">
        <v>149</v>
      </c>
      <c r="D6" s="8" t="str">
        <f>"0,7977"</f>
        <v>0,7977</v>
      </c>
      <c r="E6" s="8" t="s">
        <v>16</v>
      </c>
      <c r="F6" s="8" t="s">
        <v>17</v>
      </c>
      <c r="G6" s="10" t="s">
        <v>169</v>
      </c>
      <c r="H6" s="58" t="s">
        <v>120</v>
      </c>
      <c r="I6" s="8" t="str">
        <f>"1875,0"</f>
        <v>1875,0</v>
      </c>
      <c r="J6" s="10" t="str">
        <f>"1495,6875"</f>
        <v>1495,6875</v>
      </c>
      <c r="K6" s="8" t="s">
        <v>21</v>
      </c>
    </row>
    <row r="7" spans="1:11">
      <c r="A7" s="4"/>
      <c r="B7" s="4"/>
      <c r="C7" s="4"/>
      <c r="D7" s="4"/>
      <c r="E7" s="4"/>
      <c r="F7" s="4"/>
      <c r="G7" s="3"/>
      <c r="H7" s="59"/>
      <c r="I7" s="4"/>
      <c r="J7" s="3"/>
      <c r="K7" s="4"/>
    </row>
    <row r="8" spans="1:11" ht="15">
      <c r="A8" s="52" t="s">
        <v>156</v>
      </c>
      <c r="B8" s="52"/>
      <c r="C8" s="52"/>
      <c r="D8" s="52"/>
      <c r="E8" s="52"/>
      <c r="F8" s="52"/>
      <c r="G8" s="52"/>
      <c r="H8" s="52"/>
      <c r="I8" s="52"/>
      <c r="J8" s="52"/>
      <c r="K8" s="4"/>
    </row>
    <row r="9" spans="1:11">
      <c r="A9" s="8" t="s">
        <v>462</v>
      </c>
      <c r="B9" s="8" t="s">
        <v>463</v>
      </c>
      <c r="C9" s="8" t="s">
        <v>464</v>
      </c>
      <c r="D9" s="8" t="str">
        <f>"0,7899"</f>
        <v>0,7899</v>
      </c>
      <c r="E9" s="8" t="s">
        <v>34</v>
      </c>
      <c r="F9" s="8" t="s">
        <v>35</v>
      </c>
      <c r="G9" s="10" t="s">
        <v>170</v>
      </c>
      <c r="H9" s="58" t="s">
        <v>465</v>
      </c>
      <c r="I9" s="8" t="str">
        <f>"1440,0"</f>
        <v>1440,0</v>
      </c>
      <c r="J9" s="10" t="str">
        <f>"1137,4560"</f>
        <v>1137,4560</v>
      </c>
      <c r="K9" s="8" t="s">
        <v>21</v>
      </c>
    </row>
    <row r="10" spans="1:11">
      <c r="A10" s="4"/>
      <c r="B10" s="4"/>
      <c r="C10" s="4"/>
      <c r="D10" s="4"/>
      <c r="E10" s="4"/>
      <c r="F10" s="4"/>
      <c r="G10" s="3"/>
      <c r="H10" s="59"/>
      <c r="I10" s="4"/>
      <c r="J10" s="3"/>
      <c r="K10" s="4"/>
    </row>
    <row r="11" spans="1:11" ht="15">
      <c r="A11" s="52" t="s">
        <v>22</v>
      </c>
      <c r="B11" s="52"/>
      <c r="C11" s="52"/>
      <c r="D11" s="52"/>
      <c r="E11" s="52"/>
      <c r="F11" s="52"/>
      <c r="G11" s="52"/>
      <c r="H11" s="52"/>
      <c r="I11" s="52"/>
      <c r="J11" s="52"/>
      <c r="K11" s="4"/>
    </row>
    <row r="12" spans="1:11">
      <c r="A12" s="8" t="s">
        <v>466</v>
      </c>
      <c r="B12" s="8" t="s">
        <v>467</v>
      </c>
      <c r="C12" s="8" t="s">
        <v>353</v>
      </c>
      <c r="D12" s="8" t="str">
        <f>"0,7217"</f>
        <v>0,7217</v>
      </c>
      <c r="E12" s="8" t="s">
        <v>16</v>
      </c>
      <c r="F12" s="8" t="s">
        <v>17</v>
      </c>
      <c r="G12" s="10" t="s">
        <v>133</v>
      </c>
      <c r="H12" s="58" t="s">
        <v>468</v>
      </c>
      <c r="I12" s="8" t="str">
        <f>"1350,0"</f>
        <v>1350,0</v>
      </c>
      <c r="J12" s="10" t="str">
        <f>"974,2950"</f>
        <v>974,2950</v>
      </c>
      <c r="K12" s="8" t="s">
        <v>21</v>
      </c>
    </row>
    <row r="13" spans="1:11">
      <c r="A13" s="4"/>
      <c r="B13" s="4"/>
      <c r="C13" s="4"/>
      <c r="D13" s="4"/>
      <c r="E13" s="4"/>
      <c r="F13" s="4"/>
      <c r="G13" s="3"/>
      <c r="H13" s="59"/>
      <c r="I13" s="4"/>
      <c r="J13" s="3"/>
      <c r="K13" s="4"/>
    </row>
    <row r="14" spans="1:11" ht="15">
      <c r="A14" s="52" t="s">
        <v>38</v>
      </c>
      <c r="B14" s="52"/>
      <c r="C14" s="52"/>
      <c r="D14" s="52"/>
      <c r="E14" s="52"/>
      <c r="F14" s="52"/>
      <c r="G14" s="52"/>
      <c r="H14" s="52"/>
      <c r="I14" s="52"/>
      <c r="J14" s="52"/>
      <c r="K14" s="4"/>
    </row>
    <row r="15" spans="1:11">
      <c r="A15" s="8" t="s">
        <v>469</v>
      </c>
      <c r="B15" s="8" t="s">
        <v>470</v>
      </c>
      <c r="C15" s="8" t="s">
        <v>363</v>
      </c>
      <c r="D15" s="8" t="str">
        <f>"0,6705"</f>
        <v>0,6705</v>
      </c>
      <c r="E15" s="8" t="s">
        <v>16</v>
      </c>
      <c r="F15" s="8" t="s">
        <v>17</v>
      </c>
      <c r="G15" s="10" t="s">
        <v>134</v>
      </c>
      <c r="H15" s="58" t="s">
        <v>471</v>
      </c>
      <c r="I15" s="8" t="str">
        <f>"1900,0"</f>
        <v>1900,0</v>
      </c>
      <c r="J15" s="10" t="str">
        <f>"1273,9500"</f>
        <v>1273,9500</v>
      </c>
      <c r="K15" s="8" t="s">
        <v>21</v>
      </c>
    </row>
    <row r="16" spans="1:11">
      <c r="A16" s="4"/>
      <c r="B16" s="4"/>
      <c r="C16" s="4"/>
      <c r="D16" s="4"/>
      <c r="E16" s="4"/>
      <c r="F16" s="4"/>
      <c r="G16" s="3"/>
      <c r="H16" s="59"/>
      <c r="I16" s="4"/>
      <c r="J16" s="3"/>
      <c r="K16" s="4"/>
    </row>
    <row r="17" spans="1:11" ht="15">
      <c r="A17" s="4"/>
      <c r="B17" s="4"/>
      <c r="C17" s="4"/>
      <c r="D17" s="4"/>
      <c r="E17" s="17" t="s">
        <v>50</v>
      </c>
      <c r="F17" s="28" t="s">
        <v>426</v>
      </c>
      <c r="G17" s="3"/>
      <c r="H17" s="59"/>
      <c r="I17" s="4"/>
      <c r="J17" s="3"/>
      <c r="K17" s="4"/>
    </row>
    <row r="18" spans="1:11" ht="15">
      <c r="A18" s="4"/>
      <c r="B18" s="4"/>
      <c r="C18" s="4"/>
      <c r="D18" s="4"/>
      <c r="E18" s="17" t="s">
        <v>51</v>
      </c>
      <c r="F18" s="28" t="s">
        <v>429</v>
      </c>
      <c r="G18" s="3"/>
      <c r="H18" s="59"/>
      <c r="I18" s="4"/>
      <c r="J18" s="3"/>
      <c r="K18" s="4"/>
    </row>
    <row r="19" spans="1:11" ht="15">
      <c r="A19" s="4"/>
      <c r="B19" s="4"/>
      <c r="C19" s="4"/>
      <c r="D19" s="4"/>
      <c r="E19" s="17" t="s">
        <v>52</v>
      </c>
      <c r="F19" s="28" t="s">
        <v>426</v>
      </c>
      <c r="G19" s="3"/>
      <c r="H19" s="59"/>
      <c r="I19" s="4"/>
      <c r="J19" s="3"/>
      <c r="K19" s="4"/>
    </row>
    <row r="20" spans="1:11" ht="15">
      <c r="A20" s="4"/>
      <c r="B20" s="4"/>
      <c r="C20" s="4"/>
      <c r="D20" s="4"/>
      <c r="E20" s="17" t="s">
        <v>53</v>
      </c>
      <c r="F20" s="28" t="s">
        <v>427</v>
      </c>
      <c r="G20" s="3"/>
      <c r="H20" s="59"/>
      <c r="I20" s="4"/>
      <c r="J20" s="3"/>
      <c r="K20" s="4"/>
    </row>
    <row r="21" spans="1:11" ht="15">
      <c r="A21" s="4"/>
      <c r="B21" s="4"/>
      <c r="C21" s="4"/>
      <c r="D21" s="4"/>
      <c r="E21" s="17" t="s">
        <v>53</v>
      </c>
      <c r="F21" s="28" t="s">
        <v>428</v>
      </c>
      <c r="G21" s="3"/>
      <c r="H21" s="59"/>
      <c r="I21" s="4"/>
      <c r="J21" s="3"/>
      <c r="K21" s="4"/>
    </row>
    <row r="22" spans="1:11" ht="15">
      <c r="A22" s="4"/>
      <c r="B22" s="4"/>
      <c r="C22" s="4"/>
      <c r="D22" s="4"/>
      <c r="E22" s="17" t="s">
        <v>54</v>
      </c>
      <c r="F22" s="28" t="s">
        <v>429</v>
      </c>
      <c r="G22" s="3"/>
      <c r="H22" s="59"/>
      <c r="I22" s="4"/>
      <c r="J22" s="3"/>
      <c r="K22" s="4"/>
    </row>
    <row r="23" spans="1:11" ht="15">
      <c r="A23" s="4"/>
      <c r="B23" s="4"/>
      <c r="C23" s="4"/>
      <c r="D23" s="4"/>
      <c r="E23" s="17"/>
      <c r="F23" s="4"/>
      <c r="G23" s="3"/>
      <c r="H23" s="59"/>
      <c r="I23" s="4"/>
      <c r="J23" s="3"/>
      <c r="K23" s="4"/>
    </row>
    <row r="24" spans="1:11">
      <c r="A24" s="4"/>
      <c r="B24" s="4"/>
      <c r="C24" s="4"/>
      <c r="D24" s="4"/>
      <c r="E24" s="4"/>
      <c r="F24" s="4"/>
      <c r="G24" s="3"/>
      <c r="H24" s="59"/>
      <c r="I24" s="4"/>
      <c r="J24" s="3"/>
      <c r="K24" s="4"/>
    </row>
    <row r="25" spans="1:11" ht="18">
      <c r="A25" s="18" t="s">
        <v>55</v>
      </c>
      <c r="B25" s="18"/>
      <c r="C25" s="4"/>
      <c r="D25" s="4"/>
      <c r="E25" s="4"/>
      <c r="F25" s="4"/>
      <c r="G25" s="3"/>
      <c r="H25" s="59"/>
      <c r="I25" s="4"/>
      <c r="J25" s="3"/>
      <c r="K25" s="4"/>
    </row>
    <row r="26" spans="1:11" ht="15">
      <c r="A26" s="19" t="s">
        <v>56</v>
      </c>
      <c r="B26" s="19"/>
      <c r="C26" s="4"/>
      <c r="D26" s="4"/>
      <c r="E26" s="4"/>
      <c r="F26" s="4"/>
      <c r="G26" s="3"/>
      <c r="H26" s="59"/>
      <c r="I26" s="4"/>
      <c r="J26" s="3"/>
      <c r="K26" s="4"/>
    </row>
    <row r="27" spans="1:11" ht="14.25">
      <c r="A27" s="21"/>
      <c r="B27" s="22" t="s">
        <v>69</v>
      </c>
      <c r="C27" s="4"/>
      <c r="D27" s="4"/>
      <c r="E27" s="4"/>
      <c r="F27" s="4"/>
      <c r="G27" s="3"/>
      <c r="H27" s="59"/>
      <c r="I27" s="4"/>
      <c r="J27" s="3"/>
      <c r="K27" s="4"/>
    </row>
    <row r="28" spans="1:11" ht="15">
      <c r="A28" s="23" t="s">
        <v>58</v>
      </c>
      <c r="B28" s="23" t="s">
        <v>59</v>
      </c>
      <c r="C28" s="23" t="s">
        <v>60</v>
      </c>
      <c r="D28" s="23" t="s">
        <v>61</v>
      </c>
      <c r="E28" s="23" t="s">
        <v>449</v>
      </c>
      <c r="F28" s="4"/>
      <c r="G28" s="3"/>
      <c r="H28" s="59"/>
      <c r="I28" s="4"/>
      <c r="J28" s="3"/>
      <c r="K28" s="4"/>
    </row>
    <row r="29" spans="1:11">
      <c r="A29" s="20" t="s">
        <v>472</v>
      </c>
      <c r="B29" s="4" t="s">
        <v>69</v>
      </c>
      <c r="C29" s="4" t="s">
        <v>217</v>
      </c>
      <c r="D29" s="4" t="s">
        <v>473</v>
      </c>
      <c r="E29" s="24" t="s">
        <v>474</v>
      </c>
      <c r="F29" s="4"/>
      <c r="G29" s="3"/>
      <c r="H29" s="59"/>
      <c r="I29" s="4"/>
      <c r="J29" s="3"/>
      <c r="K29" s="4"/>
    </row>
    <row r="30" spans="1:11">
      <c r="A30" s="20" t="s">
        <v>475</v>
      </c>
      <c r="B30" s="4" t="s">
        <v>69</v>
      </c>
      <c r="C30" s="4" t="s">
        <v>221</v>
      </c>
      <c r="D30" s="4" t="s">
        <v>476</v>
      </c>
      <c r="E30" s="24" t="s">
        <v>477</v>
      </c>
      <c r="F30" s="4"/>
      <c r="G30" s="3"/>
      <c r="H30" s="59"/>
      <c r="I30" s="4"/>
      <c r="J30" s="3"/>
      <c r="K30" s="4"/>
    </row>
    <row r="31" spans="1:11">
      <c r="A31" s="4"/>
      <c r="B31" s="4"/>
      <c r="C31" s="4"/>
      <c r="D31" s="4"/>
      <c r="E31" s="4"/>
      <c r="F31" s="4"/>
      <c r="G31" s="3"/>
      <c r="H31" s="59"/>
      <c r="I31" s="4"/>
      <c r="J31" s="3"/>
      <c r="K31" s="4"/>
    </row>
    <row r="32" spans="1:11" ht="14.25">
      <c r="A32" s="21"/>
      <c r="B32" s="22" t="s">
        <v>73</v>
      </c>
      <c r="C32" s="4"/>
      <c r="D32" s="4"/>
      <c r="E32" s="4"/>
      <c r="F32" s="4"/>
      <c r="G32" s="3"/>
      <c r="H32" s="59"/>
      <c r="I32" s="4"/>
      <c r="J32" s="3"/>
      <c r="K32" s="4"/>
    </row>
    <row r="33" spans="1:11" ht="15">
      <c r="A33" s="23" t="s">
        <v>58</v>
      </c>
      <c r="B33" s="23" t="s">
        <v>59</v>
      </c>
      <c r="C33" s="23" t="s">
        <v>60</v>
      </c>
      <c r="D33" s="23" t="s">
        <v>61</v>
      </c>
      <c r="E33" s="23" t="s">
        <v>449</v>
      </c>
      <c r="F33" s="4"/>
      <c r="G33" s="3"/>
      <c r="H33" s="59"/>
      <c r="I33" s="4"/>
      <c r="J33" s="3"/>
      <c r="K33" s="4"/>
    </row>
    <row r="34" spans="1:11">
      <c r="A34" s="20" t="s">
        <v>478</v>
      </c>
      <c r="B34" s="4" t="s">
        <v>392</v>
      </c>
      <c r="C34" s="4" t="s">
        <v>70</v>
      </c>
      <c r="D34" s="4" t="s">
        <v>479</v>
      </c>
      <c r="E34" s="24" t="s">
        <v>480</v>
      </c>
      <c r="F34" s="4"/>
      <c r="G34" s="3"/>
      <c r="H34" s="59"/>
      <c r="I34" s="4"/>
      <c r="J34" s="3"/>
      <c r="K34" s="4"/>
    </row>
    <row r="35" spans="1:11">
      <c r="A35" s="20" t="s">
        <v>481</v>
      </c>
      <c r="B35" s="4" t="s">
        <v>245</v>
      </c>
      <c r="C35" s="4" t="s">
        <v>64</v>
      </c>
      <c r="D35" s="4" t="s">
        <v>482</v>
      </c>
      <c r="E35" s="24" t="s">
        <v>483</v>
      </c>
      <c r="F35" s="4"/>
      <c r="G35" s="3"/>
      <c r="H35" s="59"/>
      <c r="I35" s="4"/>
      <c r="J35" s="3"/>
      <c r="K35" s="4"/>
    </row>
    <row r="36" spans="1:11">
      <c r="A36" s="4"/>
      <c r="B36" s="4"/>
      <c r="C36" s="4"/>
      <c r="D36" s="4"/>
      <c r="E36" s="4"/>
      <c r="F36" s="4"/>
      <c r="G36" s="3"/>
      <c r="H36" s="59"/>
      <c r="I36" s="4"/>
      <c r="J36" s="3"/>
      <c r="K36" s="4"/>
    </row>
    <row r="37" spans="1:11">
      <c r="A37" s="4"/>
      <c r="B37" s="4"/>
      <c r="C37" s="4"/>
      <c r="D37" s="4"/>
      <c r="E37" s="4"/>
      <c r="F37" s="4"/>
      <c r="G37" s="3"/>
      <c r="H37" s="59"/>
      <c r="I37" s="4"/>
      <c r="J37" s="3"/>
      <c r="K37" s="4"/>
    </row>
    <row r="38" spans="1:11">
      <c r="A38" s="4"/>
      <c r="B38" s="4"/>
      <c r="C38" s="4"/>
      <c r="D38" s="4"/>
      <c r="E38" s="4"/>
      <c r="F38" s="4"/>
      <c r="G38" s="3"/>
      <c r="H38" s="59"/>
      <c r="I38" s="4"/>
      <c r="J38" s="3"/>
      <c r="K38" s="4"/>
    </row>
    <row r="39" spans="1:11">
      <c r="A39" s="4"/>
      <c r="B39" s="4"/>
      <c r="C39" s="4"/>
      <c r="D39" s="4"/>
      <c r="E39" s="4"/>
      <c r="F39" s="4"/>
      <c r="G39" s="3"/>
      <c r="H39" s="59"/>
      <c r="I39" s="4"/>
      <c r="J39" s="3"/>
      <c r="K39" s="4"/>
    </row>
    <row r="40" spans="1:11" ht="18">
      <c r="A40" s="18" t="s">
        <v>76</v>
      </c>
      <c r="B40" s="18"/>
      <c r="C40" s="4"/>
      <c r="D40" s="4"/>
      <c r="E40" s="4"/>
      <c r="F40" s="4"/>
      <c r="G40" s="3"/>
      <c r="H40" s="59"/>
      <c r="I40" s="4"/>
      <c r="J40" s="3"/>
      <c r="K40" s="4"/>
    </row>
    <row r="41" spans="1:11" ht="15">
      <c r="A41" s="23" t="s">
        <v>77</v>
      </c>
      <c r="B41" s="23" t="s">
        <v>78</v>
      </c>
      <c r="C41" s="23" t="s">
        <v>79</v>
      </c>
      <c r="D41" s="4"/>
      <c r="E41" s="4"/>
      <c r="F41" s="4"/>
      <c r="G41" s="3"/>
      <c r="H41" s="59"/>
      <c r="I41" s="4"/>
      <c r="J41" s="3"/>
      <c r="K41" s="4"/>
    </row>
    <row r="42" spans="1:11">
      <c r="A42" s="4" t="s">
        <v>16</v>
      </c>
      <c r="B42" s="4" t="s">
        <v>484</v>
      </c>
      <c r="C42" s="4" t="s">
        <v>485</v>
      </c>
      <c r="D42" s="4"/>
      <c r="E42" s="4"/>
      <c r="F42" s="4"/>
      <c r="G42" s="3"/>
      <c r="H42" s="59"/>
      <c r="I42" s="4"/>
      <c r="J42" s="3"/>
      <c r="K42" s="4"/>
    </row>
    <row r="43" spans="1:11">
      <c r="A43" s="4" t="s">
        <v>34</v>
      </c>
      <c r="B43" s="4" t="s">
        <v>82</v>
      </c>
      <c r="C43" s="4" t="s">
        <v>486</v>
      </c>
      <c r="D43" s="4"/>
      <c r="E43" s="4"/>
      <c r="F43" s="4"/>
      <c r="G43" s="3"/>
      <c r="H43" s="59"/>
      <c r="I43" s="4"/>
      <c r="J43" s="3"/>
      <c r="K43" s="4"/>
    </row>
  </sheetData>
  <mergeCells count="15">
    <mergeCell ref="K3:K4"/>
    <mergeCell ref="A5:J5"/>
    <mergeCell ref="A8:J8"/>
    <mergeCell ref="A11:J11"/>
    <mergeCell ref="A14:J14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57"/>
  <sheetViews>
    <sheetView topLeftCell="A10" workbookViewId="0">
      <selection sqref="A1:Q2"/>
    </sheetView>
  </sheetViews>
  <sheetFormatPr defaultRowHeight="12.75"/>
  <cols>
    <col min="1" max="1" width="25" customWidth="1"/>
    <col min="2" max="2" width="30.85546875" customWidth="1"/>
    <col min="5" max="5" width="24.42578125" customWidth="1"/>
    <col min="6" max="6" width="38.7109375" customWidth="1"/>
  </cols>
  <sheetData>
    <row r="1" spans="1:17" ht="89.25" customHeight="1">
      <c r="A1" s="41" t="s">
        <v>527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ht="13.5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15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499</v>
      </c>
      <c r="H3" s="51"/>
      <c r="I3" s="51"/>
      <c r="J3" s="51"/>
      <c r="K3" s="51" t="s">
        <v>500</v>
      </c>
      <c r="L3" s="51"/>
      <c r="M3" s="51"/>
      <c r="N3" s="51"/>
      <c r="O3" s="51" t="s">
        <v>1</v>
      </c>
      <c r="P3" s="51" t="s">
        <v>3</v>
      </c>
      <c r="Q3" s="39" t="s">
        <v>2</v>
      </c>
    </row>
    <row r="4" spans="1:17" ht="15.75" thickBot="1">
      <c r="A4" s="53"/>
      <c r="B4" s="54"/>
      <c r="C4" s="54"/>
      <c r="D4" s="54"/>
      <c r="E4" s="54"/>
      <c r="F4" s="54"/>
      <c r="G4" s="29">
        <v>1</v>
      </c>
      <c r="H4" s="29">
        <v>2</v>
      </c>
      <c r="I4" s="29">
        <v>3</v>
      </c>
      <c r="J4" s="29" t="s">
        <v>5</v>
      </c>
      <c r="K4" s="29">
        <v>1</v>
      </c>
      <c r="L4" s="29">
        <v>2</v>
      </c>
      <c r="M4" s="29">
        <v>3</v>
      </c>
      <c r="N4" s="29" t="s">
        <v>5</v>
      </c>
      <c r="O4" s="54"/>
      <c r="P4" s="54"/>
      <c r="Q4" s="55"/>
    </row>
    <row r="5" spans="1:17" ht="15">
      <c r="A5" s="56" t="s">
        <v>121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4"/>
    </row>
    <row r="6" spans="1:17">
      <c r="A6" s="8" t="s">
        <v>130</v>
      </c>
      <c r="B6" s="8" t="s">
        <v>131</v>
      </c>
      <c r="C6" s="8" t="s">
        <v>132</v>
      </c>
      <c r="D6" s="8" t="str">
        <f>"0,7307"</f>
        <v>0,7307</v>
      </c>
      <c r="E6" s="8" t="s">
        <v>16</v>
      </c>
      <c r="F6" s="8" t="s">
        <v>17</v>
      </c>
      <c r="G6" s="10" t="s">
        <v>276</v>
      </c>
      <c r="H6" s="10" t="s">
        <v>102</v>
      </c>
      <c r="I6" s="10" t="s">
        <v>103</v>
      </c>
      <c r="J6" s="9"/>
      <c r="K6" s="10" t="s">
        <v>501</v>
      </c>
      <c r="L6" s="10" t="s">
        <v>502</v>
      </c>
      <c r="M6" s="10" t="s">
        <v>276</v>
      </c>
      <c r="N6" s="9"/>
      <c r="O6" s="8" t="str">
        <f>"120,0"</f>
        <v>120,0</v>
      </c>
      <c r="P6" s="10" t="str">
        <f>"89,4377"</f>
        <v>89,4377</v>
      </c>
      <c r="Q6" s="8" t="s">
        <v>21</v>
      </c>
    </row>
    <row r="7" spans="1:17">
      <c r="A7" s="4"/>
      <c r="B7" s="4"/>
      <c r="C7" s="4"/>
      <c r="D7" s="4"/>
      <c r="E7" s="4"/>
      <c r="F7" s="4"/>
      <c r="G7" s="3"/>
      <c r="H7" s="3"/>
      <c r="I7" s="3"/>
      <c r="J7" s="3"/>
      <c r="K7" s="3"/>
      <c r="L7" s="3"/>
      <c r="M7" s="3"/>
      <c r="N7" s="3"/>
      <c r="O7" s="4"/>
      <c r="P7" s="3"/>
      <c r="Q7" s="4"/>
    </row>
    <row r="8" spans="1:17" ht="15">
      <c r="A8" s="52" t="s">
        <v>136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4"/>
    </row>
    <row r="9" spans="1:17">
      <c r="A9" s="8" t="s">
        <v>460</v>
      </c>
      <c r="B9" s="8" t="s">
        <v>461</v>
      </c>
      <c r="C9" s="8" t="s">
        <v>149</v>
      </c>
      <c r="D9" s="8" t="str">
        <f>"0,6716"</f>
        <v>0,6716</v>
      </c>
      <c r="E9" s="8" t="s">
        <v>16</v>
      </c>
      <c r="F9" s="8" t="s">
        <v>17</v>
      </c>
      <c r="G9" s="10" t="s">
        <v>102</v>
      </c>
      <c r="H9" s="10" t="s">
        <v>104</v>
      </c>
      <c r="I9" s="10" t="s">
        <v>169</v>
      </c>
      <c r="J9" s="9"/>
      <c r="K9" s="10" t="s">
        <v>503</v>
      </c>
      <c r="L9" s="10" t="s">
        <v>504</v>
      </c>
      <c r="M9" s="9" t="s">
        <v>18</v>
      </c>
      <c r="N9" s="9"/>
      <c r="O9" s="8" t="str">
        <f>"132,5"</f>
        <v>132,5</v>
      </c>
      <c r="P9" s="10" t="str">
        <f>"88,9870"</f>
        <v>88,9870</v>
      </c>
      <c r="Q9" s="8" t="s">
        <v>21</v>
      </c>
    </row>
    <row r="10" spans="1:17">
      <c r="A10" s="4"/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4"/>
      <c r="P10" s="3"/>
      <c r="Q10" s="4"/>
    </row>
    <row r="11" spans="1:17" ht="15">
      <c r="A11" s="52" t="s">
        <v>22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4"/>
    </row>
    <row r="12" spans="1:17">
      <c r="A12" s="8" t="s">
        <v>24</v>
      </c>
      <c r="B12" s="8" t="s">
        <v>25</v>
      </c>
      <c r="C12" s="8" t="s">
        <v>26</v>
      </c>
      <c r="D12" s="8" t="str">
        <f>"0,5857"</f>
        <v>0,5857</v>
      </c>
      <c r="E12" s="8" t="s">
        <v>16</v>
      </c>
      <c r="F12" s="8" t="s">
        <v>17</v>
      </c>
      <c r="G12" s="10" t="s">
        <v>103</v>
      </c>
      <c r="H12" s="9" t="s">
        <v>104</v>
      </c>
      <c r="I12" s="10" t="s">
        <v>104</v>
      </c>
      <c r="J12" s="9"/>
      <c r="K12" s="10" t="s">
        <v>18</v>
      </c>
      <c r="L12" s="10" t="s">
        <v>103</v>
      </c>
      <c r="M12" s="9" t="s">
        <v>104</v>
      </c>
      <c r="N12" s="9"/>
      <c r="O12" s="8" t="str">
        <f>"135,0"</f>
        <v>135,0</v>
      </c>
      <c r="P12" s="10" t="str">
        <f>"83,8137"</f>
        <v>83,8137</v>
      </c>
      <c r="Q12" s="8" t="s">
        <v>21</v>
      </c>
    </row>
    <row r="13" spans="1:17">
      <c r="A13" s="4"/>
      <c r="B13" s="4"/>
      <c r="C13" s="4"/>
      <c r="D13" s="4"/>
      <c r="E13" s="4"/>
      <c r="F13" s="4"/>
      <c r="G13" s="3"/>
      <c r="H13" s="3"/>
      <c r="I13" s="3"/>
      <c r="J13" s="3"/>
      <c r="K13" s="3"/>
      <c r="L13" s="3"/>
      <c r="M13" s="3"/>
      <c r="N13" s="3"/>
      <c r="O13" s="4"/>
      <c r="P13" s="3"/>
      <c r="Q13" s="4"/>
    </row>
    <row r="14" spans="1:17" ht="15">
      <c r="A14" s="52" t="s">
        <v>38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4"/>
    </row>
    <row r="15" spans="1:17">
      <c r="A15" s="11" t="s">
        <v>505</v>
      </c>
      <c r="B15" s="11" t="s">
        <v>205</v>
      </c>
      <c r="C15" s="11" t="s">
        <v>206</v>
      </c>
      <c r="D15" s="11" t="str">
        <f>"0,5589"</f>
        <v>0,5589</v>
      </c>
      <c r="E15" s="11" t="s">
        <v>16</v>
      </c>
      <c r="F15" s="11" t="s">
        <v>17</v>
      </c>
      <c r="G15" s="13" t="s">
        <v>104</v>
      </c>
      <c r="H15" s="13" t="s">
        <v>169</v>
      </c>
      <c r="I15" s="13" t="s">
        <v>170</v>
      </c>
      <c r="J15" s="12"/>
      <c r="K15" s="13" t="s">
        <v>103</v>
      </c>
      <c r="L15" s="12" t="s">
        <v>104</v>
      </c>
      <c r="M15" s="13" t="s">
        <v>20</v>
      </c>
      <c r="N15" s="12"/>
      <c r="O15" s="11" t="str">
        <f>"152,5"</f>
        <v>152,5</v>
      </c>
      <c r="P15" s="13" t="str">
        <f>"85,2322"</f>
        <v>85,2322</v>
      </c>
      <c r="Q15" s="11" t="s">
        <v>21</v>
      </c>
    </row>
    <row r="16" spans="1:17">
      <c r="A16" s="25" t="s">
        <v>47</v>
      </c>
      <c r="B16" s="25" t="s">
        <v>48</v>
      </c>
      <c r="C16" s="25" t="s">
        <v>49</v>
      </c>
      <c r="D16" s="25" t="str">
        <f>"0,5543"</f>
        <v>0,5543</v>
      </c>
      <c r="E16" s="25" t="s">
        <v>16</v>
      </c>
      <c r="F16" s="25" t="s">
        <v>17</v>
      </c>
      <c r="G16" s="27" t="s">
        <v>104</v>
      </c>
      <c r="H16" s="26" t="s">
        <v>169</v>
      </c>
      <c r="I16" s="26" t="s">
        <v>506</v>
      </c>
      <c r="J16" s="26"/>
      <c r="K16" s="27" t="s">
        <v>276</v>
      </c>
      <c r="L16" s="27" t="s">
        <v>504</v>
      </c>
      <c r="M16" s="26" t="s">
        <v>102</v>
      </c>
      <c r="N16" s="26"/>
      <c r="O16" s="25" t="str">
        <f>"127,5"</f>
        <v>127,5</v>
      </c>
      <c r="P16" s="27" t="str">
        <f>"70,6733"</f>
        <v>70,6733</v>
      </c>
      <c r="Q16" s="25" t="s">
        <v>21</v>
      </c>
    </row>
    <row r="17" spans="1:17">
      <c r="A17" s="25" t="s">
        <v>507</v>
      </c>
      <c r="B17" s="25" t="s">
        <v>508</v>
      </c>
      <c r="C17" s="25" t="s">
        <v>509</v>
      </c>
      <c r="D17" s="25" t="str">
        <f>"0,5548"</f>
        <v>0,5548</v>
      </c>
      <c r="E17" s="25" t="s">
        <v>16</v>
      </c>
      <c r="F17" s="25" t="s">
        <v>17</v>
      </c>
      <c r="G17" s="27" t="s">
        <v>133</v>
      </c>
      <c r="H17" s="27" t="s">
        <v>510</v>
      </c>
      <c r="I17" s="26" t="s">
        <v>140</v>
      </c>
      <c r="J17" s="26"/>
      <c r="K17" s="26" t="s">
        <v>506</v>
      </c>
      <c r="L17" s="27" t="s">
        <v>506</v>
      </c>
      <c r="M17" s="26" t="s">
        <v>170</v>
      </c>
      <c r="N17" s="26"/>
      <c r="O17" s="25" t="str">
        <f>"172,5"</f>
        <v>172,5</v>
      </c>
      <c r="P17" s="27" t="str">
        <f>"95,7030"</f>
        <v>95,7030</v>
      </c>
      <c r="Q17" s="25" t="s">
        <v>21</v>
      </c>
    </row>
    <row r="18" spans="1:17">
      <c r="A18" s="25" t="s">
        <v>356</v>
      </c>
      <c r="B18" s="25" t="s">
        <v>376</v>
      </c>
      <c r="C18" s="25" t="s">
        <v>358</v>
      </c>
      <c r="D18" s="25" t="str">
        <f>"0,5565"</f>
        <v>0,5565</v>
      </c>
      <c r="E18" s="25" t="s">
        <v>34</v>
      </c>
      <c r="F18" s="25" t="s">
        <v>35</v>
      </c>
      <c r="G18" s="27" t="s">
        <v>170</v>
      </c>
      <c r="H18" s="27" t="s">
        <v>133</v>
      </c>
      <c r="I18" s="27" t="s">
        <v>510</v>
      </c>
      <c r="J18" s="26"/>
      <c r="K18" s="27" t="s">
        <v>103</v>
      </c>
      <c r="L18" s="27" t="s">
        <v>169</v>
      </c>
      <c r="M18" s="27" t="s">
        <v>170</v>
      </c>
      <c r="N18" s="26"/>
      <c r="O18" s="25" t="str">
        <f>"175,0"</f>
        <v>175,0</v>
      </c>
      <c r="P18" s="27" t="str">
        <f>"108,7818"</f>
        <v>108,7818</v>
      </c>
      <c r="Q18" s="25" t="s">
        <v>21</v>
      </c>
    </row>
    <row r="19" spans="1:17">
      <c r="A19" s="14" t="s">
        <v>511</v>
      </c>
      <c r="B19" s="14" t="s">
        <v>470</v>
      </c>
      <c r="C19" s="14" t="s">
        <v>363</v>
      </c>
      <c r="D19" s="14" t="str">
        <f>"0,5573"</f>
        <v>0,5573</v>
      </c>
      <c r="E19" s="14" t="s">
        <v>16</v>
      </c>
      <c r="F19" s="14" t="s">
        <v>17</v>
      </c>
      <c r="G19" s="16" t="s">
        <v>284</v>
      </c>
      <c r="H19" s="15" t="s">
        <v>512</v>
      </c>
      <c r="I19" s="16" t="s">
        <v>512</v>
      </c>
      <c r="J19" s="15"/>
      <c r="K19" s="16" t="s">
        <v>276</v>
      </c>
      <c r="L19" s="16" t="s">
        <v>504</v>
      </c>
      <c r="M19" s="16" t="s">
        <v>102</v>
      </c>
      <c r="N19" s="15"/>
      <c r="O19" s="14" t="str">
        <f>"147,5"</f>
        <v>147,5</v>
      </c>
      <c r="P19" s="16" t="str">
        <f>"94,0388"</f>
        <v>94,0388</v>
      </c>
      <c r="Q19" s="14" t="s">
        <v>21</v>
      </c>
    </row>
    <row r="20" spans="1:17">
      <c r="A20" s="4"/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4"/>
      <c r="P20" s="3"/>
      <c r="Q20" s="4"/>
    </row>
    <row r="21" spans="1:17" ht="15">
      <c r="A21" s="4"/>
      <c r="B21" s="4"/>
      <c r="C21" s="4"/>
      <c r="D21" s="4"/>
      <c r="E21" s="17" t="s">
        <v>50</v>
      </c>
      <c r="F21" s="28" t="s">
        <v>426</v>
      </c>
      <c r="G21" s="3"/>
      <c r="H21" s="3"/>
      <c r="I21" s="3"/>
      <c r="J21" s="3"/>
      <c r="K21" s="3"/>
      <c r="L21" s="3"/>
      <c r="M21" s="3"/>
      <c r="N21" s="3"/>
      <c r="O21" s="4"/>
      <c r="P21" s="3"/>
      <c r="Q21" s="4"/>
    </row>
    <row r="22" spans="1:17" ht="15">
      <c r="A22" s="4"/>
      <c r="B22" s="4"/>
      <c r="C22" s="4"/>
      <c r="D22" s="4"/>
      <c r="E22" s="17" t="s">
        <v>51</v>
      </c>
      <c r="F22" s="28" t="s">
        <v>429</v>
      </c>
      <c r="G22" s="3"/>
      <c r="H22" s="3"/>
      <c r="I22" s="3"/>
      <c r="J22" s="3"/>
      <c r="K22" s="3"/>
      <c r="L22" s="3"/>
      <c r="M22" s="3"/>
      <c r="N22" s="3"/>
      <c r="O22" s="4"/>
      <c r="P22" s="3"/>
      <c r="Q22" s="4"/>
    </row>
    <row r="23" spans="1:17" ht="15">
      <c r="A23" s="4"/>
      <c r="B23" s="4"/>
      <c r="C23" s="4"/>
      <c r="D23" s="4"/>
      <c r="E23" s="17" t="s">
        <v>52</v>
      </c>
      <c r="F23" s="28" t="s">
        <v>426</v>
      </c>
      <c r="G23" s="3"/>
      <c r="H23" s="3"/>
      <c r="I23" s="3"/>
      <c r="J23" s="3"/>
      <c r="K23" s="3"/>
      <c r="L23" s="3"/>
      <c r="M23" s="3"/>
      <c r="N23" s="3"/>
      <c r="O23" s="4"/>
      <c r="P23" s="3"/>
      <c r="Q23" s="4"/>
    </row>
    <row r="24" spans="1:17" ht="15">
      <c r="A24" s="4"/>
      <c r="B24" s="4"/>
      <c r="C24" s="4"/>
      <c r="D24" s="4"/>
      <c r="E24" s="17" t="s">
        <v>53</v>
      </c>
      <c r="F24" s="28" t="s">
        <v>427</v>
      </c>
      <c r="G24" s="3"/>
      <c r="H24" s="3"/>
      <c r="I24" s="3"/>
      <c r="J24" s="3"/>
      <c r="K24" s="3"/>
      <c r="L24" s="3"/>
      <c r="M24" s="3"/>
      <c r="N24" s="3"/>
      <c r="O24" s="4"/>
      <c r="P24" s="3"/>
      <c r="Q24" s="4"/>
    </row>
    <row r="25" spans="1:17" ht="15">
      <c r="A25" s="4"/>
      <c r="B25" s="4"/>
      <c r="C25" s="4"/>
      <c r="D25" s="4"/>
      <c r="E25" s="17" t="s">
        <v>53</v>
      </c>
      <c r="F25" s="28" t="s">
        <v>428</v>
      </c>
      <c r="G25" s="3"/>
      <c r="H25" s="3"/>
      <c r="I25" s="3"/>
      <c r="J25" s="3"/>
      <c r="K25" s="3"/>
      <c r="L25" s="3"/>
      <c r="M25" s="3"/>
      <c r="N25" s="3"/>
      <c r="O25" s="4"/>
      <c r="P25" s="3"/>
      <c r="Q25" s="4"/>
    </row>
    <row r="26" spans="1:17" ht="15">
      <c r="A26" s="4"/>
      <c r="B26" s="4"/>
      <c r="C26" s="4"/>
      <c r="D26" s="4"/>
      <c r="E26" s="17" t="s">
        <v>54</v>
      </c>
      <c r="F26" s="28" t="s">
        <v>429</v>
      </c>
      <c r="G26" s="3"/>
      <c r="H26" s="3"/>
      <c r="I26" s="3"/>
      <c r="J26" s="3"/>
      <c r="K26" s="3"/>
      <c r="L26" s="3"/>
      <c r="M26" s="3"/>
      <c r="N26" s="3"/>
      <c r="O26" s="4"/>
      <c r="P26" s="3"/>
      <c r="Q26" s="4"/>
    </row>
    <row r="27" spans="1:17" ht="15">
      <c r="A27" s="4"/>
      <c r="B27" s="4"/>
      <c r="C27" s="4"/>
      <c r="D27" s="4"/>
      <c r="E27" s="17"/>
      <c r="F27" s="4"/>
      <c r="G27" s="3"/>
      <c r="H27" s="3"/>
      <c r="I27" s="3"/>
      <c r="J27" s="3"/>
      <c r="K27" s="3"/>
      <c r="L27" s="3"/>
      <c r="M27" s="3"/>
      <c r="N27" s="3"/>
      <c r="O27" s="4"/>
      <c r="P27" s="3"/>
      <c r="Q27" s="4"/>
    </row>
    <row r="28" spans="1:17">
      <c r="A28" s="4"/>
      <c r="B28" s="4"/>
      <c r="C28" s="4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4"/>
      <c r="P28" s="3"/>
      <c r="Q28" s="4"/>
    </row>
    <row r="29" spans="1:17" ht="18">
      <c r="A29" s="18" t="s">
        <v>55</v>
      </c>
      <c r="B29" s="18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4"/>
      <c r="P29" s="3"/>
      <c r="Q29" s="4"/>
    </row>
    <row r="30" spans="1:17" ht="15">
      <c r="A30" s="19" t="s">
        <v>56</v>
      </c>
      <c r="B30" s="19"/>
      <c r="C30" s="4"/>
      <c r="D30" s="4"/>
      <c r="E30" s="4"/>
      <c r="F30" s="4"/>
      <c r="G30" s="3"/>
      <c r="H30" s="3"/>
      <c r="I30" s="3"/>
      <c r="J30" s="3"/>
      <c r="K30" s="3"/>
      <c r="L30" s="3"/>
      <c r="M30" s="3"/>
      <c r="N30" s="3"/>
      <c r="O30" s="4"/>
      <c r="P30" s="3"/>
      <c r="Q30" s="4"/>
    </row>
    <row r="31" spans="1:17" ht="14.25">
      <c r="A31" s="21"/>
      <c r="B31" s="22" t="s">
        <v>57</v>
      </c>
      <c r="C31" s="4"/>
      <c r="D31" s="4"/>
      <c r="E31" s="4"/>
      <c r="F31" s="4"/>
      <c r="G31" s="3"/>
      <c r="H31" s="3"/>
      <c r="I31" s="3"/>
      <c r="J31" s="3"/>
      <c r="K31" s="3"/>
      <c r="L31" s="3"/>
      <c r="M31" s="3"/>
      <c r="N31" s="3"/>
      <c r="O31" s="4"/>
      <c r="P31" s="3"/>
      <c r="Q31" s="4"/>
    </row>
    <row r="32" spans="1:17" ht="15">
      <c r="A32" s="23" t="s">
        <v>58</v>
      </c>
      <c r="B32" s="23" t="s">
        <v>59</v>
      </c>
      <c r="C32" s="23" t="s">
        <v>60</v>
      </c>
      <c r="D32" s="23" t="s">
        <v>61</v>
      </c>
      <c r="E32" s="23" t="s">
        <v>62</v>
      </c>
      <c r="F32" s="4"/>
      <c r="G32" s="3"/>
      <c r="H32" s="3"/>
      <c r="I32" s="3"/>
      <c r="J32" s="3"/>
      <c r="K32" s="3"/>
      <c r="L32" s="3"/>
      <c r="M32" s="3"/>
      <c r="N32" s="3"/>
      <c r="O32" s="4"/>
      <c r="P32" s="3"/>
      <c r="Q32" s="4"/>
    </row>
    <row r="33" spans="1:17">
      <c r="A33" s="20" t="s">
        <v>23</v>
      </c>
      <c r="B33" s="4" t="s">
        <v>63</v>
      </c>
      <c r="C33" s="4" t="s">
        <v>64</v>
      </c>
      <c r="D33" s="4" t="s">
        <v>44</v>
      </c>
      <c r="E33" s="24" t="s">
        <v>513</v>
      </c>
      <c r="F33" s="4"/>
      <c r="G33" s="3"/>
      <c r="H33" s="3"/>
      <c r="I33" s="3"/>
      <c r="J33" s="3"/>
      <c r="K33" s="3"/>
      <c r="L33" s="3"/>
      <c r="M33" s="3"/>
      <c r="N33" s="3"/>
      <c r="O33" s="4"/>
      <c r="P33" s="3"/>
      <c r="Q33" s="4"/>
    </row>
    <row r="34" spans="1:17">
      <c r="A34" s="4"/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4"/>
      <c r="P34" s="3"/>
      <c r="Q34" s="4"/>
    </row>
    <row r="35" spans="1:17" ht="14.25">
      <c r="A35" s="21"/>
      <c r="B35" s="22" t="s">
        <v>232</v>
      </c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4"/>
      <c r="P35" s="3"/>
      <c r="Q35" s="4"/>
    </row>
    <row r="36" spans="1:17" ht="15">
      <c r="A36" s="23" t="s">
        <v>58</v>
      </c>
      <c r="B36" s="23" t="s">
        <v>59</v>
      </c>
      <c r="C36" s="23" t="s">
        <v>60</v>
      </c>
      <c r="D36" s="23" t="s">
        <v>61</v>
      </c>
      <c r="E36" s="23" t="s">
        <v>62</v>
      </c>
      <c r="F36" s="4"/>
      <c r="G36" s="3"/>
      <c r="H36" s="3"/>
      <c r="I36" s="3"/>
      <c r="J36" s="3"/>
      <c r="K36" s="3"/>
      <c r="L36" s="3"/>
      <c r="M36" s="3"/>
      <c r="N36" s="3"/>
      <c r="O36" s="4"/>
      <c r="P36" s="3"/>
      <c r="Q36" s="4"/>
    </row>
    <row r="37" spans="1:17">
      <c r="A37" s="20" t="s">
        <v>129</v>
      </c>
      <c r="B37" s="4" t="s">
        <v>233</v>
      </c>
      <c r="C37" s="4" t="s">
        <v>219</v>
      </c>
      <c r="D37" s="4" t="s">
        <v>29</v>
      </c>
      <c r="E37" s="24" t="s">
        <v>514</v>
      </c>
      <c r="F37" s="4"/>
      <c r="G37" s="3"/>
      <c r="H37" s="3"/>
      <c r="I37" s="3"/>
      <c r="J37" s="3"/>
      <c r="K37" s="3"/>
      <c r="L37" s="3"/>
      <c r="M37" s="3"/>
      <c r="N37" s="3"/>
      <c r="O37" s="4"/>
      <c r="P37" s="3"/>
      <c r="Q37" s="4"/>
    </row>
    <row r="38" spans="1:17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4"/>
      <c r="P38" s="3"/>
      <c r="Q38" s="4"/>
    </row>
    <row r="39" spans="1:17" ht="14.25">
      <c r="A39" s="21"/>
      <c r="B39" s="22" t="s">
        <v>69</v>
      </c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4"/>
      <c r="P39" s="3"/>
      <c r="Q39" s="4"/>
    </row>
    <row r="40" spans="1:17" ht="15">
      <c r="A40" s="23" t="s">
        <v>58</v>
      </c>
      <c r="B40" s="23" t="s">
        <v>59</v>
      </c>
      <c r="C40" s="23" t="s">
        <v>60</v>
      </c>
      <c r="D40" s="23" t="s">
        <v>61</v>
      </c>
      <c r="E40" s="23" t="s">
        <v>62</v>
      </c>
      <c r="F40" s="4"/>
      <c r="G40" s="3"/>
      <c r="H40" s="3"/>
      <c r="I40" s="3"/>
      <c r="J40" s="3"/>
      <c r="K40" s="3"/>
      <c r="L40" s="3"/>
      <c r="M40" s="3"/>
      <c r="N40" s="3"/>
      <c r="O40" s="4"/>
      <c r="P40" s="3"/>
      <c r="Q40" s="4"/>
    </row>
    <row r="41" spans="1:17">
      <c r="A41" s="20" t="s">
        <v>472</v>
      </c>
      <c r="B41" s="4" t="s">
        <v>69</v>
      </c>
      <c r="C41" s="4" t="s">
        <v>217</v>
      </c>
      <c r="D41" s="4" t="s">
        <v>150</v>
      </c>
      <c r="E41" s="24" t="s">
        <v>515</v>
      </c>
      <c r="F41" s="4"/>
      <c r="G41" s="3"/>
      <c r="H41" s="3"/>
      <c r="I41" s="3"/>
      <c r="J41" s="3"/>
      <c r="K41" s="3"/>
      <c r="L41" s="3"/>
      <c r="M41" s="3"/>
      <c r="N41" s="3"/>
      <c r="O41" s="4"/>
      <c r="P41" s="3"/>
      <c r="Q41" s="4"/>
    </row>
    <row r="42" spans="1:17">
      <c r="A42" s="20" t="s">
        <v>203</v>
      </c>
      <c r="B42" s="4" t="s">
        <v>69</v>
      </c>
      <c r="C42" s="4" t="s">
        <v>70</v>
      </c>
      <c r="D42" s="4" t="s">
        <v>516</v>
      </c>
      <c r="E42" s="24" t="s">
        <v>517</v>
      </c>
      <c r="F42" s="4"/>
      <c r="G42" s="3"/>
      <c r="H42" s="3"/>
      <c r="I42" s="3"/>
      <c r="J42" s="3"/>
      <c r="K42" s="3"/>
      <c r="L42" s="3"/>
      <c r="M42" s="3"/>
      <c r="N42" s="3"/>
      <c r="O42" s="4"/>
      <c r="P42" s="3"/>
      <c r="Q42" s="4"/>
    </row>
    <row r="43" spans="1:17">
      <c r="A43" s="20" t="s">
        <v>46</v>
      </c>
      <c r="B43" s="4" t="s">
        <v>69</v>
      </c>
      <c r="C43" s="4" t="s">
        <v>70</v>
      </c>
      <c r="D43" s="4" t="s">
        <v>319</v>
      </c>
      <c r="E43" s="24" t="s">
        <v>518</v>
      </c>
      <c r="F43" s="4"/>
      <c r="G43" s="3"/>
      <c r="H43" s="3"/>
      <c r="I43" s="3"/>
      <c r="J43" s="3"/>
      <c r="K43" s="3"/>
      <c r="L43" s="3"/>
      <c r="M43" s="3"/>
      <c r="N43" s="3"/>
      <c r="O43" s="4"/>
      <c r="P43" s="3"/>
      <c r="Q43" s="4"/>
    </row>
    <row r="44" spans="1:17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4"/>
      <c r="P44" s="3"/>
      <c r="Q44" s="4"/>
    </row>
    <row r="45" spans="1:17" ht="14.25">
      <c r="A45" s="21"/>
      <c r="B45" s="22" t="s">
        <v>73</v>
      </c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4"/>
      <c r="P45" s="3"/>
      <c r="Q45" s="4"/>
    </row>
    <row r="46" spans="1:17" ht="15">
      <c r="A46" s="23" t="s">
        <v>58</v>
      </c>
      <c r="B46" s="23" t="s">
        <v>59</v>
      </c>
      <c r="C46" s="23" t="s">
        <v>60</v>
      </c>
      <c r="D46" s="23" t="s">
        <v>61</v>
      </c>
      <c r="E46" s="23" t="s">
        <v>62</v>
      </c>
      <c r="F46" s="4"/>
      <c r="G46" s="3"/>
      <c r="H46" s="3"/>
      <c r="I46" s="3"/>
      <c r="J46" s="3"/>
      <c r="K46" s="3"/>
      <c r="L46" s="3"/>
      <c r="M46" s="3"/>
      <c r="N46" s="3"/>
      <c r="O46" s="4"/>
      <c r="P46" s="3"/>
      <c r="Q46" s="4"/>
    </row>
    <row r="47" spans="1:17">
      <c r="A47" s="20" t="s">
        <v>355</v>
      </c>
      <c r="B47" s="4" t="s">
        <v>392</v>
      </c>
      <c r="C47" s="4" t="s">
        <v>70</v>
      </c>
      <c r="D47" s="4" t="s">
        <v>342</v>
      </c>
      <c r="E47" s="24" t="s">
        <v>519</v>
      </c>
      <c r="F47" s="4"/>
      <c r="G47" s="3"/>
      <c r="H47" s="3"/>
      <c r="I47" s="3"/>
      <c r="J47" s="3"/>
      <c r="K47" s="3"/>
      <c r="L47" s="3"/>
      <c r="M47" s="3"/>
      <c r="N47" s="3"/>
      <c r="O47" s="4"/>
      <c r="P47" s="3"/>
      <c r="Q47" s="4"/>
    </row>
    <row r="48" spans="1:17">
      <c r="A48" s="20" t="s">
        <v>520</v>
      </c>
      <c r="B48" s="4" t="s">
        <v>245</v>
      </c>
      <c r="C48" s="4" t="s">
        <v>70</v>
      </c>
      <c r="D48" s="4" t="s">
        <v>382</v>
      </c>
      <c r="E48" s="24" t="s">
        <v>521</v>
      </c>
      <c r="F48" s="4"/>
      <c r="G48" s="3"/>
      <c r="H48" s="3"/>
      <c r="I48" s="3"/>
      <c r="J48" s="3"/>
      <c r="K48" s="3"/>
      <c r="L48" s="3"/>
      <c r="M48" s="3"/>
      <c r="N48" s="3"/>
      <c r="O48" s="4"/>
      <c r="P48" s="3"/>
      <c r="Q48" s="4"/>
    </row>
    <row r="49" spans="1:17">
      <c r="A49" s="20" t="s">
        <v>478</v>
      </c>
      <c r="B49" s="4" t="s">
        <v>392</v>
      </c>
      <c r="C49" s="4" t="s">
        <v>70</v>
      </c>
      <c r="D49" s="4" t="s">
        <v>522</v>
      </c>
      <c r="E49" s="24" t="s">
        <v>523</v>
      </c>
      <c r="F49" s="4"/>
      <c r="G49" s="3"/>
      <c r="H49" s="3"/>
      <c r="I49" s="3"/>
      <c r="J49" s="3"/>
      <c r="K49" s="3"/>
      <c r="L49" s="3"/>
      <c r="M49" s="3"/>
      <c r="N49" s="3"/>
      <c r="O49" s="4"/>
      <c r="P49" s="3"/>
      <c r="Q49" s="4"/>
    </row>
    <row r="50" spans="1:17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3"/>
      <c r="N50" s="3"/>
      <c r="O50" s="4"/>
      <c r="P50" s="3"/>
      <c r="Q50" s="4"/>
    </row>
    <row r="51" spans="1:17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3"/>
      <c r="N51" s="3"/>
      <c r="O51" s="4"/>
      <c r="P51" s="3"/>
      <c r="Q51" s="4"/>
    </row>
    <row r="52" spans="1:17">
      <c r="A52" s="4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3"/>
      <c r="N52" s="3"/>
      <c r="O52" s="4"/>
      <c r="P52" s="3"/>
      <c r="Q52" s="4"/>
    </row>
    <row r="53" spans="1:17">
      <c r="A53" s="4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3"/>
      <c r="N53" s="3"/>
      <c r="O53" s="4"/>
      <c r="P53" s="3"/>
      <c r="Q53" s="4"/>
    </row>
    <row r="54" spans="1:17" ht="18">
      <c r="A54" s="18" t="s">
        <v>76</v>
      </c>
      <c r="B54" s="18"/>
      <c r="C54" s="4"/>
      <c r="D54" s="4"/>
      <c r="E54" s="4"/>
      <c r="F54" s="4"/>
      <c r="G54" s="3"/>
      <c r="H54" s="3"/>
      <c r="I54" s="3"/>
      <c r="J54" s="3"/>
      <c r="K54" s="3"/>
      <c r="L54" s="3"/>
      <c r="M54" s="3"/>
      <c r="N54" s="3"/>
      <c r="O54" s="4"/>
      <c r="P54" s="3"/>
      <c r="Q54" s="4"/>
    </row>
    <row r="55" spans="1:17" ht="15">
      <c r="A55" s="23" t="s">
        <v>77</v>
      </c>
      <c r="B55" s="23" t="s">
        <v>78</v>
      </c>
      <c r="C55" s="23" t="s">
        <v>79</v>
      </c>
      <c r="D55" s="4"/>
      <c r="E55" s="4"/>
      <c r="F55" s="4"/>
      <c r="G55" s="3"/>
      <c r="H55" s="3"/>
      <c r="I55" s="3"/>
      <c r="J55" s="3"/>
      <c r="K55" s="3"/>
      <c r="L55" s="3"/>
      <c r="M55" s="3"/>
      <c r="N55" s="3"/>
      <c r="O55" s="4"/>
      <c r="P55" s="3"/>
      <c r="Q55" s="4"/>
    </row>
    <row r="56" spans="1:17">
      <c r="A56" s="4" t="s">
        <v>16</v>
      </c>
      <c r="B56" s="4" t="s">
        <v>524</v>
      </c>
      <c r="C56" s="4" t="s">
        <v>525</v>
      </c>
      <c r="D56" s="4"/>
      <c r="E56" s="4"/>
      <c r="F56" s="4"/>
      <c r="G56" s="3"/>
      <c r="H56" s="3"/>
      <c r="I56" s="3"/>
      <c r="J56" s="3"/>
      <c r="K56" s="3"/>
      <c r="L56" s="3"/>
      <c r="M56" s="3"/>
      <c r="N56" s="3"/>
      <c r="O56" s="4"/>
      <c r="P56" s="3"/>
      <c r="Q56" s="4"/>
    </row>
    <row r="57" spans="1:17">
      <c r="A57" s="4" t="s">
        <v>34</v>
      </c>
      <c r="B57" s="4" t="s">
        <v>82</v>
      </c>
      <c r="C57" s="4" t="s">
        <v>526</v>
      </c>
      <c r="D57" s="4"/>
      <c r="E57" s="4"/>
      <c r="F57" s="4"/>
      <c r="G57" s="3"/>
      <c r="H57" s="3"/>
      <c r="I57" s="3"/>
      <c r="J57" s="3"/>
      <c r="K57" s="3"/>
      <c r="L57" s="3"/>
      <c r="M57" s="3"/>
      <c r="N57" s="3"/>
      <c r="O57" s="4"/>
      <c r="P57" s="3"/>
      <c r="Q57" s="4"/>
    </row>
  </sheetData>
  <mergeCells count="16">
    <mergeCell ref="P3:P4"/>
    <mergeCell ref="Q3:Q4"/>
    <mergeCell ref="A5:P5"/>
    <mergeCell ref="A8:P8"/>
    <mergeCell ref="A11:P11"/>
    <mergeCell ref="A14:P14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70"/>
  <sheetViews>
    <sheetView topLeftCell="A13" workbookViewId="0">
      <selection sqref="A1:M2"/>
    </sheetView>
  </sheetViews>
  <sheetFormatPr defaultRowHeight="12.75"/>
  <cols>
    <col min="1" max="1" width="28.140625" customWidth="1"/>
    <col min="2" max="2" width="33.42578125" customWidth="1"/>
    <col min="5" max="5" width="26.28515625" customWidth="1"/>
    <col min="6" max="6" width="33" customWidth="1"/>
  </cols>
  <sheetData>
    <row r="1" spans="1:13" ht="85.5" customHeight="1">
      <c r="A1" s="41" t="s">
        <v>568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3.5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15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500</v>
      </c>
      <c r="H3" s="51"/>
      <c r="I3" s="51"/>
      <c r="J3" s="51"/>
      <c r="K3" s="51" t="s">
        <v>84</v>
      </c>
      <c r="L3" s="51" t="s">
        <v>3</v>
      </c>
      <c r="M3" s="39" t="s">
        <v>2</v>
      </c>
    </row>
    <row r="4" spans="1:13" ht="15.75" thickBot="1">
      <c r="A4" s="53"/>
      <c r="B4" s="54"/>
      <c r="C4" s="54"/>
      <c r="D4" s="54"/>
      <c r="E4" s="54"/>
      <c r="F4" s="54"/>
      <c r="G4" s="29">
        <v>1</v>
      </c>
      <c r="H4" s="29">
        <v>2</v>
      </c>
      <c r="I4" s="29">
        <v>3</v>
      </c>
      <c r="J4" s="29" t="s">
        <v>5</v>
      </c>
      <c r="K4" s="54"/>
      <c r="L4" s="54"/>
      <c r="M4" s="55"/>
    </row>
    <row r="5" spans="1:13" ht="15">
      <c r="A5" s="56" t="s">
        <v>136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4"/>
    </row>
    <row r="6" spans="1:13">
      <c r="A6" s="11" t="s">
        <v>316</v>
      </c>
      <c r="B6" s="11" t="s">
        <v>317</v>
      </c>
      <c r="C6" s="11" t="s">
        <v>318</v>
      </c>
      <c r="D6" s="11" t="str">
        <f>"0,7494"</f>
        <v>0,7494</v>
      </c>
      <c r="E6" s="11" t="s">
        <v>16</v>
      </c>
      <c r="F6" s="11" t="s">
        <v>17</v>
      </c>
      <c r="G6" s="13" t="s">
        <v>120</v>
      </c>
      <c r="H6" s="13" t="s">
        <v>528</v>
      </c>
      <c r="I6" s="13" t="s">
        <v>529</v>
      </c>
      <c r="J6" s="12"/>
      <c r="K6" s="11" t="str">
        <f>"32,5"</f>
        <v>32,5</v>
      </c>
      <c r="L6" s="13" t="str">
        <f>"25,8151"</f>
        <v>25,8151</v>
      </c>
      <c r="M6" s="11" t="s">
        <v>21</v>
      </c>
    </row>
    <row r="7" spans="1:13">
      <c r="A7" s="14" t="s">
        <v>530</v>
      </c>
      <c r="B7" s="14" t="s">
        <v>531</v>
      </c>
      <c r="C7" s="14" t="s">
        <v>532</v>
      </c>
      <c r="D7" s="14" t="str">
        <f>"0,7340"</f>
        <v>0,7340</v>
      </c>
      <c r="E7" s="14" t="s">
        <v>34</v>
      </c>
      <c r="F7" s="14" t="s">
        <v>35</v>
      </c>
      <c r="G7" s="16" t="s">
        <v>533</v>
      </c>
      <c r="H7" s="15" t="s">
        <v>529</v>
      </c>
      <c r="I7" s="16" t="s">
        <v>110</v>
      </c>
      <c r="J7" s="15"/>
      <c r="K7" s="14" t="str">
        <f>"35,0"</f>
        <v>35,0</v>
      </c>
      <c r="L7" s="16" t="str">
        <f>"28,6938"</f>
        <v>28,6938</v>
      </c>
      <c r="M7" s="14" t="s">
        <v>21</v>
      </c>
    </row>
    <row r="8" spans="1:13">
      <c r="A8" s="4"/>
      <c r="B8" s="4"/>
      <c r="C8" s="4"/>
      <c r="D8" s="4"/>
      <c r="E8" s="4"/>
      <c r="F8" s="4"/>
      <c r="G8" s="3"/>
      <c r="H8" s="3"/>
      <c r="I8" s="3"/>
      <c r="J8" s="3"/>
      <c r="K8" s="4"/>
      <c r="L8" s="3"/>
      <c r="M8" s="4"/>
    </row>
    <row r="9" spans="1:13" ht="15">
      <c r="A9" s="52" t="s">
        <v>136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4"/>
    </row>
    <row r="10" spans="1:13">
      <c r="A10" s="11" t="s">
        <v>534</v>
      </c>
      <c r="B10" s="11" t="s">
        <v>535</v>
      </c>
      <c r="C10" s="11" t="s">
        <v>536</v>
      </c>
      <c r="D10" s="11" t="str">
        <f>"0,6993"</f>
        <v>0,6993</v>
      </c>
      <c r="E10" s="11" t="s">
        <v>34</v>
      </c>
      <c r="F10" s="11" t="s">
        <v>167</v>
      </c>
      <c r="G10" s="13" t="s">
        <v>501</v>
      </c>
      <c r="H10" s="13" t="s">
        <v>537</v>
      </c>
      <c r="I10" s="13" t="s">
        <v>538</v>
      </c>
      <c r="J10" s="12"/>
      <c r="K10" s="11" t="str">
        <f>"52,5"</f>
        <v>52,5</v>
      </c>
      <c r="L10" s="13" t="str">
        <f>"39,6503"</f>
        <v>39,6503</v>
      </c>
      <c r="M10" s="11" t="s">
        <v>21</v>
      </c>
    </row>
    <row r="11" spans="1:13">
      <c r="A11" s="14" t="s">
        <v>539</v>
      </c>
      <c r="B11" s="14" t="s">
        <v>540</v>
      </c>
      <c r="C11" s="14" t="s">
        <v>541</v>
      </c>
      <c r="D11" s="14" t="str">
        <f>"0,7040"</f>
        <v>0,7040</v>
      </c>
      <c r="E11" s="14" t="s">
        <v>34</v>
      </c>
      <c r="F11" s="14" t="s">
        <v>35</v>
      </c>
      <c r="G11" s="16" t="s">
        <v>542</v>
      </c>
      <c r="H11" s="15" t="s">
        <v>276</v>
      </c>
      <c r="I11" s="16" t="s">
        <v>543</v>
      </c>
      <c r="J11" s="15"/>
      <c r="K11" s="14" t="str">
        <f>"55,0"</f>
        <v>55,0</v>
      </c>
      <c r="L11" s="16" t="str">
        <f>"39,4944"</f>
        <v>39,4944</v>
      </c>
      <c r="M11" s="14" t="s">
        <v>21</v>
      </c>
    </row>
    <row r="12" spans="1:13">
      <c r="A12" s="4"/>
      <c r="B12" s="4"/>
      <c r="C12" s="4"/>
      <c r="D12" s="4"/>
      <c r="E12" s="4"/>
      <c r="F12" s="4"/>
      <c r="G12" s="3"/>
      <c r="H12" s="3"/>
      <c r="I12" s="3"/>
      <c r="J12" s="3"/>
      <c r="K12" s="4"/>
      <c r="L12" s="3"/>
      <c r="M12" s="4"/>
    </row>
    <row r="13" spans="1:13" ht="15">
      <c r="A13" s="52" t="s">
        <v>156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4"/>
    </row>
    <row r="14" spans="1:13">
      <c r="A14" s="11" t="s">
        <v>172</v>
      </c>
      <c r="B14" s="11" t="s">
        <v>173</v>
      </c>
      <c r="C14" s="11" t="s">
        <v>174</v>
      </c>
      <c r="D14" s="11" t="str">
        <f>"0,6273"</f>
        <v>0,6273</v>
      </c>
      <c r="E14" s="11" t="s">
        <v>34</v>
      </c>
      <c r="F14" s="11" t="s">
        <v>35</v>
      </c>
      <c r="G14" s="12" t="s">
        <v>18</v>
      </c>
      <c r="H14" s="13" t="s">
        <v>544</v>
      </c>
      <c r="I14" s="12" t="s">
        <v>19</v>
      </c>
      <c r="J14" s="12"/>
      <c r="K14" s="11" t="str">
        <f>"62,5"</f>
        <v>62,5</v>
      </c>
      <c r="L14" s="13" t="str">
        <f>"40,7745"</f>
        <v>40,7745</v>
      </c>
      <c r="M14" s="11" t="s">
        <v>21</v>
      </c>
    </row>
    <row r="15" spans="1:13">
      <c r="A15" s="25" t="s">
        <v>545</v>
      </c>
      <c r="B15" s="25" t="s">
        <v>546</v>
      </c>
      <c r="C15" s="25" t="s">
        <v>166</v>
      </c>
      <c r="D15" s="25" t="str">
        <f>"0,6198"</f>
        <v>0,6198</v>
      </c>
      <c r="E15" s="25" t="s">
        <v>34</v>
      </c>
      <c r="F15" s="25" t="s">
        <v>35</v>
      </c>
      <c r="G15" s="27" t="s">
        <v>112</v>
      </c>
      <c r="H15" s="27" t="s">
        <v>504</v>
      </c>
      <c r="I15" s="27" t="s">
        <v>18</v>
      </c>
      <c r="J15" s="26"/>
      <c r="K15" s="25" t="str">
        <f>"62,5"</f>
        <v>62,5</v>
      </c>
      <c r="L15" s="27" t="str">
        <f>"39,5122"</f>
        <v>39,5122</v>
      </c>
      <c r="M15" s="25" t="s">
        <v>21</v>
      </c>
    </row>
    <row r="16" spans="1:13">
      <c r="A16" s="14" t="s">
        <v>547</v>
      </c>
      <c r="B16" s="14" t="s">
        <v>548</v>
      </c>
      <c r="C16" s="14" t="s">
        <v>549</v>
      </c>
      <c r="D16" s="14" t="str">
        <f>"0,6358"</f>
        <v>0,6358</v>
      </c>
      <c r="E16" s="14" t="s">
        <v>34</v>
      </c>
      <c r="F16" s="14" t="s">
        <v>35</v>
      </c>
      <c r="G16" s="16" t="s">
        <v>276</v>
      </c>
      <c r="H16" s="16" t="s">
        <v>102</v>
      </c>
      <c r="I16" s="16" t="s">
        <v>103</v>
      </c>
      <c r="J16" s="15"/>
      <c r="K16" s="14" t="str">
        <f>"65,0"</f>
        <v>65,0</v>
      </c>
      <c r="L16" s="16" t="str">
        <f>"41,3270"</f>
        <v>41,3270</v>
      </c>
      <c r="M16" s="14" t="s">
        <v>21</v>
      </c>
    </row>
    <row r="17" spans="1:13">
      <c r="A17" s="4"/>
      <c r="B17" s="4"/>
      <c r="C17" s="4"/>
      <c r="D17" s="4"/>
      <c r="E17" s="4"/>
      <c r="F17" s="4"/>
      <c r="G17" s="3"/>
      <c r="H17" s="3"/>
      <c r="I17" s="3"/>
      <c r="J17" s="3"/>
      <c r="K17" s="4"/>
      <c r="L17" s="3"/>
      <c r="M17" s="4"/>
    </row>
    <row r="18" spans="1:13" ht="15">
      <c r="A18" s="52" t="s">
        <v>38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4"/>
    </row>
    <row r="19" spans="1:13">
      <c r="A19" s="8" t="s">
        <v>507</v>
      </c>
      <c r="B19" s="8" t="s">
        <v>508</v>
      </c>
      <c r="C19" s="8" t="s">
        <v>509</v>
      </c>
      <c r="D19" s="8" t="str">
        <f>"0,5548"</f>
        <v>0,5548</v>
      </c>
      <c r="E19" s="8" t="s">
        <v>16</v>
      </c>
      <c r="F19" s="8" t="s">
        <v>17</v>
      </c>
      <c r="G19" s="10" t="s">
        <v>104</v>
      </c>
      <c r="H19" s="10" t="s">
        <v>169</v>
      </c>
      <c r="I19" s="10" t="s">
        <v>506</v>
      </c>
      <c r="J19" s="9"/>
      <c r="K19" s="8" t="str">
        <f>"77,5"</f>
        <v>77,5</v>
      </c>
      <c r="L19" s="10" t="str">
        <f>"42,9970"</f>
        <v>42,9970</v>
      </c>
      <c r="M19" s="8" t="s">
        <v>21</v>
      </c>
    </row>
    <row r="20" spans="1:13">
      <c r="A20" s="4"/>
      <c r="B20" s="4"/>
      <c r="C20" s="4"/>
      <c r="D20" s="4"/>
      <c r="E20" s="4"/>
      <c r="F20" s="4"/>
      <c r="G20" s="3"/>
      <c r="H20" s="3"/>
      <c r="I20" s="3"/>
      <c r="J20" s="3"/>
      <c r="K20" s="4"/>
      <c r="L20" s="3"/>
      <c r="M20" s="4"/>
    </row>
    <row r="21" spans="1:13" ht="15">
      <c r="A21" s="52" t="s">
        <v>85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4"/>
    </row>
    <row r="22" spans="1:13">
      <c r="A22" s="8" t="s">
        <v>87</v>
      </c>
      <c r="B22" s="8" t="s">
        <v>88</v>
      </c>
      <c r="C22" s="8" t="s">
        <v>89</v>
      </c>
      <c r="D22" s="8" t="str">
        <f>"0,5398"</f>
        <v>0,5398</v>
      </c>
      <c r="E22" s="8" t="s">
        <v>90</v>
      </c>
      <c r="F22" s="8" t="s">
        <v>35</v>
      </c>
      <c r="G22" s="10" t="s">
        <v>103</v>
      </c>
      <c r="H22" s="10" t="s">
        <v>104</v>
      </c>
      <c r="I22" s="10" t="s">
        <v>169</v>
      </c>
      <c r="J22" s="9"/>
      <c r="K22" s="8" t="str">
        <f>"75,0"</f>
        <v>75,0</v>
      </c>
      <c r="L22" s="10" t="str">
        <f>"55,8693"</f>
        <v>55,8693</v>
      </c>
      <c r="M22" s="8" t="s">
        <v>21</v>
      </c>
    </row>
    <row r="23" spans="1:13">
      <c r="A23" s="4"/>
      <c r="B23" s="4"/>
      <c r="C23" s="4"/>
      <c r="D23" s="4"/>
      <c r="E23" s="4"/>
      <c r="F23" s="4"/>
      <c r="G23" s="3"/>
      <c r="H23" s="3"/>
      <c r="I23" s="3"/>
      <c r="J23" s="3"/>
      <c r="K23" s="4"/>
      <c r="L23" s="3"/>
      <c r="M23" s="4"/>
    </row>
    <row r="24" spans="1:13" ht="15">
      <c r="A24" s="4"/>
      <c r="B24" s="4"/>
      <c r="C24" s="4"/>
      <c r="D24" s="4"/>
      <c r="E24" s="17" t="s">
        <v>50</v>
      </c>
      <c r="F24" s="28" t="s">
        <v>426</v>
      </c>
      <c r="G24" s="3"/>
      <c r="H24" s="3"/>
      <c r="I24" s="3"/>
      <c r="J24" s="3"/>
      <c r="K24" s="4"/>
      <c r="L24" s="3"/>
      <c r="M24" s="4"/>
    </row>
    <row r="25" spans="1:13" ht="15">
      <c r="A25" s="4"/>
      <c r="B25" s="4"/>
      <c r="C25" s="4"/>
      <c r="D25" s="4"/>
      <c r="E25" s="17" t="s">
        <v>51</v>
      </c>
      <c r="F25" s="28" t="s">
        <v>429</v>
      </c>
      <c r="G25" s="3"/>
      <c r="H25" s="3"/>
      <c r="I25" s="3"/>
      <c r="J25" s="3"/>
      <c r="K25" s="4"/>
      <c r="L25" s="3"/>
      <c r="M25" s="4"/>
    </row>
    <row r="26" spans="1:13" ht="15">
      <c r="A26" s="4"/>
      <c r="B26" s="4"/>
      <c r="C26" s="4"/>
      <c r="D26" s="4"/>
      <c r="E26" s="17" t="s">
        <v>52</v>
      </c>
      <c r="F26" s="28" t="s">
        <v>426</v>
      </c>
      <c r="G26" s="3"/>
      <c r="H26" s="3"/>
      <c r="I26" s="3"/>
      <c r="J26" s="3"/>
      <c r="K26" s="4"/>
      <c r="L26" s="3"/>
      <c r="M26" s="4"/>
    </row>
    <row r="27" spans="1:13" ht="15">
      <c r="A27" s="4"/>
      <c r="B27" s="4"/>
      <c r="C27" s="4"/>
      <c r="D27" s="4"/>
      <c r="E27" s="17" t="s">
        <v>53</v>
      </c>
      <c r="F27" s="28" t="s">
        <v>427</v>
      </c>
      <c r="G27" s="3"/>
      <c r="H27" s="3"/>
      <c r="I27" s="3"/>
      <c r="J27" s="3"/>
      <c r="K27" s="4"/>
      <c r="L27" s="3"/>
      <c r="M27" s="4"/>
    </row>
    <row r="28" spans="1:13" ht="15">
      <c r="A28" s="4"/>
      <c r="B28" s="4"/>
      <c r="C28" s="4"/>
      <c r="D28" s="4"/>
      <c r="E28" s="17" t="s">
        <v>53</v>
      </c>
      <c r="F28" s="28" t="s">
        <v>428</v>
      </c>
      <c r="G28" s="3"/>
      <c r="H28" s="3"/>
      <c r="I28" s="3"/>
      <c r="J28" s="3"/>
      <c r="K28" s="4"/>
      <c r="L28" s="3"/>
      <c r="M28" s="4"/>
    </row>
    <row r="29" spans="1:13" ht="15">
      <c r="A29" s="4"/>
      <c r="B29" s="4"/>
      <c r="C29" s="4"/>
      <c r="D29" s="4"/>
      <c r="E29" s="17" t="s">
        <v>54</v>
      </c>
      <c r="F29" s="28" t="s">
        <v>429</v>
      </c>
      <c r="G29" s="3"/>
      <c r="H29" s="3"/>
      <c r="I29" s="3"/>
      <c r="J29" s="3"/>
      <c r="K29" s="4"/>
      <c r="L29" s="3"/>
      <c r="M29" s="4"/>
    </row>
    <row r="30" spans="1:13" ht="15">
      <c r="A30" s="4"/>
      <c r="B30" s="4"/>
      <c r="C30" s="4"/>
      <c r="D30" s="4"/>
      <c r="E30" s="17"/>
      <c r="F30" s="4"/>
      <c r="G30" s="3"/>
      <c r="H30" s="3"/>
      <c r="I30" s="3"/>
      <c r="J30" s="3"/>
      <c r="K30" s="4"/>
      <c r="L30" s="3"/>
      <c r="M30" s="4"/>
    </row>
    <row r="31" spans="1:13">
      <c r="A31" s="4"/>
      <c r="B31" s="4"/>
      <c r="C31" s="4"/>
      <c r="D31" s="4"/>
      <c r="E31" s="4"/>
      <c r="F31" s="4"/>
      <c r="G31" s="3"/>
      <c r="H31" s="3"/>
      <c r="I31" s="3"/>
      <c r="J31" s="3"/>
      <c r="K31" s="4"/>
      <c r="L31" s="3"/>
      <c r="M31" s="4"/>
    </row>
    <row r="32" spans="1:13" ht="18">
      <c r="A32" s="18" t="s">
        <v>55</v>
      </c>
      <c r="B32" s="18"/>
      <c r="C32" s="4"/>
      <c r="D32" s="4"/>
      <c r="E32" s="4"/>
      <c r="F32" s="4"/>
      <c r="G32" s="3"/>
      <c r="H32" s="3"/>
      <c r="I32" s="3"/>
      <c r="J32" s="3"/>
      <c r="K32" s="4"/>
      <c r="L32" s="3"/>
      <c r="M32" s="4"/>
    </row>
    <row r="33" spans="1:13" ht="15">
      <c r="A33" s="19" t="s">
        <v>213</v>
      </c>
      <c r="B33" s="19"/>
      <c r="C33" s="4"/>
      <c r="D33" s="4"/>
      <c r="E33" s="4"/>
      <c r="F33" s="4"/>
      <c r="G33" s="3"/>
      <c r="H33" s="3"/>
      <c r="I33" s="3"/>
      <c r="J33" s="3"/>
      <c r="K33" s="4"/>
      <c r="L33" s="3"/>
      <c r="M33" s="4"/>
    </row>
    <row r="34" spans="1:13" ht="14.25">
      <c r="A34" s="21"/>
      <c r="B34" s="22" t="s">
        <v>377</v>
      </c>
      <c r="C34" s="4"/>
      <c r="D34" s="4"/>
      <c r="E34" s="4"/>
      <c r="F34" s="4"/>
      <c r="G34" s="3"/>
      <c r="H34" s="3"/>
      <c r="I34" s="3"/>
      <c r="J34" s="3"/>
      <c r="K34" s="4"/>
      <c r="L34" s="3"/>
      <c r="M34" s="4"/>
    </row>
    <row r="35" spans="1:13" ht="15">
      <c r="A35" s="23" t="s">
        <v>58</v>
      </c>
      <c r="B35" s="23" t="s">
        <v>59</v>
      </c>
      <c r="C35" s="23" t="s">
        <v>60</v>
      </c>
      <c r="D35" s="23" t="s">
        <v>61</v>
      </c>
      <c r="E35" s="23" t="s">
        <v>62</v>
      </c>
      <c r="F35" s="4"/>
      <c r="G35" s="3"/>
      <c r="H35" s="3"/>
      <c r="I35" s="3"/>
      <c r="J35" s="3"/>
      <c r="K35" s="4"/>
      <c r="L35" s="3"/>
      <c r="M35" s="4"/>
    </row>
    <row r="36" spans="1:13">
      <c r="A36" s="20" t="s">
        <v>315</v>
      </c>
      <c r="B36" s="4" t="s">
        <v>63</v>
      </c>
      <c r="C36" s="4" t="s">
        <v>217</v>
      </c>
      <c r="D36" s="4" t="s">
        <v>529</v>
      </c>
      <c r="E36" s="24" t="s">
        <v>550</v>
      </c>
      <c r="F36" s="4"/>
      <c r="G36" s="3"/>
      <c r="H36" s="3"/>
      <c r="I36" s="3"/>
      <c r="J36" s="3"/>
      <c r="K36" s="4"/>
      <c r="L36" s="3"/>
      <c r="M36" s="4"/>
    </row>
    <row r="37" spans="1:13">
      <c r="A37" s="4"/>
      <c r="B37" s="4"/>
      <c r="C37" s="4"/>
      <c r="D37" s="4"/>
      <c r="E37" s="4"/>
      <c r="F37" s="4"/>
      <c r="G37" s="3"/>
      <c r="H37" s="3"/>
      <c r="I37" s="3"/>
      <c r="J37" s="3"/>
      <c r="K37" s="4"/>
      <c r="L37" s="3"/>
      <c r="M37" s="4"/>
    </row>
    <row r="38" spans="1:13" ht="14.25">
      <c r="A38" s="21"/>
      <c r="B38" s="22" t="s">
        <v>73</v>
      </c>
      <c r="C38" s="4"/>
      <c r="D38" s="4"/>
      <c r="E38" s="4"/>
      <c r="F38" s="4"/>
      <c r="G38" s="3"/>
      <c r="H38" s="3"/>
      <c r="I38" s="3"/>
      <c r="J38" s="3"/>
      <c r="K38" s="4"/>
      <c r="L38" s="3"/>
      <c r="M38" s="4"/>
    </row>
    <row r="39" spans="1:13" ht="15">
      <c r="A39" s="23" t="s">
        <v>58</v>
      </c>
      <c r="B39" s="23" t="s">
        <v>59</v>
      </c>
      <c r="C39" s="23" t="s">
        <v>60</v>
      </c>
      <c r="D39" s="23" t="s">
        <v>61</v>
      </c>
      <c r="E39" s="23" t="s">
        <v>62</v>
      </c>
      <c r="F39" s="4"/>
      <c r="G39" s="3"/>
      <c r="H39" s="3"/>
      <c r="I39" s="3"/>
      <c r="J39" s="3"/>
      <c r="K39" s="4"/>
      <c r="L39" s="3"/>
      <c r="M39" s="4"/>
    </row>
    <row r="40" spans="1:13">
      <c r="A40" s="20" t="s">
        <v>551</v>
      </c>
      <c r="B40" s="4" t="s">
        <v>392</v>
      </c>
      <c r="C40" s="4" t="s">
        <v>217</v>
      </c>
      <c r="D40" s="4" t="s">
        <v>552</v>
      </c>
      <c r="E40" s="24" t="s">
        <v>553</v>
      </c>
      <c r="F40" s="4"/>
      <c r="G40" s="3"/>
      <c r="H40" s="3"/>
      <c r="I40" s="3"/>
      <c r="J40" s="3"/>
      <c r="K40" s="4"/>
      <c r="L40" s="3"/>
      <c r="M40" s="4"/>
    </row>
    <row r="41" spans="1:13">
      <c r="A41" s="4"/>
      <c r="B41" s="4"/>
      <c r="C41" s="4"/>
      <c r="D41" s="4"/>
      <c r="E41" s="4"/>
      <c r="F41" s="4"/>
      <c r="G41" s="3"/>
      <c r="H41" s="3"/>
      <c r="I41" s="3"/>
      <c r="J41" s="3"/>
      <c r="K41" s="4"/>
      <c r="L41" s="3"/>
      <c r="M41" s="4"/>
    </row>
    <row r="42" spans="1:13">
      <c r="A42" s="4"/>
      <c r="B42" s="4"/>
      <c r="C42" s="4"/>
      <c r="D42" s="4"/>
      <c r="E42" s="4"/>
      <c r="F42" s="4"/>
      <c r="G42" s="3"/>
      <c r="H42" s="3"/>
      <c r="I42" s="3"/>
      <c r="J42" s="3"/>
      <c r="K42" s="4"/>
      <c r="L42" s="3"/>
      <c r="M42" s="4"/>
    </row>
    <row r="43" spans="1:13" ht="15">
      <c r="A43" s="19" t="s">
        <v>56</v>
      </c>
      <c r="B43" s="19"/>
      <c r="C43" s="4"/>
      <c r="D43" s="4"/>
      <c r="E43" s="4"/>
      <c r="F43" s="4"/>
      <c r="G43" s="3"/>
      <c r="H43" s="3"/>
      <c r="I43" s="3"/>
      <c r="J43" s="3"/>
      <c r="K43" s="4"/>
      <c r="L43" s="3"/>
      <c r="M43" s="4"/>
    </row>
    <row r="44" spans="1:13" ht="14.25">
      <c r="A44" s="21"/>
      <c r="B44" s="22" t="s">
        <v>57</v>
      </c>
      <c r="C44" s="4"/>
      <c r="D44" s="4"/>
      <c r="E44" s="4"/>
      <c r="F44" s="4"/>
      <c r="G44" s="3"/>
      <c r="H44" s="3"/>
      <c r="I44" s="3"/>
      <c r="J44" s="3"/>
      <c r="K44" s="4"/>
      <c r="L44" s="3"/>
      <c r="M44" s="4"/>
    </row>
    <row r="45" spans="1:13" ht="15">
      <c r="A45" s="23" t="s">
        <v>58</v>
      </c>
      <c r="B45" s="23" t="s">
        <v>59</v>
      </c>
      <c r="C45" s="23" t="s">
        <v>60</v>
      </c>
      <c r="D45" s="23" t="s">
        <v>61</v>
      </c>
      <c r="E45" s="23" t="s">
        <v>62</v>
      </c>
      <c r="F45" s="4"/>
      <c r="G45" s="3"/>
      <c r="H45" s="3"/>
      <c r="I45" s="3"/>
      <c r="J45" s="3"/>
      <c r="K45" s="4"/>
      <c r="L45" s="3"/>
      <c r="M45" s="4"/>
    </row>
    <row r="46" spans="1:13">
      <c r="A46" s="20" t="s">
        <v>171</v>
      </c>
      <c r="B46" s="4" t="s">
        <v>63</v>
      </c>
      <c r="C46" s="4" t="s">
        <v>221</v>
      </c>
      <c r="D46" s="4" t="s">
        <v>18</v>
      </c>
      <c r="E46" s="24" t="s">
        <v>554</v>
      </c>
      <c r="F46" s="4"/>
      <c r="G46" s="3"/>
      <c r="H46" s="3"/>
      <c r="I46" s="3"/>
      <c r="J46" s="3"/>
      <c r="K46" s="4"/>
      <c r="L46" s="3"/>
      <c r="M46" s="4"/>
    </row>
    <row r="47" spans="1:13">
      <c r="A47" s="20" t="s">
        <v>555</v>
      </c>
      <c r="B47" s="4" t="s">
        <v>66</v>
      </c>
      <c r="C47" s="4" t="s">
        <v>217</v>
      </c>
      <c r="D47" s="4" t="s">
        <v>503</v>
      </c>
      <c r="E47" s="24" t="s">
        <v>556</v>
      </c>
      <c r="F47" s="4"/>
      <c r="G47" s="3"/>
      <c r="H47" s="3"/>
      <c r="I47" s="3"/>
      <c r="J47" s="3"/>
      <c r="K47" s="4"/>
      <c r="L47" s="3"/>
      <c r="M47" s="4"/>
    </row>
    <row r="48" spans="1:13">
      <c r="A48" s="4"/>
      <c r="B48" s="4"/>
      <c r="C48" s="4"/>
      <c r="D48" s="4"/>
      <c r="E48" s="4"/>
      <c r="F48" s="4"/>
      <c r="G48" s="3"/>
      <c r="H48" s="3"/>
      <c r="I48" s="3"/>
      <c r="J48" s="3"/>
      <c r="K48" s="4"/>
      <c r="L48" s="3"/>
      <c r="M48" s="4"/>
    </row>
    <row r="49" spans="1:13" ht="14.25">
      <c r="A49" s="21"/>
      <c r="B49" s="22" t="s">
        <v>232</v>
      </c>
      <c r="C49" s="4"/>
      <c r="D49" s="4"/>
      <c r="E49" s="4"/>
      <c r="F49" s="4"/>
      <c r="G49" s="3"/>
      <c r="H49" s="3"/>
      <c r="I49" s="3"/>
      <c r="J49" s="3"/>
      <c r="K49" s="4"/>
      <c r="L49" s="3"/>
      <c r="M49" s="4"/>
    </row>
    <row r="50" spans="1:13" ht="15">
      <c r="A50" s="23" t="s">
        <v>58</v>
      </c>
      <c r="B50" s="23" t="s">
        <v>59</v>
      </c>
      <c r="C50" s="23" t="s">
        <v>60</v>
      </c>
      <c r="D50" s="23" t="s">
        <v>61</v>
      </c>
      <c r="E50" s="23" t="s">
        <v>62</v>
      </c>
      <c r="F50" s="4"/>
      <c r="G50" s="3"/>
      <c r="H50" s="3"/>
      <c r="I50" s="3"/>
      <c r="J50" s="3"/>
      <c r="K50" s="4"/>
      <c r="L50" s="3"/>
      <c r="M50" s="4"/>
    </row>
    <row r="51" spans="1:13">
      <c r="A51" s="20" t="s">
        <v>557</v>
      </c>
      <c r="B51" s="4" t="s">
        <v>233</v>
      </c>
      <c r="C51" s="4" t="s">
        <v>221</v>
      </c>
      <c r="D51" s="4" t="s">
        <v>18</v>
      </c>
      <c r="E51" s="24" t="s">
        <v>558</v>
      </c>
      <c r="F51" s="4"/>
      <c r="G51" s="3"/>
      <c r="H51" s="3"/>
      <c r="I51" s="3"/>
      <c r="J51" s="3"/>
      <c r="K51" s="4"/>
      <c r="L51" s="3"/>
      <c r="M51" s="4"/>
    </row>
    <row r="52" spans="1:13">
      <c r="A52" s="20" t="s">
        <v>559</v>
      </c>
      <c r="B52" s="4" t="s">
        <v>233</v>
      </c>
      <c r="C52" s="4" t="s">
        <v>217</v>
      </c>
      <c r="D52" s="4" t="s">
        <v>276</v>
      </c>
      <c r="E52" s="24" t="s">
        <v>560</v>
      </c>
      <c r="F52" s="4"/>
      <c r="G52" s="3"/>
      <c r="H52" s="3"/>
      <c r="I52" s="3"/>
      <c r="J52" s="3"/>
      <c r="K52" s="4"/>
      <c r="L52" s="3"/>
      <c r="M52" s="4"/>
    </row>
    <row r="53" spans="1:13">
      <c r="A53" s="4"/>
      <c r="B53" s="4"/>
      <c r="C53" s="4"/>
      <c r="D53" s="4"/>
      <c r="E53" s="4"/>
      <c r="F53" s="4"/>
      <c r="G53" s="3"/>
      <c r="H53" s="3"/>
      <c r="I53" s="3"/>
      <c r="J53" s="3"/>
      <c r="K53" s="4"/>
      <c r="L53" s="3"/>
      <c r="M53" s="4"/>
    </row>
    <row r="54" spans="1:13" ht="14.25">
      <c r="A54" s="21"/>
      <c r="B54" s="22" t="s">
        <v>69</v>
      </c>
      <c r="C54" s="4"/>
      <c r="D54" s="4"/>
      <c r="E54" s="4"/>
      <c r="F54" s="4"/>
      <c r="G54" s="3"/>
      <c r="H54" s="3"/>
      <c r="I54" s="3"/>
      <c r="J54" s="3"/>
      <c r="K54" s="4"/>
      <c r="L54" s="3"/>
      <c r="M54" s="4"/>
    </row>
    <row r="55" spans="1:13" ht="15">
      <c r="A55" s="23" t="s">
        <v>58</v>
      </c>
      <c r="B55" s="23" t="s">
        <v>59</v>
      </c>
      <c r="C55" s="23" t="s">
        <v>60</v>
      </c>
      <c r="D55" s="23" t="s">
        <v>61</v>
      </c>
      <c r="E55" s="23" t="s">
        <v>62</v>
      </c>
      <c r="F55" s="4"/>
      <c r="G55" s="3"/>
      <c r="H55" s="3"/>
      <c r="I55" s="3"/>
      <c r="J55" s="3"/>
      <c r="K55" s="4"/>
      <c r="L55" s="3"/>
      <c r="M55" s="4"/>
    </row>
    <row r="56" spans="1:13">
      <c r="A56" s="20" t="s">
        <v>561</v>
      </c>
      <c r="B56" s="4" t="s">
        <v>69</v>
      </c>
      <c r="C56" s="4" t="s">
        <v>221</v>
      </c>
      <c r="D56" s="4" t="s">
        <v>103</v>
      </c>
      <c r="E56" s="24" t="s">
        <v>562</v>
      </c>
      <c r="F56" s="4"/>
      <c r="G56" s="3"/>
      <c r="H56" s="3"/>
      <c r="I56" s="3"/>
      <c r="J56" s="3"/>
      <c r="K56" s="4"/>
      <c r="L56" s="3"/>
      <c r="M56" s="4"/>
    </row>
    <row r="57" spans="1:13">
      <c r="A57" s="4"/>
      <c r="B57" s="4"/>
      <c r="C57" s="4"/>
      <c r="D57" s="4"/>
      <c r="E57" s="4"/>
      <c r="F57" s="4"/>
      <c r="G57" s="3"/>
      <c r="H57" s="3"/>
      <c r="I57" s="3"/>
      <c r="J57" s="3"/>
      <c r="K57" s="4"/>
      <c r="L57" s="3"/>
      <c r="M57" s="4"/>
    </row>
    <row r="58" spans="1:13" ht="14.25">
      <c r="A58" s="21"/>
      <c r="B58" s="22" t="s">
        <v>73</v>
      </c>
      <c r="C58" s="4"/>
      <c r="D58" s="4"/>
      <c r="E58" s="4"/>
      <c r="F58" s="4"/>
      <c r="G58" s="3"/>
      <c r="H58" s="3"/>
      <c r="I58" s="3"/>
      <c r="J58" s="3"/>
      <c r="K58" s="4"/>
      <c r="L58" s="3"/>
      <c r="M58" s="4"/>
    </row>
    <row r="59" spans="1:13" ht="15">
      <c r="A59" s="23" t="s">
        <v>58</v>
      </c>
      <c r="B59" s="23" t="s">
        <v>59</v>
      </c>
      <c r="C59" s="23" t="s">
        <v>60</v>
      </c>
      <c r="D59" s="23" t="s">
        <v>61</v>
      </c>
      <c r="E59" s="23" t="s">
        <v>62</v>
      </c>
      <c r="F59" s="4"/>
      <c r="G59" s="3"/>
      <c r="H59" s="3"/>
      <c r="I59" s="3"/>
      <c r="J59" s="3"/>
      <c r="K59" s="4"/>
      <c r="L59" s="3"/>
      <c r="M59" s="4"/>
    </row>
    <row r="60" spans="1:13">
      <c r="A60" s="20" t="s">
        <v>86</v>
      </c>
      <c r="B60" s="4" t="s">
        <v>92</v>
      </c>
      <c r="C60" s="4" t="s">
        <v>93</v>
      </c>
      <c r="D60" s="4" t="s">
        <v>169</v>
      </c>
      <c r="E60" s="24" t="s">
        <v>563</v>
      </c>
      <c r="F60" s="4"/>
      <c r="G60" s="3"/>
      <c r="H60" s="3"/>
      <c r="I60" s="3"/>
      <c r="J60" s="3"/>
      <c r="K60" s="4"/>
      <c r="L60" s="3"/>
      <c r="M60" s="4"/>
    </row>
    <row r="61" spans="1:13">
      <c r="A61" s="20" t="s">
        <v>520</v>
      </c>
      <c r="B61" s="4" t="s">
        <v>245</v>
      </c>
      <c r="C61" s="4" t="s">
        <v>70</v>
      </c>
      <c r="D61" s="4" t="s">
        <v>506</v>
      </c>
      <c r="E61" s="24" t="s">
        <v>564</v>
      </c>
      <c r="F61" s="4"/>
      <c r="G61" s="3"/>
      <c r="H61" s="3"/>
      <c r="I61" s="3"/>
      <c r="J61" s="3"/>
      <c r="K61" s="4"/>
      <c r="L61" s="3"/>
      <c r="M61" s="4"/>
    </row>
    <row r="62" spans="1:13">
      <c r="A62" s="4"/>
      <c r="B62" s="4"/>
      <c r="C62" s="4"/>
      <c r="D62" s="4"/>
      <c r="E62" s="4"/>
      <c r="F62" s="4"/>
      <c r="G62" s="3"/>
      <c r="H62" s="3"/>
      <c r="I62" s="3"/>
      <c r="J62" s="3"/>
      <c r="K62" s="4"/>
      <c r="L62" s="3"/>
      <c r="M62" s="4"/>
    </row>
    <row r="63" spans="1:13">
      <c r="A63" s="4"/>
      <c r="B63" s="4"/>
      <c r="C63" s="4"/>
      <c r="D63" s="4"/>
      <c r="E63" s="4"/>
      <c r="F63" s="4"/>
      <c r="G63" s="3"/>
      <c r="H63" s="3"/>
      <c r="I63" s="3"/>
      <c r="J63" s="3"/>
      <c r="K63" s="4"/>
      <c r="L63" s="3"/>
      <c r="M63" s="4"/>
    </row>
    <row r="64" spans="1:13">
      <c r="A64" s="4"/>
      <c r="B64" s="4"/>
      <c r="C64" s="4"/>
      <c r="D64" s="4"/>
      <c r="E64" s="4"/>
      <c r="F64" s="4"/>
      <c r="G64" s="3"/>
      <c r="H64" s="3"/>
      <c r="I64" s="3"/>
      <c r="J64" s="3"/>
      <c r="K64" s="4"/>
      <c r="L64" s="3"/>
      <c r="M64" s="4"/>
    </row>
    <row r="65" spans="1:13">
      <c r="A65" s="4"/>
      <c r="B65" s="4"/>
      <c r="C65" s="4"/>
      <c r="D65" s="4"/>
      <c r="E65" s="4"/>
      <c r="F65" s="4"/>
      <c r="G65" s="3"/>
      <c r="H65" s="3"/>
      <c r="I65" s="3"/>
      <c r="J65" s="3"/>
      <c r="K65" s="4"/>
      <c r="L65" s="3"/>
      <c r="M65" s="4"/>
    </row>
    <row r="66" spans="1:13" ht="18">
      <c r="A66" s="18" t="s">
        <v>76</v>
      </c>
      <c r="B66" s="18"/>
      <c r="C66" s="4"/>
      <c r="D66" s="4"/>
      <c r="E66" s="4"/>
      <c r="F66" s="4"/>
      <c r="G66" s="3"/>
      <c r="H66" s="3"/>
      <c r="I66" s="3"/>
      <c r="J66" s="3"/>
      <c r="K66" s="4"/>
      <c r="L66" s="3"/>
      <c r="M66" s="4"/>
    </row>
    <row r="67" spans="1:13" ht="15">
      <c r="A67" s="23" t="s">
        <v>77</v>
      </c>
      <c r="B67" s="23" t="s">
        <v>78</v>
      </c>
      <c r="C67" s="23" t="s">
        <v>79</v>
      </c>
      <c r="D67" s="4"/>
      <c r="E67" s="4"/>
      <c r="F67" s="4"/>
      <c r="G67" s="3"/>
      <c r="H67" s="3"/>
      <c r="I67" s="3"/>
      <c r="J67" s="3"/>
      <c r="K67" s="4"/>
      <c r="L67" s="3"/>
      <c r="M67" s="4"/>
    </row>
    <row r="68" spans="1:13">
      <c r="A68" s="4" t="s">
        <v>34</v>
      </c>
      <c r="B68" s="4" t="s">
        <v>565</v>
      </c>
      <c r="C68" s="4" t="s">
        <v>566</v>
      </c>
      <c r="D68" s="4"/>
      <c r="E68" s="4"/>
      <c r="F68" s="4"/>
      <c r="G68" s="3"/>
      <c r="H68" s="3"/>
      <c r="I68" s="3"/>
      <c r="J68" s="3"/>
      <c r="K68" s="4"/>
      <c r="L68" s="3"/>
      <c r="M68" s="4"/>
    </row>
    <row r="69" spans="1:13">
      <c r="A69" s="4" t="s">
        <v>16</v>
      </c>
      <c r="B69" s="4" t="s">
        <v>268</v>
      </c>
      <c r="C69" s="4" t="s">
        <v>567</v>
      </c>
      <c r="D69" s="4"/>
      <c r="E69" s="4"/>
      <c r="F69" s="4"/>
      <c r="G69" s="3"/>
      <c r="H69" s="3"/>
      <c r="I69" s="3"/>
      <c r="J69" s="3"/>
      <c r="K69" s="4"/>
      <c r="L69" s="3"/>
      <c r="M69" s="4"/>
    </row>
    <row r="70" spans="1:13">
      <c r="A70" s="4" t="s">
        <v>90</v>
      </c>
      <c r="B70" s="4" t="s">
        <v>82</v>
      </c>
      <c r="C70" s="4" t="s">
        <v>95</v>
      </c>
      <c r="D70" s="4"/>
      <c r="E70" s="4"/>
      <c r="F70" s="4"/>
      <c r="G70" s="3"/>
      <c r="H70" s="3"/>
      <c r="I70" s="3"/>
      <c r="J70" s="3"/>
      <c r="K70" s="4"/>
      <c r="L70" s="3"/>
      <c r="M70" s="4"/>
    </row>
  </sheetData>
  <mergeCells count="16">
    <mergeCell ref="M3:M4"/>
    <mergeCell ref="A5:L5"/>
    <mergeCell ref="A9:L9"/>
    <mergeCell ref="A13:L13"/>
    <mergeCell ref="A18:L18"/>
    <mergeCell ref="A21:L2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E20" sqref="E20"/>
    </sheetView>
  </sheetViews>
  <sheetFormatPr defaultRowHeight="12.75"/>
  <cols>
    <col min="1" max="1" width="26.42578125" customWidth="1"/>
    <col min="2" max="2" width="30.85546875" customWidth="1"/>
    <col min="3" max="3" width="11.140625" customWidth="1"/>
    <col min="4" max="4" width="11.7109375" customWidth="1"/>
    <col min="5" max="5" width="22.85546875" customWidth="1"/>
    <col min="6" max="6" width="37.140625" customWidth="1"/>
  </cols>
  <sheetData>
    <row r="1" spans="1:11" ht="87" customHeight="1">
      <c r="A1" s="41" t="s">
        <v>600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13.5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15">
      <c r="A3" s="47" t="s">
        <v>0</v>
      </c>
      <c r="B3" s="49" t="s">
        <v>6</v>
      </c>
      <c r="C3" s="49" t="s">
        <v>7</v>
      </c>
      <c r="D3" s="51" t="s">
        <v>569</v>
      </c>
      <c r="E3" s="51" t="s">
        <v>4</v>
      </c>
      <c r="F3" s="51" t="s">
        <v>8</v>
      </c>
      <c r="G3" s="51" t="s">
        <v>440</v>
      </c>
      <c r="H3" s="51"/>
      <c r="I3" s="51" t="s">
        <v>441</v>
      </c>
      <c r="J3" s="51" t="s">
        <v>3</v>
      </c>
      <c r="K3" s="39" t="s">
        <v>2</v>
      </c>
    </row>
    <row r="4" spans="1:11" ht="15.75" thickBot="1">
      <c r="A4" s="53"/>
      <c r="B4" s="54"/>
      <c r="C4" s="54"/>
      <c r="D4" s="54"/>
      <c r="E4" s="54"/>
      <c r="F4" s="54"/>
      <c r="G4" s="29" t="s">
        <v>442</v>
      </c>
      <c r="H4" s="57" t="s">
        <v>436</v>
      </c>
      <c r="I4" s="54"/>
      <c r="J4" s="54"/>
      <c r="K4" s="55"/>
    </row>
    <row r="5" spans="1:11" ht="15">
      <c r="A5" s="56" t="s">
        <v>570</v>
      </c>
      <c r="B5" s="56"/>
      <c r="C5" s="56"/>
      <c r="D5" s="56"/>
      <c r="E5" s="56"/>
      <c r="F5" s="56"/>
      <c r="G5" s="56"/>
      <c r="H5" s="56"/>
      <c r="I5" s="56"/>
      <c r="J5" s="56"/>
      <c r="K5" s="4"/>
    </row>
    <row r="6" spans="1:11">
      <c r="A6" s="11" t="s">
        <v>24</v>
      </c>
      <c r="B6" s="11" t="s">
        <v>25</v>
      </c>
      <c r="C6" s="11" t="s">
        <v>26</v>
      </c>
      <c r="D6" s="11" t="str">
        <f>"1,0000"</f>
        <v>1,0000</v>
      </c>
      <c r="E6" s="11" t="s">
        <v>16</v>
      </c>
      <c r="F6" s="11" t="s">
        <v>17</v>
      </c>
      <c r="G6" s="13" t="s">
        <v>276</v>
      </c>
      <c r="H6" s="60" t="s">
        <v>571</v>
      </c>
      <c r="I6" s="11" t="str">
        <f>"5555,0"</f>
        <v>5555,0</v>
      </c>
      <c r="J6" s="13" t="str">
        <f>"61,7908"</f>
        <v>61,7908</v>
      </c>
      <c r="K6" s="11" t="s">
        <v>21</v>
      </c>
    </row>
    <row r="7" spans="1:11">
      <c r="A7" s="25" t="s">
        <v>572</v>
      </c>
      <c r="B7" s="25" t="s">
        <v>362</v>
      </c>
      <c r="C7" s="25" t="s">
        <v>363</v>
      </c>
      <c r="D7" s="25" t="str">
        <f>"1,0000"</f>
        <v>1,0000</v>
      </c>
      <c r="E7" s="25" t="s">
        <v>16</v>
      </c>
      <c r="F7" s="25" t="s">
        <v>17</v>
      </c>
      <c r="G7" s="27" t="s">
        <v>276</v>
      </c>
      <c r="H7" s="61" t="s">
        <v>170</v>
      </c>
      <c r="I7" s="25" t="str">
        <f>"4400,0"</f>
        <v>4400,0</v>
      </c>
      <c r="J7" s="27" t="str">
        <f>"44,5795"</f>
        <v>44,5795</v>
      </c>
      <c r="K7" s="25" t="s">
        <v>21</v>
      </c>
    </row>
    <row r="8" spans="1:11">
      <c r="A8" s="25" t="s">
        <v>573</v>
      </c>
      <c r="B8" s="25" t="s">
        <v>574</v>
      </c>
      <c r="C8" s="25" t="s">
        <v>575</v>
      </c>
      <c r="D8" s="25" t="str">
        <f>"1,0000"</f>
        <v>1,0000</v>
      </c>
      <c r="E8" s="25" t="s">
        <v>34</v>
      </c>
      <c r="F8" s="25" t="s">
        <v>35</v>
      </c>
      <c r="G8" s="27" t="s">
        <v>276</v>
      </c>
      <c r="H8" s="61" t="s">
        <v>576</v>
      </c>
      <c r="I8" s="25" t="str">
        <f>"1540,0"</f>
        <v>1540,0</v>
      </c>
      <c r="J8" s="27" t="str">
        <f>"15,4851"</f>
        <v>15,4851</v>
      </c>
      <c r="K8" s="25" t="s">
        <v>21</v>
      </c>
    </row>
    <row r="9" spans="1:11">
      <c r="A9" s="25" t="s">
        <v>577</v>
      </c>
      <c r="B9" s="25" t="s">
        <v>578</v>
      </c>
      <c r="C9" s="25" t="s">
        <v>579</v>
      </c>
      <c r="D9" s="25" t="str">
        <f>"1,0000"</f>
        <v>1,0000</v>
      </c>
      <c r="E9" s="25" t="s">
        <v>34</v>
      </c>
      <c r="F9" s="25" t="s">
        <v>161</v>
      </c>
      <c r="G9" s="62" t="s">
        <v>276</v>
      </c>
      <c r="H9" s="61" t="s">
        <v>580</v>
      </c>
      <c r="I9" s="25" t="str">
        <f>"2860,0"</f>
        <v>2860,0</v>
      </c>
      <c r="J9" s="27" t="str">
        <f>"36,3405"</f>
        <v>36,3405</v>
      </c>
      <c r="K9" s="25" t="s">
        <v>21</v>
      </c>
    </row>
    <row r="10" spans="1:11">
      <c r="A10" s="14" t="s">
        <v>581</v>
      </c>
      <c r="B10" s="14" t="s">
        <v>467</v>
      </c>
      <c r="C10" s="14" t="s">
        <v>353</v>
      </c>
      <c r="D10" s="14" t="str">
        <f>"1,0000"</f>
        <v>1,0000</v>
      </c>
      <c r="E10" s="14" t="s">
        <v>16</v>
      </c>
      <c r="F10" s="14" t="s">
        <v>17</v>
      </c>
      <c r="G10" s="16" t="s">
        <v>276</v>
      </c>
      <c r="H10" s="63" t="s">
        <v>582</v>
      </c>
      <c r="I10" s="14" t="str">
        <f>"2805,0"</f>
        <v>2805,0</v>
      </c>
      <c r="J10" s="16" t="str">
        <f>"31,5168"</f>
        <v>31,5168</v>
      </c>
      <c r="K10" s="14" t="s">
        <v>21</v>
      </c>
    </row>
    <row r="11" spans="1:11">
      <c r="A11" s="4"/>
      <c r="B11" s="4"/>
      <c r="C11" s="4"/>
      <c r="D11" s="4"/>
      <c r="E11" s="4"/>
      <c r="F11" s="4"/>
      <c r="G11" s="3"/>
      <c r="H11" s="59"/>
      <c r="I11" s="4"/>
      <c r="J11" s="3"/>
      <c r="K11" s="4"/>
    </row>
    <row r="12" spans="1:11" ht="15">
      <c r="A12" s="4"/>
      <c r="B12" s="4"/>
      <c r="C12" s="4"/>
      <c r="D12" s="4"/>
      <c r="E12" s="17" t="s">
        <v>50</v>
      </c>
      <c r="F12" s="28" t="s">
        <v>426</v>
      </c>
      <c r="G12" s="3"/>
      <c r="H12" s="59"/>
      <c r="I12" s="4"/>
      <c r="J12" s="3"/>
      <c r="K12" s="4"/>
    </row>
    <row r="13" spans="1:11" ht="15">
      <c r="A13" s="4"/>
      <c r="B13" s="4"/>
      <c r="C13" s="4"/>
      <c r="D13" s="4"/>
      <c r="E13" s="17" t="s">
        <v>51</v>
      </c>
      <c r="F13" s="28" t="s">
        <v>429</v>
      </c>
      <c r="G13" s="3"/>
      <c r="H13" s="59"/>
      <c r="I13" s="4"/>
      <c r="J13" s="3"/>
      <c r="K13" s="4"/>
    </row>
    <row r="14" spans="1:11" ht="15">
      <c r="A14" s="4"/>
      <c r="B14" s="4"/>
      <c r="C14" s="4"/>
      <c r="D14" s="4"/>
      <c r="E14" s="17" t="s">
        <v>52</v>
      </c>
      <c r="F14" s="28" t="s">
        <v>426</v>
      </c>
      <c r="G14" s="3"/>
      <c r="H14" s="59"/>
      <c r="I14" s="4"/>
      <c r="J14" s="3"/>
      <c r="K14" s="4"/>
    </row>
    <row r="15" spans="1:11" ht="15">
      <c r="A15" s="4"/>
      <c r="B15" s="4"/>
      <c r="C15" s="4"/>
      <c r="D15" s="4"/>
      <c r="E15" s="17" t="s">
        <v>53</v>
      </c>
      <c r="F15" s="28" t="s">
        <v>427</v>
      </c>
      <c r="G15" s="3"/>
      <c r="H15" s="59"/>
      <c r="I15" s="4"/>
      <c r="J15" s="3"/>
      <c r="K15" s="4"/>
    </row>
    <row r="16" spans="1:11" ht="15">
      <c r="A16" s="4"/>
      <c r="B16" s="4"/>
      <c r="C16" s="4"/>
      <c r="D16" s="4"/>
      <c r="E16" s="17" t="s">
        <v>53</v>
      </c>
      <c r="F16" s="28" t="s">
        <v>428</v>
      </c>
      <c r="G16" s="3"/>
      <c r="H16" s="59"/>
      <c r="I16" s="4"/>
      <c r="J16" s="3"/>
      <c r="K16" s="4"/>
    </row>
    <row r="17" spans="1:11" ht="15">
      <c r="A17" s="4"/>
      <c r="B17" s="4"/>
      <c r="C17" s="4"/>
      <c r="D17" s="4"/>
      <c r="E17" s="17" t="s">
        <v>54</v>
      </c>
      <c r="F17" s="28" t="s">
        <v>429</v>
      </c>
      <c r="G17" s="3"/>
      <c r="H17" s="59"/>
      <c r="I17" s="4"/>
      <c r="J17" s="3"/>
      <c r="K17" s="4"/>
    </row>
    <row r="18" spans="1:11" ht="15">
      <c r="A18" s="4"/>
      <c r="B18" s="4"/>
      <c r="C18" s="4"/>
      <c r="D18" s="4"/>
      <c r="E18" s="17"/>
      <c r="F18" s="4"/>
      <c r="G18" s="3"/>
      <c r="H18" s="59"/>
      <c r="I18" s="4"/>
      <c r="J18" s="3"/>
      <c r="K18" s="4"/>
    </row>
    <row r="19" spans="1:11">
      <c r="A19" s="4"/>
      <c r="B19" s="4"/>
      <c r="C19" s="4"/>
      <c r="D19" s="4"/>
      <c r="E19" s="4"/>
      <c r="F19" s="4"/>
      <c r="G19" s="3"/>
      <c r="H19" s="59"/>
      <c r="I19" s="4"/>
      <c r="J19" s="3"/>
      <c r="K19" s="4"/>
    </row>
    <row r="20" spans="1:11" ht="18">
      <c r="A20" s="18" t="s">
        <v>55</v>
      </c>
      <c r="B20" s="18"/>
      <c r="C20" s="4"/>
      <c r="D20" s="4"/>
      <c r="E20" s="4"/>
      <c r="F20" s="4"/>
      <c r="G20" s="3"/>
      <c r="H20" s="59"/>
      <c r="I20" s="4"/>
      <c r="J20" s="3"/>
      <c r="K20" s="4"/>
    </row>
    <row r="21" spans="1:11" ht="15">
      <c r="A21" s="19" t="s">
        <v>56</v>
      </c>
      <c r="B21" s="19"/>
      <c r="C21" s="4"/>
      <c r="D21" s="4"/>
      <c r="E21" s="4"/>
      <c r="F21" s="4"/>
      <c r="G21" s="3"/>
      <c r="H21" s="59"/>
      <c r="I21" s="4"/>
      <c r="J21" s="3"/>
      <c r="K21" s="4"/>
    </row>
    <row r="22" spans="1:11" ht="14.25">
      <c r="A22" s="21"/>
      <c r="B22" s="22" t="s">
        <v>57</v>
      </c>
      <c r="C22" s="4"/>
      <c r="D22" s="4"/>
      <c r="E22" s="4"/>
      <c r="F22" s="4"/>
      <c r="G22" s="3"/>
      <c r="H22" s="59"/>
      <c r="I22" s="4"/>
      <c r="J22" s="3"/>
      <c r="K22" s="4"/>
    </row>
    <row r="23" spans="1:11" ht="15">
      <c r="A23" s="23" t="s">
        <v>58</v>
      </c>
      <c r="B23" s="23" t="s">
        <v>59</v>
      </c>
      <c r="C23" s="23" t="s">
        <v>60</v>
      </c>
      <c r="D23" s="23" t="s">
        <v>61</v>
      </c>
      <c r="E23" s="23" t="s">
        <v>583</v>
      </c>
      <c r="F23" s="4"/>
      <c r="G23" s="3"/>
      <c r="H23" s="59"/>
      <c r="I23" s="4"/>
      <c r="J23" s="3"/>
      <c r="K23" s="4"/>
    </row>
    <row r="24" spans="1:11">
      <c r="A24" s="20" t="s">
        <v>23</v>
      </c>
      <c r="B24" s="4" t="s">
        <v>63</v>
      </c>
      <c r="C24" s="4" t="s">
        <v>584</v>
      </c>
      <c r="D24" s="4" t="s">
        <v>585</v>
      </c>
      <c r="E24" s="24" t="s">
        <v>586</v>
      </c>
      <c r="F24" s="4"/>
      <c r="G24" s="3"/>
      <c r="H24" s="59"/>
      <c r="I24" s="4"/>
      <c r="J24" s="3"/>
      <c r="K24" s="4"/>
    </row>
    <row r="25" spans="1:11">
      <c r="A25" s="4"/>
      <c r="B25" s="4"/>
      <c r="C25" s="4"/>
      <c r="D25" s="4"/>
      <c r="E25" s="4"/>
      <c r="F25" s="4"/>
      <c r="G25" s="3"/>
      <c r="H25" s="59"/>
      <c r="I25" s="4"/>
      <c r="J25" s="3"/>
      <c r="K25" s="4"/>
    </row>
    <row r="26" spans="1:11" ht="14.25">
      <c r="A26" s="21"/>
      <c r="B26" s="22" t="s">
        <v>69</v>
      </c>
      <c r="C26" s="4"/>
      <c r="D26" s="4"/>
      <c r="E26" s="4"/>
      <c r="F26" s="4"/>
      <c r="G26" s="3"/>
      <c r="H26" s="59"/>
      <c r="I26" s="4"/>
      <c r="J26" s="3"/>
      <c r="K26" s="4"/>
    </row>
    <row r="27" spans="1:11" ht="15">
      <c r="A27" s="23" t="s">
        <v>58</v>
      </c>
      <c r="B27" s="23" t="s">
        <v>59</v>
      </c>
      <c r="C27" s="23" t="s">
        <v>60</v>
      </c>
      <c r="D27" s="23" t="s">
        <v>61</v>
      </c>
      <c r="E27" s="23" t="s">
        <v>583</v>
      </c>
      <c r="F27" s="4"/>
      <c r="G27" s="3"/>
      <c r="H27" s="59"/>
      <c r="I27" s="4"/>
      <c r="J27" s="3"/>
      <c r="K27" s="4"/>
    </row>
    <row r="28" spans="1:11">
      <c r="A28" s="20" t="s">
        <v>360</v>
      </c>
      <c r="B28" s="4" t="s">
        <v>69</v>
      </c>
      <c r="C28" s="4" t="s">
        <v>584</v>
      </c>
      <c r="D28" s="4" t="s">
        <v>587</v>
      </c>
      <c r="E28" s="24" t="s">
        <v>588</v>
      </c>
      <c r="F28" s="4"/>
      <c r="G28" s="3"/>
      <c r="H28" s="59"/>
      <c r="I28" s="4"/>
      <c r="J28" s="3"/>
      <c r="K28" s="4"/>
    </row>
    <row r="29" spans="1:11">
      <c r="A29" s="20" t="s">
        <v>589</v>
      </c>
      <c r="B29" s="4" t="s">
        <v>69</v>
      </c>
      <c r="C29" s="4" t="s">
        <v>584</v>
      </c>
      <c r="D29" s="4" t="s">
        <v>590</v>
      </c>
      <c r="E29" s="24" t="s">
        <v>591</v>
      </c>
      <c r="F29" s="4"/>
      <c r="G29" s="3"/>
      <c r="H29" s="59"/>
      <c r="I29" s="4"/>
      <c r="J29" s="3"/>
      <c r="K29" s="4"/>
    </row>
    <row r="30" spans="1:11">
      <c r="A30" s="4"/>
      <c r="B30" s="4"/>
      <c r="C30" s="4"/>
      <c r="D30" s="4"/>
      <c r="E30" s="4"/>
      <c r="F30" s="4"/>
      <c r="G30" s="3"/>
      <c r="H30" s="59"/>
      <c r="I30" s="4"/>
      <c r="J30" s="3"/>
      <c r="K30" s="4"/>
    </row>
    <row r="31" spans="1:11" ht="14.25">
      <c r="A31" s="21"/>
      <c r="B31" s="22" t="s">
        <v>73</v>
      </c>
      <c r="C31" s="4"/>
      <c r="D31" s="4"/>
      <c r="E31" s="4"/>
      <c r="F31" s="4"/>
      <c r="G31" s="3"/>
      <c r="H31" s="59"/>
      <c r="I31" s="4"/>
      <c r="J31" s="3"/>
      <c r="K31" s="4"/>
    </row>
    <row r="32" spans="1:11" ht="15">
      <c r="A32" s="23" t="s">
        <v>58</v>
      </c>
      <c r="B32" s="23" t="s">
        <v>59</v>
      </c>
      <c r="C32" s="23" t="s">
        <v>60</v>
      </c>
      <c r="D32" s="23" t="s">
        <v>61</v>
      </c>
      <c r="E32" s="23" t="s">
        <v>583</v>
      </c>
      <c r="F32" s="4"/>
      <c r="G32" s="3"/>
      <c r="H32" s="59"/>
      <c r="I32" s="4"/>
      <c r="J32" s="3"/>
      <c r="K32" s="4"/>
    </row>
    <row r="33" spans="1:11">
      <c r="A33" s="20" t="s">
        <v>592</v>
      </c>
      <c r="B33" s="4" t="s">
        <v>245</v>
      </c>
      <c r="C33" s="4" t="s">
        <v>584</v>
      </c>
      <c r="D33" s="4" t="s">
        <v>593</v>
      </c>
      <c r="E33" s="24" t="s">
        <v>594</v>
      </c>
      <c r="F33" s="4"/>
      <c r="G33" s="3"/>
      <c r="H33" s="59"/>
      <c r="I33" s="4"/>
      <c r="J33" s="3"/>
      <c r="K33" s="4"/>
    </row>
    <row r="34" spans="1:11">
      <c r="A34" s="20" t="s">
        <v>481</v>
      </c>
      <c r="B34" s="4" t="s">
        <v>245</v>
      </c>
      <c r="C34" s="4" t="s">
        <v>584</v>
      </c>
      <c r="D34" s="4" t="s">
        <v>595</v>
      </c>
      <c r="E34" s="24" t="s">
        <v>596</v>
      </c>
      <c r="F34" s="4"/>
      <c r="G34" s="3"/>
      <c r="H34" s="59"/>
      <c r="I34" s="4"/>
      <c r="J34" s="3"/>
      <c r="K34" s="4"/>
    </row>
    <row r="35" spans="1:11">
      <c r="A35" s="4"/>
      <c r="B35" s="4"/>
      <c r="C35" s="4"/>
      <c r="D35" s="4"/>
      <c r="E35" s="4"/>
      <c r="F35" s="4"/>
      <c r="G35" s="3"/>
      <c r="H35" s="59"/>
      <c r="I35" s="4"/>
      <c r="J35" s="3"/>
      <c r="K35" s="4"/>
    </row>
    <row r="36" spans="1:11">
      <c r="A36" s="4"/>
      <c r="B36" s="4"/>
      <c r="C36" s="4"/>
      <c r="D36" s="4"/>
      <c r="E36" s="4"/>
      <c r="F36" s="4"/>
      <c r="G36" s="3"/>
      <c r="H36" s="59"/>
      <c r="I36" s="4"/>
      <c r="J36" s="3"/>
      <c r="K36" s="4"/>
    </row>
    <row r="37" spans="1:11">
      <c r="A37" s="4"/>
      <c r="B37" s="4"/>
      <c r="C37" s="4"/>
      <c r="D37" s="4"/>
      <c r="E37" s="4"/>
      <c r="F37" s="4"/>
      <c r="G37" s="3"/>
      <c r="H37" s="59"/>
      <c r="I37" s="4"/>
      <c r="J37" s="3"/>
      <c r="K37" s="4"/>
    </row>
    <row r="38" spans="1:11">
      <c r="A38" s="4"/>
      <c r="B38" s="4"/>
      <c r="C38" s="4"/>
      <c r="D38" s="4"/>
      <c r="E38" s="4"/>
      <c r="F38" s="4"/>
      <c r="G38" s="3"/>
      <c r="H38" s="59"/>
      <c r="I38" s="4"/>
      <c r="J38" s="3"/>
      <c r="K38" s="4"/>
    </row>
    <row r="39" spans="1:11" ht="18">
      <c r="A39" s="18" t="s">
        <v>76</v>
      </c>
      <c r="B39" s="18"/>
      <c r="C39" s="4"/>
      <c r="D39" s="4"/>
      <c r="E39" s="4"/>
      <c r="F39" s="4"/>
      <c r="G39" s="3"/>
      <c r="H39" s="59"/>
      <c r="I39" s="4"/>
      <c r="J39" s="3"/>
      <c r="K39" s="4"/>
    </row>
    <row r="40" spans="1:11" ht="15">
      <c r="A40" s="23" t="s">
        <v>77</v>
      </c>
      <c r="B40" s="23" t="s">
        <v>78</v>
      </c>
      <c r="C40" s="23" t="s">
        <v>79</v>
      </c>
      <c r="D40" s="4"/>
      <c r="E40" s="4"/>
      <c r="F40" s="4"/>
      <c r="G40" s="3"/>
      <c r="H40" s="59"/>
      <c r="I40" s="4"/>
      <c r="J40" s="3"/>
      <c r="K40" s="4"/>
    </row>
    <row r="41" spans="1:11">
      <c r="A41" s="4" t="s">
        <v>16</v>
      </c>
      <c r="B41" s="4" t="s">
        <v>597</v>
      </c>
      <c r="C41" s="4" t="s">
        <v>598</v>
      </c>
      <c r="D41" s="4"/>
      <c r="E41" s="4"/>
      <c r="F41" s="4"/>
      <c r="G41" s="3"/>
      <c r="H41" s="59"/>
      <c r="I41" s="4"/>
      <c r="J41" s="3"/>
      <c r="K41" s="4"/>
    </row>
    <row r="42" spans="1:11">
      <c r="A42" s="4" t="s">
        <v>34</v>
      </c>
      <c r="B42" s="4" t="s">
        <v>397</v>
      </c>
      <c r="C42" s="4" t="s">
        <v>599</v>
      </c>
      <c r="D42" s="4"/>
      <c r="E42" s="4"/>
      <c r="F42" s="4"/>
      <c r="G42" s="3"/>
      <c r="H42" s="59"/>
      <c r="I42" s="4"/>
      <c r="J42" s="3"/>
      <c r="K42" s="4"/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0"/>
  <sheetViews>
    <sheetView workbookViewId="0">
      <selection sqref="A1:Q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8.140625" style="4" bestFit="1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5" width="7.85546875" style="4" bestFit="1" customWidth="1"/>
    <col min="16" max="16" width="8.5703125" style="3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41" t="s">
        <v>497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s="2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10</v>
      </c>
      <c r="H3" s="51"/>
      <c r="I3" s="51"/>
      <c r="J3" s="51"/>
      <c r="K3" s="51" t="s">
        <v>314</v>
      </c>
      <c r="L3" s="51"/>
      <c r="M3" s="51"/>
      <c r="N3" s="51"/>
      <c r="O3" s="51" t="s">
        <v>1</v>
      </c>
      <c r="P3" s="51" t="s">
        <v>3</v>
      </c>
      <c r="Q3" s="39" t="s">
        <v>2</v>
      </c>
    </row>
    <row r="4" spans="1:17" s="1" customFormat="1" ht="21" customHeight="1" thickBot="1">
      <c r="A4" s="53"/>
      <c r="B4" s="54"/>
      <c r="C4" s="54"/>
      <c r="D4" s="54"/>
      <c r="E4" s="54"/>
      <c r="F4" s="54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54"/>
      <c r="P4" s="54"/>
      <c r="Q4" s="55"/>
    </row>
    <row r="5" spans="1:17" ht="15">
      <c r="A5" s="56" t="s">
        <v>96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7">
      <c r="A6" s="8" t="s">
        <v>98</v>
      </c>
      <c r="B6" s="8" t="s">
        <v>99</v>
      </c>
      <c r="C6" s="8" t="s">
        <v>100</v>
      </c>
      <c r="D6" s="8" t="str">
        <f>"0,9124"</f>
        <v>0,9124</v>
      </c>
      <c r="E6" s="8" t="s">
        <v>34</v>
      </c>
      <c r="F6" s="8" t="s">
        <v>101</v>
      </c>
      <c r="G6" s="10" t="s">
        <v>102</v>
      </c>
      <c r="H6" s="10" t="s">
        <v>415</v>
      </c>
      <c r="I6" s="9" t="s">
        <v>104</v>
      </c>
      <c r="J6" s="9"/>
      <c r="K6" s="10" t="s">
        <v>135</v>
      </c>
      <c r="L6" s="10" t="s">
        <v>27</v>
      </c>
      <c r="M6" s="10" t="s">
        <v>28</v>
      </c>
      <c r="N6" s="9"/>
      <c r="O6" s="8" t="str">
        <f>"180,0"</f>
        <v>180,0</v>
      </c>
      <c r="P6" s="10" t="str">
        <f>"297,2599"</f>
        <v>297,2599</v>
      </c>
      <c r="Q6" s="8" t="s">
        <v>21</v>
      </c>
    </row>
    <row r="8" spans="1:17" ht="15">
      <c r="A8" s="52" t="s">
        <v>136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7">
      <c r="A9" s="8" t="s">
        <v>147</v>
      </c>
      <c r="B9" s="8" t="s">
        <v>148</v>
      </c>
      <c r="C9" s="8" t="s">
        <v>149</v>
      </c>
      <c r="D9" s="8" t="str">
        <f>"0,6716"</f>
        <v>0,6716</v>
      </c>
      <c r="E9" s="8" t="s">
        <v>16</v>
      </c>
      <c r="F9" s="8" t="s">
        <v>17</v>
      </c>
      <c r="G9" s="10" t="s">
        <v>29</v>
      </c>
      <c r="H9" s="10" t="s">
        <v>43</v>
      </c>
      <c r="I9" s="10" t="s">
        <v>150</v>
      </c>
      <c r="J9" s="9"/>
      <c r="K9" s="10" t="s">
        <v>45</v>
      </c>
      <c r="L9" s="10" t="s">
        <v>183</v>
      </c>
      <c r="M9" s="10" t="s">
        <v>416</v>
      </c>
      <c r="N9" s="9"/>
      <c r="O9" s="8" t="str">
        <f>"297,5"</f>
        <v>297,5</v>
      </c>
      <c r="P9" s="10" t="str">
        <f>"203,7970"</f>
        <v>203,7970</v>
      </c>
      <c r="Q9" s="8" t="s">
        <v>21</v>
      </c>
    </row>
    <row r="11" spans="1:17" ht="15">
      <c r="A11" s="52" t="s">
        <v>417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7">
      <c r="A12" s="8" t="s">
        <v>418</v>
      </c>
      <c r="B12" s="8" t="s">
        <v>419</v>
      </c>
      <c r="C12" s="8" t="s">
        <v>420</v>
      </c>
      <c r="D12" s="8" t="str">
        <f>"0,5279"</f>
        <v>0,5279</v>
      </c>
      <c r="E12" s="8" t="s">
        <v>90</v>
      </c>
      <c r="F12" s="8" t="s">
        <v>35</v>
      </c>
      <c r="G12" s="9" t="s">
        <v>330</v>
      </c>
      <c r="H12" s="9" t="s">
        <v>330</v>
      </c>
      <c r="I12" s="9" t="s">
        <v>330</v>
      </c>
      <c r="J12" s="9"/>
      <c r="K12" s="9" t="s">
        <v>296</v>
      </c>
      <c r="L12" s="9"/>
      <c r="M12" s="9"/>
      <c r="N12" s="9"/>
      <c r="O12" s="8" t="str">
        <f>"0.00"</f>
        <v>0.00</v>
      </c>
      <c r="P12" s="10" t="str">
        <f>"0,0000"</f>
        <v>0,0000</v>
      </c>
      <c r="Q12" s="8" t="s">
        <v>21</v>
      </c>
    </row>
    <row r="14" spans="1:17" ht="15">
      <c r="E14" s="17" t="s">
        <v>50</v>
      </c>
      <c r="F14" s="28" t="s">
        <v>426</v>
      </c>
    </row>
    <row r="15" spans="1:17" ht="15">
      <c r="E15" s="17" t="s">
        <v>51</v>
      </c>
      <c r="F15" s="28" t="s">
        <v>429</v>
      </c>
    </row>
    <row r="16" spans="1:17" ht="15">
      <c r="E16" s="17" t="s">
        <v>52</v>
      </c>
      <c r="F16" s="28" t="s">
        <v>426</v>
      </c>
    </row>
    <row r="17" spans="1:6" ht="15">
      <c r="E17" s="17" t="s">
        <v>53</v>
      </c>
      <c r="F17" s="28" t="s">
        <v>427</v>
      </c>
    </row>
    <row r="18" spans="1:6" ht="15">
      <c r="E18" s="17" t="s">
        <v>53</v>
      </c>
      <c r="F18" s="28" t="s">
        <v>428</v>
      </c>
    </row>
    <row r="19" spans="1:6" ht="15">
      <c r="E19" s="17" t="s">
        <v>54</v>
      </c>
      <c r="F19" s="28" t="s">
        <v>429</v>
      </c>
    </row>
    <row r="20" spans="1:6" ht="15">
      <c r="E20" s="17"/>
    </row>
    <row r="22" spans="1:6" ht="18">
      <c r="A22" s="18" t="s">
        <v>55</v>
      </c>
      <c r="B22" s="18"/>
    </row>
    <row r="23" spans="1:6" ht="15">
      <c r="A23" s="19" t="s">
        <v>213</v>
      </c>
      <c r="B23" s="19"/>
    </row>
    <row r="24" spans="1:6" ht="14.25">
      <c r="A24" s="21"/>
      <c r="B24" s="22" t="s">
        <v>73</v>
      </c>
    </row>
    <row r="25" spans="1:6" ht="15">
      <c r="A25" s="23" t="s">
        <v>58</v>
      </c>
      <c r="B25" s="23" t="s">
        <v>59</v>
      </c>
      <c r="C25" s="23" t="s">
        <v>60</v>
      </c>
      <c r="D25" s="23" t="s">
        <v>61</v>
      </c>
      <c r="E25" s="23" t="s">
        <v>62</v>
      </c>
    </row>
    <row r="26" spans="1:6">
      <c r="A26" s="20" t="s">
        <v>97</v>
      </c>
      <c r="B26" s="4" t="s">
        <v>214</v>
      </c>
      <c r="C26" s="4" t="s">
        <v>215</v>
      </c>
      <c r="D26" s="4" t="s">
        <v>264</v>
      </c>
      <c r="E26" s="24" t="s">
        <v>421</v>
      </c>
    </row>
    <row r="29" spans="1:6" ht="15">
      <c r="A29" s="19" t="s">
        <v>56</v>
      </c>
      <c r="B29" s="19"/>
    </row>
    <row r="30" spans="1:6" ht="14.25">
      <c r="A30" s="21"/>
      <c r="B30" s="22" t="s">
        <v>232</v>
      </c>
    </row>
    <row r="31" spans="1:6" ht="15">
      <c r="A31" s="23" t="s">
        <v>58</v>
      </c>
      <c r="B31" s="23" t="s">
        <v>59</v>
      </c>
      <c r="C31" s="23" t="s">
        <v>60</v>
      </c>
      <c r="D31" s="23" t="s">
        <v>61</v>
      </c>
      <c r="E31" s="23" t="s">
        <v>62</v>
      </c>
    </row>
    <row r="32" spans="1:6">
      <c r="A32" s="20" t="s">
        <v>146</v>
      </c>
      <c r="B32" s="4" t="s">
        <v>233</v>
      </c>
      <c r="C32" s="4" t="s">
        <v>217</v>
      </c>
      <c r="D32" s="4" t="s">
        <v>422</v>
      </c>
      <c r="E32" s="24" t="s">
        <v>423</v>
      </c>
    </row>
    <row r="37" spans="1:3" ht="18">
      <c r="A37" s="18" t="s">
        <v>76</v>
      </c>
      <c r="B37" s="18"/>
    </row>
    <row r="38" spans="1:3" ht="15">
      <c r="A38" s="23" t="s">
        <v>77</v>
      </c>
      <c r="B38" s="23" t="s">
        <v>78</v>
      </c>
      <c r="C38" s="23" t="s">
        <v>79</v>
      </c>
    </row>
    <row r="39" spans="1:3">
      <c r="A39" s="4" t="s">
        <v>34</v>
      </c>
      <c r="B39" s="4" t="s">
        <v>82</v>
      </c>
      <c r="C39" s="4" t="s">
        <v>424</v>
      </c>
    </row>
    <row r="40" spans="1:3">
      <c r="A40" s="4" t="s">
        <v>16</v>
      </c>
      <c r="B40" s="4" t="s">
        <v>82</v>
      </c>
      <c r="C40" s="4" t="s">
        <v>425</v>
      </c>
    </row>
  </sheetData>
  <mergeCells count="15">
    <mergeCell ref="A11:P11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  <mergeCell ref="A5:P5"/>
    <mergeCell ref="A8:P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sqref="A1:M2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5.140625" style="4" bestFit="1" customWidth="1"/>
    <col min="4" max="4" width="9.28515625" style="4" bestFit="1" customWidth="1"/>
    <col min="5" max="5" width="22.7109375" style="4" bestFit="1" customWidth="1"/>
    <col min="6" max="6" width="30.8554687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1" t="s">
        <v>496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314</v>
      </c>
      <c r="H3" s="51"/>
      <c r="I3" s="51"/>
      <c r="J3" s="51"/>
      <c r="K3" s="51" t="s">
        <v>84</v>
      </c>
      <c r="L3" s="51" t="s">
        <v>3</v>
      </c>
      <c r="M3" s="39" t="s">
        <v>2</v>
      </c>
    </row>
    <row r="4" spans="1:13" s="1" customFormat="1" ht="21" customHeight="1" thickBot="1">
      <c r="A4" s="53"/>
      <c r="B4" s="54"/>
      <c r="C4" s="54"/>
      <c r="D4" s="54"/>
      <c r="E4" s="54"/>
      <c r="F4" s="54"/>
      <c r="G4" s="7">
        <v>1</v>
      </c>
      <c r="H4" s="7">
        <v>2</v>
      </c>
      <c r="I4" s="7">
        <v>3</v>
      </c>
      <c r="J4" s="7" t="s">
        <v>5</v>
      </c>
      <c r="K4" s="54"/>
      <c r="L4" s="54"/>
      <c r="M4" s="55"/>
    </row>
    <row r="5" spans="1:13" ht="15">
      <c r="A5" s="56" t="s">
        <v>22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>
      <c r="A6" s="8" t="s">
        <v>403</v>
      </c>
      <c r="B6" s="8" t="s">
        <v>404</v>
      </c>
      <c r="C6" s="8" t="s">
        <v>405</v>
      </c>
      <c r="D6" s="8" t="str">
        <f>"0,6009"</f>
        <v>0,6009</v>
      </c>
      <c r="E6" s="8" t="s">
        <v>274</v>
      </c>
      <c r="F6" s="8" t="s">
        <v>275</v>
      </c>
      <c r="G6" s="10" t="s">
        <v>342</v>
      </c>
      <c r="H6" s="10" t="s">
        <v>354</v>
      </c>
      <c r="I6" s="10" t="s">
        <v>289</v>
      </c>
      <c r="J6" s="9"/>
      <c r="K6" s="8" t="str">
        <f>"200,0"</f>
        <v>200,0</v>
      </c>
      <c r="L6" s="10" t="str">
        <f>"120,1800"</f>
        <v>120,1800</v>
      </c>
      <c r="M6" s="8" t="s">
        <v>21</v>
      </c>
    </row>
    <row r="8" spans="1:13" ht="15">
      <c r="A8" s="52" t="s">
        <v>85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407</v>
      </c>
      <c r="B9" s="8" t="s">
        <v>408</v>
      </c>
      <c r="C9" s="8" t="s">
        <v>210</v>
      </c>
      <c r="D9" s="8" t="str">
        <f>"0,5413"</f>
        <v>0,5413</v>
      </c>
      <c r="E9" s="8" t="s">
        <v>34</v>
      </c>
      <c r="F9" s="8" t="s">
        <v>335</v>
      </c>
      <c r="G9" s="10" t="s">
        <v>409</v>
      </c>
      <c r="H9" s="10" t="s">
        <v>410</v>
      </c>
      <c r="I9" s="10" t="s">
        <v>359</v>
      </c>
      <c r="J9" s="9"/>
      <c r="K9" s="8" t="str">
        <f>"280,0"</f>
        <v>280,0</v>
      </c>
      <c r="L9" s="10" t="str">
        <f>"151,5640"</f>
        <v>151,5640</v>
      </c>
      <c r="M9" s="8" t="s">
        <v>21</v>
      </c>
    </row>
    <row r="11" spans="1:13" ht="15">
      <c r="E11" s="17" t="s">
        <v>50</v>
      </c>
      <c r="F11" s="28" t="s">
        <v>426</v>
      </c>
    </row>
    <row r="12" spans="1:13" ht="15">
      <c r="E12" s="17" t="s">
        <v>51</v>
      </c>
      <c r="F12" s="28" t="s">
        <v>429</v>
      </c>
    </row>
    <row r="13" spans="1:13" ht="15">
      <c r="E13" s="17" t="s">
        <v>52</v>
      </c>
      <c r="F13" s="28" t="s">
        <v>426</v>
      </c>
    </row>
    <row r="14" spans="1:13" ht="15">
      <c r="E14" s="17" t="s">
        <v>53</v>
      </c>
      <c r="F14" s="28" t="s">
        <v>427</v>
      </c>
    </row>
    <row r="15" spans="1:13" ht="15">
      <c r="E15" s="17" t="s">
        <v>53</v>
      </c>
      <c r="F15" s="28" t="s">
        <v>428</v>
      </c>
    </row>
    <row r="16" spans="1:13" ht="15">
      <c r="E16" s="17" t="s">
        <v>54</v>
      </c>
      <c r="F16" s="28" t="s">
        <v>429</v>
      </c>
    </row>
    <row r="17" spans="1:5" ht="15">
      <c r="E17" s="17"/>
    </row>
    <row r="19" spans="1:5" ht="18">
      <c r="A19" s="18" t="s">
        <v>55</v>
      </c>
      <c r="B19" s="18"/>
    </row>
    <row r="20" spans="1:5" ht="15">
      <c r="A20" s="19" t="s">
        <v>56</v>
      </c>
      <c r="B20" s="19"/>
    </row>
    <row r="21" spans="1:5" ht="14.25">
      <c r="A21" s="21"/>
      <c r="B21" s="22" t="s">
        <v>69</v>
      </c>
    </row>
    <row r="22" spans="1:5" ht="15">
      <c r="A22" s="23" t="s">
        <v>58</v>
      </c>
      <c r="B22" s="23" t="s">
        <v>59</v>
      </c>
      <c r="C22" s="23" t="s">
        <v>60</v>
      </c>
      <c r="D22" s="23" t="s">
        <v>61</v>
      </c>
      <c r="E22" s="23" t="s">
        <v>62</v>
      </c>
    </row>
    <row r="23" spans="1:5">
      <c r="A23" s="20" t="s">
        <v>406</v>
      </c>
      <c r="B23" s="4" t="s">
        <v>69</v>
      </c>
      <c r="C23" s="4" t="s">
        <v>93</v>
      </c>
      <c r="D23" s="4" t="s">
        <v>386</v>
      </c>
      <c r="E23" s="24" t="s">
        <v>411</v>
      </c>
    </row>
    <row r="24" spans="1:5">
      <c r="A24" s="20" t="s">
        <v>402</v>
      </c>
      <c r="B24" s="4" t="s">
        <v>69</v>
      </c>
      <c r="C24" s="4" t="s">
        <v>64</v>
      </c>
      <c r="D24" s="4" t="s">
        <v>289</v>
      </c>
      <c r="E24" s="24" t="s">
        <v>412</v>
      </c>
    </row>
    <row r="29" spans="1:5" ht="18">
      <c r="A29" s="18" t="s">
        <v>76</v>
      </c>
      <c r="B29" s="18"/>
    </row>
    <row r="30" spans="1:5" ht="15">
      <c r="A30" s="23" t="s">
        <v>77</v>
      </c>
      <c r="B30" s="23" t="s">
        <v>78</v>
      </c>
      <c r="C30" s="23" t="s">
        <v>79</v>
      </c>
    </row>
    <row r="31" spans="1:5">
      <c r="A31" s="4" t="s">
        <v>274</v>
      </c>
      <c r="B31" s="4" t="s">
        <v>82</v>
      </c>
      <c r="C31" s="4" t="s">
        <v>413</v>
      </c>
    </row>
    <row r="32" spans="1:5">
      <c r="A32" s="4" t="s">
        <v>34</v>
      </c>
      <c r="B32" s="4" t="s">
        <v>82</v>
      </c>
      <c r="C32" s="4" t="s">
        <v>414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3"/>
  <sheetViews>
    <sheetView zoomScaleNormal="100" workbookViewId="0">
      <selection sqref="A1:M2"/>
    </sheetView>
  </sheetViews>
  <sheetFormatPr defaultRowHeight="12.75"/>
  <cols>
    <col min="1" max="1" width="31.85546875" style="4" bestFit="1" customWidth="1"/>
    <col min="2" max="2" width="35.85546875" style="4" bestFit="1" customWidth="1"/>
    <col min="3" max="3" width="37.5703125" style="4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1" t="s">
        <v>495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314</v>
      </c>
      <c r="H3" s="51"/>
      <c r="I3" s="51"/>
      <c r="J3" s="51"/>
      <c r="K3" s="51" t="s">
        <v>84</v>
      </c>
      <c r="L3" s="51" t="s">
        <v>3</v>
      </c>
      <c r="M3" s="39" t="s">
        <v>2</v>
      </c>
    </row>
    <row r="4" spans="1:13" s="1" customFormat="1" ht="21" customHeight="1" thickBot="1">
      <c r="A4" s="53"/>
      <c r="B4" s="54"/>
      <c r="C4" s="54"/>
      <c r="D4" s="54"/>
      <c r="E4" s="54"/>
      <c r="F4" s="54"/>
      <c r="G4" s="7">
        <v>1</v>
      </c>
      <c r="H4" s="7">
        <v>2</v>
      </c>
      <c r="I4" s="7">
        <v>3</v>
      </c>
      <c r="J4" s="7" t="s">
        <v>5</v>
      </c>
      <c r="K4" s="54"/>
      <c r="L4" s="54"/>
      <c r="M4" s="55"/>
    </row>
    <row r="5" spans="1:13" ht="15">
      <c r="A5" s="56" t="s">
        <v>96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>
      <c r="A6" s="8" t="s">
        <v>98</v>
      </c>
      <c r="B6" s="8" t="s">
        <v>99</v>
      </c>
      <c r="C6" s="8" t="s">
        <v>100</v>
      </c>
      <c r="D6" s="8" t="str">
        <f>"0,9124"</f>
        <v>0,9124</v>
      </c>
      <c r="E6" s="8" t="s">
        <v>34</v>
      </c>
      <c r="F6" s="8" t="s">
        <v>101</v>
      </c>
      <c r="G6" s="10" t="s">
        <v>135</v>
      </c>
      <c r="H6" s="10" t="s">
        <v>27</v>
      </c>
      <c r="I6" s="10" t="s">
        <v>128</v>
      </c>
      <c r="J6" s="9"/>
      <c r="K6" s="8" t="str">
        <f>"115,0"</f>
        <v>115,0</v>
      </c>
      <c r="L6" s="10" t="str">
        <f>"189,9161"</f>
        <v>189,9161</v>
      </c>
      <c r="M6" s="8" t="s">
        <v>21</v>
      </c>
    </row>
    <row r="8" spans="1:13" ht="15">
      <c r="A8" s="52" t="s">
        <v>136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316</v>
      </c>
      <c r="B9" s="8" t="s">
        <v>317</v>
      </c>
      <c r="C9" s="8" t="s">
        <v>318</v>
      </c>
      <c r="D9" s="8" t="str">
        <f>"0,7494"</f>
        <v>0,7494</v>
      </c>
      <c r="E9" s="8" t="s">
        <v>16</v>
      </c>
      <c r="F9" s="8" t="s">
        <v>17</v>
      </c>
      <c r="G9" s="10" t="s">
        <v>29</v>
      </c>
      <c r="H9" s="10" t="s">
        <v>319</v>
      </c>
      <c r="I9" s="10" t="s">
        <v>150</v>
      </c>
      <c r="J9" s="9"/>
      <c r="K9" s="8" t="str">
        <f>"132,5"</f>
        <v>132,5</v>
      </c>
      <c r="L9" s="10" t="str">
        <f>"105,2462"</f>
        <v>105,2462</v>
      </c>
      <c r="M9" s="8" t="s">
        <v>21</v>
      </c>
    </row>
    <row r="11" spans="1:13" ht="15">
      <c r="A11" s="52" t="s">
        <v>136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3">
      <c r="A12" s="11" t="s">
        <v>321</v>
      </c>
      <c r="B12" s="11" t="s">
        <v>322</v>
      </c>
      <c r="C12" s="11" t="s">
        <v>323</v>
      </c>
      <c r="D12" s="11" t="str">
        <f>"0,7074"</f>
        <v>0,7074</v>
      </c>
      <c r="E12" s="11" t="s">
        <v>34</v>
      </c>
      <c r="F12" s="11" t="s">
        <v>324</v>
      </c>
      <c r="G12" s="12" t="s">
        <v>37</v>
      </c>
      <c r="H12" s="13" t="s">
        <v>175</v>
      </c>
      <c r="I12" s="12" t="s">
        <v>183</v>
      </c>
      <c r="J12" s="12"/>
      <c r="K12" s="11" t="str">
        <f>"145,0"</f>
        <v>145,0</v>
      </c>
      <c r="L12" s="13" t="str">
        <f>"110,7788"</f>
        <v>110,7788</v>
      </c>
      <c r="M12" s="11" t="s">
        <v>21</v>
      </c>
    </row>
    <row r="13" spans="1:13">
      <c r="A13" s="14" t="s">
        <v>326</v>
      </c>
      <c r="B13" s="14" t="s">
        <v>327</v>
      </c>
      <c r="C13" s="14" t="s">
        <v>328</v>
      </c>
      <c r="D13" s="14" t="str">
        <f>"0,6797"</f>
        <v>0,6797</v>
      </c>
      <c r="E13" s="14" t="s">
        <v>34</v>
      </c>
      <c r="F13" s="14" t="s">
        <v>329</v>
      </c>
      <c r="G13" s="16" t="s">
        <v>330</v>
      </c>
      <c r="H13" s="16" t="s">
        <v>264</v>
      </c>
      <c r="I13" s="16" t="s">
        <v>265</v>
      </c>
      <c r="J13" s="15"/>
      <c r="K13" s="14" t="str">
        <f>"190,0"</f>
        <v>190,0</v>
      </c>
      <c r="L13" s="16" t="str">
        <f>"129,1430"</f>
        <v>129,1430</v>
      </c>
      <c r="M13" s="14" t="s">
        <v>21</v>
      </c>
    </row>
    <row r="15" spans="1:13" ht="15">
      <c r="A15" s="52" t="s">
        <v>156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3">
      <c r="A16" s="11" t="s">
        <v>332</v>
      </c>
      <c r="B16" s="11" t="s">
        <v>333</v>
      </c>
      <c r="C16" s="11" t="s">
        <v>334</v>
      </c>
      <c r="D16" s="11" t="str">
        <f>"0,6219"</f>
        <v>0,6219</v>
      </c>
      <c r="E16" s="11" t="s">
        <v>34</v>
      </c>
      <c r="F16" s="11" t="s">
        <v>335</v>
      </c>
      <c r="G16" s="13" t="s">
        <v>264</v>
      </c>
      <c r="H16" s="13" t="s">
        <v>289</v>
      </c>
      <c r="I16" s="12" t="s">
        <v>336</v>
      </c>
      <c r="J16" s="12"/>
      <c r="K16" s="11" t="str">
        <f>"200,0"</f>
        <v>200,0</v>
      </c>
      <c r="L16" s="13" t="str">
        <f>"129,3552"</f>
        <v>129,3552</v>
      </c>
      <c r="M16" s="11" t="s">
        <v>21</v>
      </c>
    </row>
    <row r="17" spans="1:13">
      <c r="A17" s="14" t="s">
        <v>338</v>
      </c>
      <c r="B17" s="14" t="s">
        <v>339</v>
      </c>
      <c r="C17" s="14" t="s">
        <v>340</v>
      </c>
      <c r="D17" s="14" t="str">
        <f>"0,6329"</f>
        <v>0,6329</v>
      </c>
      <c r="E17" s="14" t="s">
        <v>34</v>
      </c>
      <c r="F17" s="14" t="s">
        <v>341</v>
      </c>
      <c r="G17" s="16" t="s">
        <v>342</v>
      </c>
      <c r="H17" s="15" t="s">
        <v>343</v>
      </c>
      <c r="I17" s="15" t="s">
        <v>343</v>
      </c>
      <c r="J17" s="15"/>
      <c r="K17" s="14" t="str">
        <f>"175,0"</f>
        <v>175,0</v>
      </c>
      <c r="L17" s="16" t="str">
        <f>"110,7575"</f>
        <v>110,7575</v>
      </c>
      <c r="M17" s="14" t="s">
        <v>21</v>
      </c>
    </row>
    <row r="19" spans="1:13" ht="15">
      <c r="A19" s="52" t="s">
        <v>22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3">
      <c r="A20" s="11" t="s">
        <v>185</v>
      </c>
      <c r="B20" s="11" t="s">
        <v>186</v>
      </c>
      <c r="C20" s="11" t="s">
        <v>26</v>
      </c>
      <c r="D20" s="11" t="str">
        <f>"0,5857"</f>
        <v>0,5857</v>
      </c>
      <c r="E20" s="11" t="s">
        <v>34</v>
      </c>
      <c r="F20" s="11" t="s">
        <v>35</v>
      </c>
      <c r="G20" s="13" t="s">
        <v>344</v>
      </c>
      <c r="H20" s="13" t="s">
        <v>345</v>
      </c>
      <c r="I20" s="12" t="s">
        <v>346</v>
      </c>
      <c r="J20" s="12"/>
      <c r="K20" s="11" t="str">
        <f>"172,5"</f>
        <v>172,5</v>
      </c>
      <c r="L20" s="13" t="str">
        <f>"109,1159"</f>
        <v>109,1159</v>
      </c>
      <c r="M20" s="11" t="s">
        <v>21</v>
      </c>
    </row>
    <row r="21" spans="1:13">
      <c r="A21" s="25" t="s">
        <v>347</v>
      </c>
      <c r="B21" s="25" t="s">
        <v>195</v>
      </c>
      <c r="C21" s="25" t="s">
        <v>196</v>
      </c>
      <c r="D21" s="25" t="str">
        <f>"0,5873"</f>
        <v>0,5873</v>
      </c>
      <c r="E21" s="25" t="s">
        <v>34</v>
      </c>
      <c r="F21" s="25" t="s">
        <v>35</v>
      </c>
      <c r="G21" s="27" t="s">
        <v>296</v>
      </c>
      <c r="H21" s="27" t="s">
        <v>348</v>
      </c>
      <c r="I21" s="27" t="s">
        <v>349</v>
      </c>
      <c r="J21" s="26"/>
      <c r="K21" s="25" t="str">
        <f>"270,0"</f>
        <v>270,0</v>
      </c>
      <c r="L21" s="27" t="str">
        <f>"158,5710"</f>
        <v>158,5710</v>
      </c>
      <c r="M21" s="25" t="s">
        <v>21</v>
      </c>
    </row>
    <row r="22" spans="1:13">
      <c r="A22" s="14" t="s">
        <v>351</v>
      </c>
      <c r="B22" s="14" t="s">
        <v>352</v>
      </c>
      <c r="C22" s="14" t="s">
        <v>353</v>
      </c>
      <c r="D22" s="14" t="str">
        <f>"0,5893"</f>
        <v>0,5893</v>
      </c>
      <c r="E22" s="14" t="s">
        <v>34</v>
      </c>
      <c r="F22" s="14" t="s">
        <v>35</v>
      </c>
      <c r="G22" s="16" t="s">
        <v>354</v>
      </c>
      <c r="H22" s="15" t="s">
        <v>346</v>
      </c>
      <c r="I22" s="15" t="s">
        <v>346</v>
      </c>
      <c r="J22" s="15"/>
      <c r="K22" s="14" t="str">
        <f>"185,0"</f>
        <v>185,0</v>
      </c>
      <c r="L22" s="16" t="str">
        <f>"109,0205"</f>
        <v>109,0205</v>
      </c>
      <c r="M22" s="14" t="s">
        <v>21</v>
      </c>
    </row>
    <row r="24" spans="1:13" ht="15">
      <c r="A24" s="52" t="s">
        <v>38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3">
      <c r="A25" s="11" t="s">
        <v>356</v>
      </c>
      <c r="B25" s="11" t="s">
        <v>357</v>
      </c>
      <c r="C25" s="11" t="s">
        <v>358</v>
      </c>
      <c r="D25" s="11" t="str">
        <f>"0,5565"</f>
        <v>0,5565</v>
      </c>
      <c r="E25" s="11" t="s">
        <v>34</v>
      </c>
      <c r="F25" s="11" t="s">
        <v>35</v>
      </c>
      <c r="G25" s="13" t="s">
        <v>296</v>
      </c>
      <c r="H25" s="13" t="s">
        <v>349</v>
      </c>
      <c r="I25" s="13" t="s">
        <v>359</v>
      </c>
      <c r="J25" s="12"/>
      <c r="K25" s="11" t="str">
        <f>"280,0"</f>
        <v>280,0</v>
      </c>
      <c r="L25" s="13" t="str">
        <f>"155,8200"</f>
        <v>155,8200</v>
      </c>
      <c r="M25" s="11" t="s">
        <v>21</v>
      </c>
    </row>
    <row r="26" spans="1:13">
      <c r="A26" s="25" t="s">
        <v>361</v>
      </c>
      <c r="B26" s="25" t="s">
        <v>362</v>
      </c>
      <c r="C26" s="25" t="s">
        <v>363</v>
      </c>
      <c r="D26" s="25" t="str">
        <f>"0,5573"</f>
        <v>0,5573</v>
      </c>
      <c r="E26" s="25" t="s">
        <v>16</v>
      </c>
      <c r="F26" s="25" t="s">
        <v>17</v>
      </c>
      <c r="G26" s="27" t="s">
        <v>364</v>
      </c>
      <c r="H26" s="27" t="s">
        <v>365</v>
      </c>
      <c r="I26" s="27" t="s">
        <v>366</v>
      </c>
      <c r="J26" s="26"/>
      <c r="K26" s="25" t="str">
        <f>"245,0"</f>
        <v>245,0</v>
      </c>
      <c r="L26" s="27" t="str">
        <f>"136,5385"</f>
        <v>136,5385</v>
      </c>
      <c r="M26" s="25" t="s">
        <v>21</v>
      </c>
    </row>
    <row r="27" spans="1:13">
      <c r="A27" s="25" t="s">
        <v>368</v>
      </c>
      <c r="B27" s="25" t="s">
        <v>369</v>
      </c>
      <c r="C27" s="25" t="s">
        <v>201</v>
      </c>
      <c r="D27" s="25" t="str">
        <f>"0,5619"</f>
        <v>0,5619</v>
      </c>
      <c r="E27" s="25" t="s">
        <v>306</v>
      </c>
      <c r="F27" s="25" t="s">
        <v>35</v>
      </c>
      <c r="G27" s="27" t="s">
        <v>370</v>
      </c>
      <c r="H27" s="27" t="s">
        <v>371</v>
      </c>
      <c r="I27" s="27" t="s">
        <v>336</v>
      </c>
      <c r="J27" s="26"/>
      <c r="K27" s="25" t="str">
        <f>"210,0"</f>
        <v>210,0</v>
      </c>
      <c r="L27" s="27" t="str">
        <f>"117,9990"</f>
        <v>117,9990</v>
      </c>
      <c r="M27" s="25" t="s">
        <v>21</v>
      </c>
    </row>
    <row r="28" spans="1:13">
      <c r="A28" s="25" t="s">
        <v>373</v>
      </c>
      <c r="B28" s="25" t="s">
        <v>374</v>
      </c>
      <c r="C28" s="25" t="s">
        <v>363</v>
      </c>
      <c r="D28" s="25" t="str">
        <f>"0,5573"</f>
        <v>0,5573</v>
      </c>
      <c r="E28" s="25" t="s">
        <v>274</v>
      </c>
      <c r="F28" s="25" t="s">
        <v>35</v>
      </c>
      <c r="G28" s="27" t="s">
        <v>290</v>
      </c>
      <c r="H28" s="27" t="s">
        <v>375</v>
      </c>
      <c r="I28" s="27" t="s">
        <v>291</v>
      </c>
      <c r="J28" s="26"/>
      <c r="K28" s="25" t="str">
        <f>"240,0"</f>
        <v>240,0</v>
      </c>
      <c r="L28" s="27" t="str">
        <f>"137,8983"</f>
        <v>137,8983</v>
      </c>
      <c r="M28" s="25" t="s">
        <v>21</v>
      </c>
    </row>
    <row r="29" spans="1:13">
      <c r="A29" s="14" t="s">
        <v>356</v>
      </c>
      <c r="B29" s="14" t="s">
        <v>376</v>
      </c>
      <c r="C29" s="14" t="s">
        <v>358</v>
      </c>
      <c r="D29" s="14" t="str">
        <f>"0,5565"</f>
        <v>0,5565</v>
      </c>
      <c r="E29" s="14" t="s">
        <v>34</v>
      </c>
      <c r="F29" s="14" t="s">
        <v>35</v>
      </c>
      <c r="G29" s="16" t="s">
        <v>296</v>
      </c>
      <c r="H29" s="16" t="s">
        <v>349</v>
      </c>
      <c r="I29" s="16" t="s">
        <v>359</v>
      </c>
      <c r="J29" s="15"/>
      <c r="K29" s="14" t="str">
        <f>"280,0"</f>
        <v>280,0</v>
      </c>
      <c r="L29" s="16" t="str">
        <f>"174,0509"</f>
        <v>174,0509</v>
      </c>
      <c r="M29" s="14" t="s">
        <v>21</v>
      </c>
    </row>
    <row r="31" spans="1:13" ht="15">
      <c r="E31" s="17" t="s">
        <v>50</v>
      </c>
      <c r="F31" s="28" t="s">
        <v>426</v>
      </c>
    </row>
    <row r="32" spans="1:13" ht="15">
      <c r="E32" s="17" t="s">
        <v>51</v>
      </c>
      <c r="F32" s="28" t="s">
        <v>429</v>
      </c>
    </row>
    <row r="33" spans="1:6" ht="15">
      <c r="E33" s="17" t="s">
        <v>52</v>
      </c>
      <c r="F33" s="28" t="s">
        <v>426</v>
      </c>
    </row>
    <row r="34" spans="1:6" ht="15">
      <c r="E34" s="17" t="s">
        <v>53</v>
      </c>
      <c r="F34" s="28" t="s">
        <v>427</v>
      </c>
    </row>
    <row r="35" spans="1:6" ht="15">
      <c r="E35" s="17" t="s">
        <v>53</v>
      </c>
      <c r="F35" s="28" t="s">
        <v>428</v>
      </c>
    </row>
    <row r="36" spans="1:6" ht="15">
      <c r="E36" s="17" t="s">
        <v>54</v>
      </c>
      <c r="F36" s="28" t="s">
        <v>429</v>
      </c>
    </row>
    <row r="37" spans="1:6" ht="15">
      <c r="E37" s="17"/>
    </row>
    <row r="39" spans="1:6" ht="18">
      <c r="A39" s="18" t="s">
        <v>55</v>
      </c>
      <c r="B39" s="18"/>
    </row>
    <row r="40" spans="1:6" ht="15">
      <c r="A40" s="19" t="s">
        <v>213</v>
      </c>
      <c r="B40" s="19"/>
    </row>
    <row r="41" spans="1:6" ht="14.25">
      <c r="A41" s="21"/>
      <c r="B41" s="22" t="s">
        <v>377</v>
      </c>
    </row>
    <row r="42" spans="1:6" ht="15">
      <c r="A42" s="23" t="s">
        <v>58</v>
      </c>
      <c r="B42" s="23" t="s">
        <v>59</v>
      </c>
      <c r="C42" s="23" t="s">
        <v>60</v>
      </c>
      <c r="D42" s="23" t="s">
        <v>61</v>
      </c>
      <c r="E42" s="23" t="s">
        <v>62</v>
      </c>
    </row>
    <row r="43" spans="1:6">
      <c r="A43" s="20" t="s">
        <v>315</v>
      </c>
      <c r="B43" s="4" t="s">
        <v>63</v>
      </c>
      <c r="C43" s="4" t="s">
        <v>217</v>
      </c>
      <c r="D43" s="4" t="s">
        <v>150</v>
      </c>
      <c r="E43" s="24" t="s">
        <v>378</v>
      </c>
    </row>
    <row r="45" spans="1:6" ht="14.25">
      <c r="A45" s="21"/>
      <c r="B45" s="22" t="s">
        <v>73</v>
      </c>
    </row>
    <row r="46" spans="1:6" ht="15">
      <c r="A46" s="23" t="s">
        <v>58</v>
      </c>
      <c r="B46" s="23" t="s">
        <v>59</v>
      </c>
      <c r="C46" s="23" t="s">
        <v>60</v>
      </c>
      <c r="D46" s="23" t="s">
        <v>61</v>
      </c>
      <c r="E46" s="23" t="s">
        <v>62</v>
      </c>
    </row>
    <row r="47" spans="1:6">
      <c r="A47" s="20" t="s">
        <v>97</v>
      </c>
      <c r="B47" s="4" t="s">
        <v>214</v>
      </c>
      <c r="C47" s="4" t="s">
        <v>215</v>
      </c>
      <c r="D47" s="4" t="s">
        <v>28</v>
      </c>
      <c r="E47" s="24" t="s">
        <v>379</v>
      </c>
    </row>
    <row r="50" spans="1:5" ht="15">
      <c r="A50" s="19" t="s">
        <v>56</v>
      </c>
      <c r="B50" s="19"/>
    </row>
    <row r="51" spans="1:5" ht="14.25">
      <c r="A51" s="21"/>
      <c r="B51" s="22" t="s">
        <v>57</v>
      </c>
    </row>
    <row r="52" spans="1:5" ht="15">
      <c r="A52" s="23" t="s">
        <v>58</v>
      </c>
      <c r="B52" s="23" t="s">
        <v>59</v>
      </c>
      <c r="C52" s="23" t="s">
        <v>60</v>
      </c>
      <c r="D52" s="23" t="s">
        <v>61</v>
      </c>
      <c r="E52" s="23" t="s">
        <v>62</v>
      </c>
    </row>
    <row r="53" spans="1:5">
      <c r="A53" s="20" t="s">
        <v>331</v>
      </c>
      <c r="B53" s="4" t="s">
        <v>63</v>
      </c>
      <c r="C53" s="4" t="s">
        <v>221</v>
      </c>
      <c r="D53" s="4" t="s">
        <v>289</v>
      </c>
      <c r="E53" s="24" t="s">
        <v>380</v>
      </c>
    </row>
    <row r="54" spans="1:5">
      <c r="A54" s="20" t="s">
        <v>320</v>
      </c>
      <c r="B54" s="4" t="s">
        <v>66</v>
      </c>
      <c r="C54" s="4" t="s">
        <v>217</v>
      </c>
      <c r="D54" s="4" t="s">
        <v>175</v>
      </c>
      <c r="E54" s="24" t="s">
        <v>381</v>
      </c>
    </row>
    <row r="55" spans="1:5">
      <c r="A55" s="20" t="s">
        <v>184</v>
      </c>
      <c r="B55" s="4" t="s">
        <v>66</v>
      </c>
      <c r="C55" s="4" t="s">
        <v>64</v>
      </c>
      <c r="D55" s="4" t="s">
        <v>382</v>
      </c>
      <c r="E55" s="24" t="s">
        <v>383</v>
      </c>
    </row>
    <row r="57" spans="1:5" ht="14.25">
      <c r="A57" s="21"/>
      <c r="B57" s="22" t="s">
        <v>232</v>
      </c>
    </row>
    <row r="58" spans="1:5" ht="15">
      <c r="A58" s="23" t="s">
        <v>58</v>
      </c>
      <c r="B58" s="23" t="s">
        <v>59</v>
      </c>
      <c r="C58" s="23" t="s">
        <v>60</v>
      </c>
      <c r="D58" s="23" t="s">
        <v>61</v>
      </c>
      <c r="E58" s="23" t="s">
        <v>62</v>
      </c>
    </row>
    <row r="59" spans="1:5">
      <c r="A59" s="20" t="s">
        <v>325</v>
      </c>
      <c r="B59" s="4" t="s">
        <v>233</v>
      </c>
      <c r="C59" s="4" t="s">
        <v>217</v>
      </c>
      <c r="D59" s="4" t="s">
        <v>265</v>
      </c>
      <c r="E59" s="24" t="s">
        <v>384</v>
      </c>
    </row>
    <row r="61" spans="1:5" ht="14.25">
      <c r="A61" s="21"/>
      <c r="B61" s="22" t="s">
        <v>69</v>
      </c>
    </row>
    <row r="62" spans="1:5" ht="15">
      <c r="A62" s="23" t="s">
        <v>58</v>
      </c>
      <c r="B62" s="23" t="s">
        <v>59</v>
      </c>
      <c r="C62" s="23" t="s">
        <v>60</v>
      </c>
      <c r="D62" s="23" t="s">
        <v>61</v>
      </c>
      <c r="E62" s="23" t="s">
        <v>62</v>
      </c>
    </row>
    <row r="63" spans="1:5">
      <c r="A63" s="20" t="s">
        <v>193</v>
      </c>
      <c r="B63" s="4" t="s">
        <v>69</v>
      </c>
      <c r="C63" s="4" t="s">
        <v>64</v>
      </c>
      <c r="D63" s="4" t="s">
        <v>307</v>
      </c>
      <c r="E63" s="24" t="s">
        <v>385</v>
      </c>
    </row>
    <row r="64" spans="1:5">
      <c r="A64" s="20" t="s">
        <v>355</v>
      </c>
      <c r="B64" s="4" t="s">
        <v>69</v>
      </c>
      <c r="C64" s="4" t="s">
        <v>70</v>
      </c>
      <c r="D64" s="4" t="s">
        <v>386</v>
      </c>
      <c r="E64" s="24" t="s">
        <v>387</v>
      </c>
    </row>
    <row r="65" spans="1:5">
      <c r="A65" s="20" t="s">
        <v>360</v>
      </c>
      <c r="B65" s="4" t="s">
        <v>69</v>
      </c>
      <c r="C65" s="4" t="s">
        <v>70</v>
      </c>
      <c r="D65" s="4" t="s">
        <v>366</v>
      </c>
      <c r="E65" s="24" t="s">
        <v>388</v>
      </c>
    </row>
    <row r="66" spans="1:5">
      <c r="A66" s="20" t="s">
        <v>367</v>
      </c>
      <c r="B66" s="4" t="s">
        <v>69</v>
      </c>
      <c r="C66" s="4" t="s">
        <v>70</v>
      </c>
      <c r="D66" s="4" t="s">
        <v>336</v>
      </c>
      <c r="E66" s="24" t="s">
        <v>389</v>
      </c>
    </row>
    <row r="67" spans="1:5">
      <c r="A67" s="20" t="s">
        <v>337</v>
      </c>
      <c r="B67" s="4" t="s">
        <v>69</v>
      </c>
      <c r="C67" s="4" t="s">
        <v>221</v>
      </c>
      <c r="D67" s="4" t="s">
        <v>342</v>
      </c>
      <c r="E67" s="24" t="s">
        <v>390</v>
      </c>
    </row>
    <row r="68" spans="1:5">
      <c r="A68" s="20" t="s">
        <v>350</v>
      </c>
      <c r="B68" s="4" t="s">
        <v>69</v>
      </c>
      <c r="C68" s="4" t="s">
        <v>64</v>
      </c>
      <c r="D68" s="4" t="s">
        <v>354</v>
      </c>
      <c r="E68" s="24" t="s">
        <v>391</v>
      </c>
    </row>
    <row r="70" spans="1:5" ht="14.25">
      <c r="A70" s="21"/>
      <c r="B70" s="22" t="s">
        <v>73</v>
      </c>
    </row>
    <row r="71" spans="1:5" ht="15">
      <c r="A71" s="23" t="s">
        <v>58</v>
      </c>
      <c r="B71" s="23" t="s">
        <v>59</v>
      </c>
      <c r="C71" s="23" t="s">
        <v>60</v>
      </c>
      <c r="D71" s="23" t="s">
        <v>61</v>
      </c>
      <c r="E71" s="23" t="s">
        <v>62</v>
      </c>
    </row>
    <row r="72" spans="1:5">
      <c r="A72" s="20" t="s">
        <v>355</v>
      </c>
      <c r="B72" s="4" t="s">
        <v>392</v>
      </c>
      <c r="C72" s="4" t="s">
        <v>70</v>
      </c>
      <c r="D72" s="4" t="s">
        <v>386</v>
      </c>
      <c r="E72" s="24" t="s">
        <v>393</v>
      </c>
    </row>
    <row r="73" spans="1:5">
      <c r="A73" s="20" t="s">
        <v>372</v>
      </c>
      <c r="B73" s="4" t="s">
        <v>245</v>
      </c>
      <c r="C73" s="4" t="s">
        <v>70</v>
      </c>
      <c r="D73" s="4" t="s">
        <v>291</v>
      </c>
      <c r="E73" s="24" t="s">
        <v>394</v>
      </c>
    </row>
    <row r="78" spans="1:5" ht="18">
      <c r="A78" s="18" t="s">
        <v>76</v>
      </c>
      <c r="B78" s="18"/>
    </row>
    <row r="79" spans="1:5" ht="15">
      <c r="A79" s="23" t="s">
        <v>77</v>
      </c>
      <c r="B79" s="23" t="s">
        <v>78</v>
      </c>
      <c r="C79" s="23" t="s">
        <v>79</v>
      </c>
    </row>
    <row r="80" spans="1:5">
      <c r="A80" s="4" t="s">
        <v>34</v>
      </c>
      <c r="B80" s="4" t="s">
        <v>395</v>
      </c>
      <c r="C80" s="4" t="s">
        <v>396</v>
      </c>
    </row>
    <row r="81" spans="1:3">
      <c r="A81" s="4" t="s">
        <v>16</v>
      </c>
      <c r="B81" s="4" t="s">
        <v>397</v>
      </c>
      <c r="C81" s="4" t="s">
        <v>398</v>
      </c>
    </row>
    <row r="82" spans="1:3">
      <c r="A82" s="4" t="s">
        <v>274</v>
      </c>
      <c r="B82" s="4" t="s">
        <v>82</v>
      </c>
      <c r="C82" s="4" t="s">
        <v>399</v>
      </c>
    </row>
    <row r="83" spans="1:3">
      <c r="A83" s="4" t="s">
        <v>306</v>
      </c>
      <c r="B83" s="4" t="s">
        <v>400</v>
      </c>
      <c r="C83" s="4" t="s">
        <v>401</v>
      </c>
    </row>
  </sheetData>
  <mergeCells count="17">
    <mergeCell ref="A15:L15"/>
    <mergeCell ref="A19:L19"/>
    <mergeCell ref="A24:L24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sqref="A1:M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4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1" t="s">
        <v>494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10</v>
      </c>
      <c r="H3" s="51"/>
      <c r="I3" s="51"/>
      <c r="J3" s="51"/>
      <c r="K3" s="51" t="s">
        <v>84</v>
      </c>
      <c r="L3" s="51" t="s">
        <v>3</v>
      </c>
      <c r="M3" s="39" t="s">
        <v>2</v>
      </c>
    </row>
    <row r="4" spans="1:13" s="1" customFormat="1" ht="21" customHeight="1" thickBot="1">
      <c r="A4" s="53"/>
      <c r="B4" s="54"/>
      <c r="C4" s="54"/>
      <c r="D4" s="54"/>
      <c r="E4" s="54"/>
      <c r="F4" s="54"/>
      <c r="G4" s="7">
        <v>1</v>
      </c>
      <c r="H4" s="7">
        <v>2</v>
      </c>
      <c r="I4" s="7">
        <v>3</v>
      </c>
      <c r="J4" s="7" t="s">
        <v>5</v>
      </c>
      <c r="K4" s="54"/>
      <c r="L4" s="54"/>
      <c r="M4" s="55"/>
    </row>
    <row r="5" spans="1:13" ht="15">
      <c r="A5" s="56" t="s">
        <v>85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>
      <c r="A6" s="11" t="s">
        <v>303</v>
      </c>
      <c r="B6" s="11" t="s">
        <v>304</v>
      </c>
      <c r="C6" s="11" t="s">
        <v>305</v>
      </c>
      <c r="D6" s="11" t="str">
        <f>"0,5446"</f>
        <v>0,5446</v>
      </c>
      <c r="E6" s="11" t="s">
        <v>306</v>
      </c>
      <c r="F6" s="11" t="s">
        <v>35</v>
      </c>
      <c r="G6" s="13" t="s">
        <v>296</v>
      </c>
      <c r="H6" s="12" t="s">
        <v>307</v>
      </c>
      <c r="I6" s="12"/>
      <c r="J6" s="12"/>
      <c r="K6" s="11" t="str">
        <f>"250,0"</f>
        <v>250,0</v>
      </c>
      <c r="L6" s="13" t="str">
        <f>"164,6054"</f>
        <v>164,6054</v>
      </c>
      <c r="M6" s="11" t="s">
        <v>308</v>
      </c>
    </row>
    <row r="7" spans="1:13">
      <c r="A7" s="14" t="s">
        <v>309</v>
      </c>
      <c r="B7" s="14" t="s">
        <v>310</v>
      </c>
      <c r="C7" s="14" t="s">
        <v>311</v>
      </c>
      <c r="D7" s="14" t="str">
        <f>"0,5377"</f>
        <v>0,5377</v>
      </c>
      <c r="E7" s="14" t="s">
        <v>34</v>
      </c>
      <c r="F7" s="14" t="s">
        <v>35</v>
      </c>
      <c r="G7" s="15" t="s">
        <v>289</v>
      </c>
      <c r="H7" s="15" t="s">
        <v>290</v>
      </c>
      <c r="I7" s="15" t="s">
        <v>290</v>
      </c>
      <c r="J7" s="15"/>
      <c r="K7" s="14" t="str">
        <f>"0.00"</f>
        <v>0.00</v>
      </c>
      <c r="L7" s="16" t="str">
        <f>"0,0000"</f>
        <v>0,0000</v>
      </c>
      <c r="M7" s="14" t="s">
        <v>21</v>
      </c>
    </row>
    <row r="9" spans="1:13" ht="15">
      <c r="E9" s="17" t="s">
        <v>50</v>
      </c>
      <c r="F9" s="28" t="s">
        <v>426</v>
      </c>
    </row>
    <row r="10" spans="1:13" ht="15">
      <c r="E10" s="17" t="s">
        <v>51</v>
      </c>
      <c r="F10" s="28" t="s">
        <v>429</v>
      </c>
    </row>
    <row r="11" spans="1:13" ht="15">
      <c r="E11" s="17" t="s">
        <v>52</v>
      </c>
      <c r="F11" s="28" t="s">
        <v>426</v>
      </c>
    </row>
    <row r="12" spans="1:13" ht="15">
      <c r="E12" s="17" t="s">
        <v>53</v>
      </c>
      <c r="F12" s="28" t="s">
        <v>427</v>
      </c>
    </row>
    <row r="13" spans="1:13" ht="15">
      <c r="E13" s="17" t="s">
        <v>53</v>
      </c>
      <c r="F13" s="28" t="s">
        <v>428</v>
      </c>
    </row>
    <row r="14" spans="1:13" ht="15">
      <c r="E14" s="17" t="s">
        <v>54</v>
      </c>
      <c r="F14" s="28" t="s">
        <v>429</v>
      </c>
    </row>
    <row r="15" spans="1:13" ht="15">
      <c r="E15" s="17"/>
    </row>
    <row r="17" spans="1:5" ht="18">
      <c r="A17" s="18" t="s">
        <v>55</v>
      </c>
      <c r="B17" s="18"/>
    </row>
    <row r="18" spans="1:5" ht="15">
      <c r="A18" s="19" t="s">
        <v>56</v>
      </c>
      <c r="B18" s="19"/>
    </row>
    <row r="19" spans="1:5" ht="14.25">
      <c r="A19" s="21"/>
      <c r="B19" s="22" t="s">
        <v>73</v>
      </c>
    </row>
    <row r="20" spans="1:5" ht="15">
      <c r="A20" s="23" t="s">
        <v>58</v>
      </c>
      <c r="B20" s="23" t="s">
        <v>59</v>
      </c>
      <c r="C20" s="23" t="s">
        <v>60</v>
      </c>
      <c r="D20" s="23" t="s">
        <v>61</v>
      </c>
      <c r="E20" s="23" t="s">
        <v>62</v>
      </c>
    </row>
    <row r="21" spans="1:5">
      <c r="A21" s="20" t="s">
        <v>302</v>
      </c>
      <c r="B21" s="4" t="s">
        <v>74</v>
      </c>
      <c r="C21" s="4" t="s">
        <v>93</v>
      </c>
      <c r="D21" s="4" t="s">
        <v>296</v>
      </c>
      <c r="E21" s="24" t="s">
        <v>312</v>
      </c>
    </row>
    <row r="26" spans="1:5" ht="18">
      <c r="A26" s="18" t="s">
        <v>76</v>
      </c>
      <c r="B26" s="18"/>
    </row>
    <row r="27" spans="1:5" ht="15">
      <c r="A27" s="23" t="s">
        <v>77</v>
      </c>
      <c r="B27" s="23" t="s">
        <v>78</v>
      </c>
      <c r="C27" s="23" t="s">
        <v>79</v>
      </c>
    </row>
    <row r="28" spans="1:5">
      <c r="A28" s="4" t="s">
        <v>306</v>
      </c>
      <c r="B28" s="4" t="s">
        <v>82</v>
      </c>
      <c r="C28" s="4" t="s">
        <v>313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sqref="A1:M2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9.7109375" style="4" customWidth="1"/>
    <col min="4" max="4" width="9.28515625" style="4" bestFit="1" customWidth="1"/>
    <col min="5" max="5" width="22.7109375" style="4" bestFit="1" customWidth="1"/>
    <col min="6" max="6" width="30.8554687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1" t="s">
        <v>493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10</v>
      </c>
      <c r="H3" s="51"/>
      <c r="I3" s="51"/>
      <c r="J3" s="51"/>
      <c r="K3" s="51" t="s">
        <v>84</v>
      </c>
      <c r="L3" s="51" t="s">
        <v>3</v>
      </c>
      <c r="M3" s="39" t="s">
        <v>2</v>
      </c>
    </row>
    <row r="4" spans="1:13" s="1" customFormat="1" ht="21" customHeight="1" thickBot="1">
      <c r="A4" s="53"/>
      <c r="B4" s="54"/>
      <c r="C4" s="54"/>
      <c r="D4" s="54"/>
      <c r="E4" s="54"/>
      <c r="F4" s="54"/>
      <c r="G4" s="7">
        <v>1</v>
      </c>
      <c r="H4" s="7">
        <v>2</v>
      </c>
      <c r="I4" s="7">
        <v>3</v>
      </c>
      <c r="J4" s="7" t="s">
        <v>5</v>
      </c>
      <c r="K4" s="54"/>
      <c r="L4" s="54"/>
      <c r="M4" s="55"/>
    </row>
    <row r="5" spans="1:13" ht="15">
      <c r="A5" s="56" t="s">
        <v>121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>
      <c r="A6" s="8" t="s">
        <v>281</v>
      </c>
      <c r="B6" s="8" t="s">
        <v>282</v>
      </c>
      <c r="C6" s="8" t="s">
        <v>283</v>
      </c>
      <c r="D6" s="8" t="str">
        <f>"0,8153"</f>
        <v>0,8153</v>
      </c>
      <c r="E6" s="8" t="s">
        <v>274</v>
      </c>
      <c r="F6" s="8" t="s">
        <v>275</v>
      </c>
      <c r="G6" s="10" t="s">
        <v>170</v>
      </c>
      <c r="H6" s="10" t="s">
        <v>284</v>
      </c>
      <c r="I6" s="10" t="s">
        <v>133</v>
      </c>
      <c r="J6" s="9"/>
      <c r="K6" s="8" t="str">
        <f>"90,0"</f>
        <v>90,0</v>
      </c>
      <c r="L6" s="10" t="str">
        <f>"73,3815"</f>
        <v>73,3815</v>
      </c>
      <c r="M6" s="8" t="s">
        <v>21</v>
      </c>
    </row>
    <row r="8" spans="1:13" ht="15">
      <c r="A8" s="52" t="s">
        <v>156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286</v>
      </c>
      <c r="B9" s="8" t="s">
        <v>287</v>
      </c>
      <c r="C9" s="8" t="s">
        <v>288</v>
      </c>
      <c r="D9" s="8" t="str">
        <f>"0,6203"</f>
        <v>0,6203</v>
      </c>
      <c r="E9" s="8" t="s">
        <v>274</v>
      </c>
      <c r="F9" s="8" t="s">
        <v>275</v>
      </c>
      <c r="G9" s="10" t="s">
        <v>289</v>
      </c>
      <c r="H9" s="10" t="s">
        <v>290</v>
      </c>
      <c r="I9" s="10" t="s">
        <v>291</v>
      </c>
      <c r="J9" s="9"/>
      <c r="K9" s="8" t="str">
        <f>"240,0"</f>
        <v>240,0</v>
      </c>
      <c r="L9" s="10" t="str">
        <f>"148,8720"</f>
        <v>148,8720</v>
      </c>
      <c r="M9" s="8" t="s">
        <v>21</v>
      </c>
    </row>
    <row r="11" spans="1:13" ht="15">
      <c r="A11" s="52" t="s">
        <v>85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3">
      <c r="A12" s="8" t="s">
        <v>293</v>
      </c>
      <c r="B12" s="8" t="s">
        <v>294</v>
      </c>
      <c r="C12" s="8" t="s">
        <v>295</v>
      </c>
      <c r="D12" s="8" t="str">
        <f>"0,5439"</f>
        <v>0,5439</v>
      </c>
      <c r="E12" s="8" t="s">
        <v>16</v>
      </c>
      <c r="F12" s="8" t="s">
        <v>35</v>
      </c>
      <c r="G12" s="10" t="s">
        <v>290</v>
      </c>
      <c r="H12" s="10" t="s">
        <v>291</v>
      </c>
      <c r="I12" s="10" t="s">
        <v>296</v>
      </c>
      <c r="J12" s="9"/>
      <c r="K12" s="8" t="str">
        <f>"250,0"</f>
        <v>250,0</v>
      </c>
      <c r="L12" s="10" t="str">
        <f>"135,9750"</f>
        <v>135,9750</v>
      </c>
      <c r="M12" s="8" t="s">
        <v>21</v>
      </c>
    </row>
    <row r="14" spans="1:13" ht="15">
      <c r="E14" s="17" t="s">
        <v>50</v>
      </c>
      <c r="F14" s="28" t="s">
        <v>426</v>
      </c>
    </row>
    <row r="15" spans="1:13" ht="15">
      <c r="E15" s="17" t="s">
        <v>51</v>
      </c>
      <c r="F15" s="28" t="s">
        <v>429</v>
      </c>
    </row>
    <row r="16" spans="1:13" ht="15">
      <c r="E16" s="17" t="s">
        <v>52</v>
      </c>
      <c r="F16" s="28" t="s">
        <v>426</v>
      </c>
    </row>
    <row r="17" spans="1:6" ht="15">
      <c r="E17" s="17" t="s">
        <v>53</v>
      </c>
      <c r="F17" s="28" t="s">
        <v>427</v>
      </c>
    </row>
    <row r="18" spans="1:6" ht="15">
      <c r="E18" s="17" t="s">
        <v>53</v>
      </c>
      <c r="F18" s="28" t="s">
        <v>428</v>
      </c>
    </row>
    <row r="19" spans="1:6" ht="15">
      <c r="E19" s="17" t="s">
        <v>54</v>
      </c>
      <c r="F19" s="28" t="s">
        <v>429</v>
      </c>
    </row>
    <row r="20" spans="1:6" ht="15">
      <c r="E20" s="17"/>
    </row>
    <row r="22" spans="1:6" ht="18">
      <c r="A22" s="18" t="s">
        <v>55</v>
      </c>
      <c r="B22" s="18"/>
    </row>
    <row r="23" spans="1:6" ht="15">
      <c r="A23" s="19" t="s">
        <v>213</v>
      </c>
      <c r="B23" s="19"/>
    </row>
    <row r="24" spans="1:6" ht="14.25">
      <c r="A24" s="21"/>
      <c r="B24" s="22" t="s">
        <v>69</v>
      </c>
    </row>
    <row r="25" spans="1:6" ht="15">
      <c r="A25" s="23" t="s">
        <v>58</v>
      </c>
      <c r="B25" s="23" t="s">
        <v>59</v>
      </c>
      <c r="C25" s="23" t="s">
        <v>60</v>
      </c>
      <c r="D25" s="23" t="s">
        <v>61</v>
      </c>
      <c r="E25" s="23" t="s">
        <v>62</v>
      </c>
    </row>
    <row r="26" spans="1:6">
      <c r="A26" s="20" t="s">
        <v>280</v>
      </c>
      <c r="B26" s="4" t="s">
        <v>69</v>
      </c>
      <c r="C26" s="4" t="s">
        <v>219</v>
      </c>
      <c r="D26" s="4" t="s">
        <v>133</v>
      </c>
      <c r="E26" s="24" t="s">
        <v>297</v>
      </c>
    </row>
    <row r="29" spans="1:6" ht="15">
      <c r="A29" s="19" t="s">
        <v>56</v>
      </c>
      <c r="B29" s="19"/>
    </row>
    <row r="30" spans="1:6" ht="14.25">
      <c r="A30" s="21"/>
      <c r="B30" s="22" t="s">
        <v>69</v>
      </c>
    </row>
    <row r="31" spans="1:6" ht="15">
      <c r="A31" s="23" t="s">
        <v>58</v>
      </c>
      <c r="B31" s="23" t="s">
        <v>59</v>
      </c>
      <c r="C31" s="23" t="s">
        <v>60</v>
      </c>
      <c r="D31" s="23" t="s">
        <v>61</v>
      </c>
      <c r="E31" s="23" t="s">
        <v>62</v>
      </c>
    </row>
    <row r="32" spans="1:6">
      <c r="A32" s="20" t="s">
        <v>285</v>
      </c>
      <c r="B32" s="4" t="s">
        <v>69</v>
      </c>
      <c r="C32" s="4" t="s">
        <v>221</v>
      </c>
      <c r="D32" s="4" t="s">
        <v>291</v>
      </c>
      <c r="E32" s="24" t="s">
        <v>298</v>
      </c>
    </row>
    <row r="33" spans="1:5">
      <c r="A33" s="20" t="s">
        <v>292</v>
      </c>
      <c r="B33" s="4" t="s">
        <v>69</v>
      </c>
      <c r="C33" s="4" t="s">
        <v>93</v>
      </c>
      <c r="D33" s="4" t="s">
        <v>296</v>
      </c>
      <c r="E33" s="24" t="s">
        <v>299</v>
      </c>
    </row>
    <row r="38" spans="1:5" ht="18">
      <c r="A38" s="18" t="s">
        <v>76</v>
      </c>
      <c r="B38" s="18"/>
    </row>
    <row r="39" spans="1:5" ht="15">
      <c r="A39" s="23" t="s">
        <v>77</v>
      </c>
      <c r="B39" s="23" t="s">
        <v>78</v>
      </c>
      <c r="C39" s="23" t="s">
        <v>79</v>
      </c>
    </row>
    <row r="40" spans="1:5">
      <c r="A40" s="4" t="s">
        <v>274</v>
      </c>
      <c r="B40" s="4" t="s">
        <v>268</v>
      </c>
      <c r="C40" s="4" t="s">
        <v>300</v>
      </c>
    </row>
    <row r="41" spans="1:5">
      <c r="A41" s="4" t="s">
        <v>16</v>
      </c>
      <c r="B41" s="4" t="s">
        <v>82</v>
      </c>
      <c r="C41" s="4" t="s">
        <v>301</v>
      </c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sqref="A1:M2"/>
    </sheetView>
  </sheetViews>
  <sheetFormatPr defaultRowHeight="12.75"/>
  <cols>
    <col min="1" max="1" width="31.85546875" style="4" bestFit="1" customWidth="1"/>
    <col min="2" max="2" width="26.5703125" style="4" bestFit="1" customWidth="1"/>
    <col min="3" max="3" width="17" style="4" bestFit="1" customWidth="1"/>
    <col min="4" max="4" width="9.28515625" style="4" bestFit="1" customWidth="1"/>
    <col min="5" max="5" width="22.7109375" style="4" bestFit="1" customWidth="1"/>
    <col min="6" max="6" width="30.85546875" style="4" bestFit="1" customWidth="1"/>
    <col min="7" max="9" width="4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1" t="s">
        <v>492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10</v>
      </c>
      <c r="H3" s="51"/>
      <c r="I3" s="51"/>
      <c r="J3" s="51"/>
      <c r="K3" s="51" t="s">
        <v>84</v>
      </c>
      <c r="L3" s="51" t="s">
        <v>3</v>
      </c>
      <c r="M3" s="39" t="s">
        <v>2</v>
      </c>
    </row>
    <row r="4" spans="1:13" s="1" customFormat="1" ht="21" customHeight="1" thickBot="1">
      <c r="A4" s="53"/>
      <c r="B4" s="54"/>
      <c r="C4" s="54"/>
      <c r="D4" s="54"/>
      <c r="E4" s="54"/>
      <c r="F4" s="54"/>
      <c r="G4" s="7">
        <v>1</v>
      </c>
      <c r="H4" s="7">
        <v>2</v>
      </c>
      <c r="I4" s="7">
        <v>3</v>
      </c>
      <c r="J4" s="7" t="s">
        <v>5</v>
      </c>
      <c r="K4" s="54"/>
      <c r="L4" s="54"/>
      <c r="M4" s="55"/>
    </row>
    <row r="5" spans="1:13" ht="15">
      <c r="A5" s="56" t="s">
        <v>96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>
      <c r="A6" s="8" t="s">
        <v>271</v>
      </c>
      <c r="B6" s="8" t="s">
        <v>272</v>
      </c>
      <c r="C6" s="8" t="s">
        <v>273</v>
      </c>
      <c r="D6" s="8" t="str">
        <f>"0,9035"</f>
        <v>0,9035</v>
      </c>
      <c r="E6" s="8" t="s">
        <v>274</v>
      </c>
      <c r="F6" s="8" t="s">
        <v>275</v>
      </c>
      <c r="G6" s="10" t="s">
        <v>276</v>
      </c>
      <c r="H6" s="10" t="s">
        <v>103</v>
      </c>
      <c r="I6" s="9" t="s">
        <v>104</v>
      </c>
      <c r="J6" s="9"/>
      <c r="K6" s="8" t="str">
        <f>"65,0"</f>
        <v>65,0</v>
      </c>
      <c r="L6" s="10" t="str">
        <f>"72,2348"</f>
        <v>72,2348</v>
      </c>
      <c r="M6" s="8" t="s">
        <v>21</v>
      </c>
    </row>
    <row r="8" spans="1:13" ht="15">
      <c r="E8" s="17" t="s">
        <v>50</v>
      </c>
      <c r="F8" s="28" t="s">
        <v>426</v>
      </c>
    </row>
    <row r="9" spans="1:13" ht="15">
      <c r="E9" s="17" t="s">
        <v>51</v>
      </c>
      <c r="F9" s="28" t="s">
        <v>429</v>
      </c>
    </row>
    <row r="10" spans="1:13" ht="15">
      <c r="E10" s="17" t="s">
        <v>52</v>
      </c>
      <c r="F10" s="28" t="s">
        <v>426</v>
      </c>
    </row>
    <row r="11" spans="1:13" ht="15">
      <c r="E11" s="17" t="s">
        <v>53</v>
      </c>
      <c r="F11" s="28" t="s">
        <v>427</v>
      </c>
    </row>
    <row r="12" spans="1:13" ht="15">
      <c r="E12" s="17" t="s">
        <v>53</v>
      </c>
      <c r="F12" s="28" t="s">
        <v>428</v>
      </c>
    </row>
    <row r="13" spans="1:13" ht="15">
      <c r="E13" s="17" t="s">
        <v>54</v>
      </c>
      <c r="F13" s="28" t="s">
        <v>429</v>
      </c>
    </row>
    <row r="14" spans="1:13" ht="15">
      <c r="E14" s="17"/>
    </row>
    <row r="16" spans="1:13" ht="18">
      <c r="A16" s="18" t="s">
        <v>55</v>
      </c>
      <c r="B16" s="18"/>
    </row>
    <row r="17" spans="1:5" ht="15">
      <c r="A17" s="19" t="s">
        <v>56</v>
      </c>
      <c r="B17" s="19"/>
    </row>
    <row r="18" spans="1:5" ht="14.25">
      <c r="A18" s="21"/>
      <c r="B18" s="22" t="s">
        <v>57</v>
      </c>
    </row>
    <row r="19" spans="1:5" ht="15">
      <c r="A19" s="23" t="s">
        <v>58</v>
      </c>
      <c r="B19" s="23" t="s">
        <v>59</v>
      </c>
      <c r="C19" s="23" t="s">
        <v>60</v>
      </c>
      <c r="D19" s="23" t="s">
        <v>61</v>
      </c>
      <c r="E19" s="23" t="s">
        <v>62</v>
      </c>
    </row>
    <row r="20" spans="1:5">
      <c r="A20" s="20" t="s">
        <v>270</v>
      </c>
      <c r="B20" s="4" t="s">
        <v>277</v>
      </c>
      <c r="C20" s="4" t="s">
        <v>215</v>
      </c>
      <c r="D20" s="4" t="s">
        <v>103</v>
      </c>
      <c r="E20" s="24" t="s">
        <v>278</v>
      </c>
    </row>
    <row r="25" spans="1:5" ht="18">
      <c r="A25" s="18" t="s">
        <v>76</v>
      </c>
      <c r="B25" s="18"/>
    </row>
    <row r="26" spans="1:5" ht="15">
      <c r="A26" s="23" t="s">
        <v>77</v>
      </c>
      <c r="B26" s="23" t="s">
        <v>78</v>
      </c>
      <c r="C26" s="23" t="s">
        <v>79</v>
      </c>
    </row>
    <row r="27" spans="1:5">
      <c r="A27" s="4" t="s">
        <v>274</v>
      </c>
      <c r="B27" s="4" t="s">
        <v>82</v>
      </c>
      <c r="C27" s="4" t="s">
        <v>279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sqref="A1:M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27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1" t="s">
        <v>491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10</v>
      </c>
      <c r="H3" s="51"/>
      <c r="I3" s="51"/>
      <c r="J3" s="51"/>
      <c r="K3" s="51" t="s">
        <v>84</v>
      </c>
      <c r="L3" s="51" t="s">
        <v>3</v>
      </c>
      <c r="M3" s="39" t="s">
        <v>2</v>
      </c>
    </row>
    <row r="4" spans="1:13" s="1" customFormat="1" ht="21" customHeight="1" thickBot="1">
      <c r="A4" s="53"/>
      <c r="B4" s="54"/>
      <c r="C4" s="54"/>
      <c r="D4" s="54"/>
      <c r="E4" s="54"/>
      <c r="F4" s="54"/>
      <c r="G4" s="7">
        <v>1</v>
      </c>
      <c r="H4" s="7">
        <v>2</v>
      </c>
      <c r="I4" s="7">
        <v>3</v>
      </c>
      <c r="J4" s="7" t="s">
        <v>5</v>
      </c>
      <c r="K4" s="54"/>
      <c r="L4" s="54"/>
      <c r="M4" s="55"/>
    </row>
    <row r="5" spans="1:13" ht="15">
      <c r="A5" s="56" t="s">
        <v>38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>
      <c r="A6" s="8" t="s">
        <v>255</v>
      </c>
      <c r="B6" s="8" t="s">
        <v>256</v>
      </c>
      <c r="C6" s="8" t="s">
        <v>257</v>
      </c>
      <c r="D6" s="8" t="str">
        <f>"0,5605"</f>
        <v>0,5605</v>
      </c>
      <c r="E6" s="8" t="s">
        <v>34</v>
      </c>
      <c r="F6" s="8" t="s">
        <v>258</v>
      </c>
      <c r="G6" s="10" t="s">
        <v>259</v>
      </c>
      <c r="H6" s="10" t="s">
        <v>211</v>
      </c>
      <c r="I6" s="10" t="s">
        <v>212</v>
      </c>
      <c r="J6" s="9"/>
      <c r="K6" s="8" t="str">
        <f>"125,0"</f>
        <v>125,0</v>
      </c>
      <c r="L6" s="10" t="str">
        <f>"70,0625"</f>
        <v>70,0625</v>
      </c>
      <c r="M6" s="8" t="s">
        <v>21</v>
      </c>
    </row>
    <row r="8" spans="1:13" ht="15">
      <c r="A8" s="52" t="s">
        <v>85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8" t="s">
        <v>261</v>
      </c>
      <c r="B9" s="8" t="s">
        <v>262</v>
      </c>
      <c r="C9" s="8" t="s">
        <v>263</v>
      </c>
      <c r="D9" s="8" t="str">
        <f>"0,5372"</f>
        <v>0,5372</v>
      </c>
      <c r="E9" s="8" t="s">
        <v>34</v>
      </c>
      <c r="F9" s="8" t="s">
        <v>35</v>
      </c>
      <c r="G9" s="10" t="s">
        <v>264</v>
      </c>
      <c r="H9" s="9" t="s">
        <v>265</v>
      </c>
      <c r="I9" s="9" t="s">
        <v>265</v>
      </c>
      <c r="J9" s="9"/>
      <c r="K9" s="8" t="str">
        <f>"180,0"</f>
        <v>180,0</v>
      </c>
      <c r="L9" s="10" t="str">
        <f>"96,6960"</f>
        <v>96,6960</v>
      </c>
      <c r="M9" s="8" t="s">
        <v>21</v>
      </c>
    </row>
    <row r="11" spans="1:13" ht="15">
      <c r="E11" s="17" t="s">
        <v>50</v>
      </c>
      <c r="F11" s="28" t="s">
        <v>426</v>
      </c>
    </row>
    <row r="12" spans="1:13" ht="15">
      <c r="E12" s="17" t="s">
        <v>51</v>
      </c>
      <c r="F12" s="28" t="s">
        <v>429</v>
      </c>
    </row>
    <row r="13" spans="1:13" ht="15">
      <c r="E13" s="17" t="s">
        <v>52</v>
      </c>
      <c r="F13" s="28" t="s">
        <v>426</v>
      </c>
    </row>
    <row r="14" spans="1:13" ht="15">
      <c r="E14" s="17" t="s">
        <v>53</v>
      </c>
      <c r="F14" s="28" t="s">
        <v>427</v>
      </c>
    </row>
    <row r="15" spans="1:13" ht="15">
      <c r="E15" s="17" t="s">
        <v>53</v>
      </c>
      <c r="F15" s="28" t="s">
        <v>428</v>
      </c>
    </row>
    <row r="16" spans="1:13" ht="15">
      <c r="E16" s="17" t="s">
        <v>54</v>
      </c>
      <c r="F16" s="28" t="s">
        <v>429</v>
      </c>
    </row>
    <row r="17" spans="1:5" ht="15">
      <c r="E17" s="17"/>
    </row>
    <row r="19" spans="1:5" ht="18">
      <c r="A19" s="18" t="s">
        <v>55</v>
      </c>
      <c r="B19" s="18"/>
    </row>
    <row r="20" spans="1:5" ht="15">
      <c r="A20" s="19" t="s">
        <v>56</v>
      </c>
      <c r="B20" s="19"/>
    </row>
    <row r="21" spans="1:5" ht="14.25">
      <c r="A21" s="21"/>
      <c r="B21" s="22" t="s">
        <v>69</v>
      </c>
    </row>
    <row r="22" spans="1:5" ht="15">
      <c r="A22" s="23" t="s">
        <v>58</v>
      </c>
      <c r="B22" s="23" t="s">
        <v>59</v>
      </c>
      <c r="C22" s="23" t="s">
        <v>60</v>
      </c>
      <c r="D22" s="23" t="s">
        <v>61</v>
      </c>
      <c r="E22" s="23" t="s">
        <v>62</v>
      </c>
    </row>
    <row r="23" spans="1:5">
      <c r="A23" s="20" t="s">
        <v>260</v>
      </c>
      <c r="B23" s="4" t="s">
        <v>69</v>
      </c>
      <c r="C23" s="4" t="s">
        <v>93</v>
      </c>
      <c r="D23" s="4" t="s">
        <v>264</v>
      </c>
      <c r="E23" s="24" t="s">
        <v>266</v>
      </c>
    </row>
    <row r="25" spans="1:5" ht="14.25">
      <c r="A25" s="21"/>
      <c r="B25" s="22" t="s">
        <v>73</v>
      </c>
    </row>
    <row r="26" spans="1:5" ht="15">
      <c r="A26" s="23" t="s">
        <v>58</v>
      </c>
      <c r="B26" s="23" t="s">
        <v>59</v>
      </c>
      <c r="C26" s="23" t="s">
        <v>60</v>
      </c>
      <c r="D26" s="23" t="s">
        <v>61</v>
      </c>
      <c r="E26" s="23" t="s">
        <v>62</v>
      </c>
    </row>
    <row r="27" spans="1:5">
      <c r="A27" s="20" t="s">
        <v>254</v>
      </c>
      <c r="B27" s="4" t="s">
        <v>245</v>
      </c>
      <c r="C27" s="4" t="s">
        <v>70</v>
      </c>
      <c r="D27" s="4" t="s">
        <v>37</v>
      </c>
      <c r="E27" s="24" t="s">
        <v>267</v>
      </c>
    </row>
    <row r="32" spans="1:5" ht="18">
      <c r="A32" s="18" t="s">
        <v>76</v>
      </c>
      <c r="B32" s="18"/>
    </row>
    <row r="33" spans="1:3" ht="15">
      <c r="A33" s="23" t="s">
        <v>77</v>
      </c>
      <c r="B33" s="23" t="s">
        <v>78</v>
      </c>
      <c r="C33" s="23" t="s">
        <v>79</v>
      </c>
    </row>
    <row r="34" spans="1:3">
      <c r="A34" s="4" t="s">
        <v>34</v>
      </c>
      <c r="B34" s="4" t="s">
        <v>268</v>
      </c>
      <c r="C34" s="4" t="s">
        <v>269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05"/>
  <sheetViews>
    <sheetView tabSelected="1" zoomScaleNormal="100" workbookViewId="0">
      <selection sqref="A1:M2"/>
    </sheetView>
  </sheetViews>
  <sheetFormatPr defaultRowHeight="12.75"/>
  <cols>
    <col min="1" max="1" width="31.85546875" style="4" bestFit="1" customWidth="1"/>
    <col min="2" max="2" width="42.5703125" style="4" bestFit="1" customWidth="1"/>
    <col min="3" max="3" width="25.42578125" style="4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1" t="s">
        <v>490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0</v>
      </c>
      <c r="B3" s="49" t="s">
        <v>6</v>
      </c>
      <c r="C3" s="49" t="s">
        <v>7</v>
      </c>
      <c r="D3" s="51" t="s">
        <v>9</v>
      </c>
      <c r="E3" s="51" t="s">
        <v>4</v>
      </c>
      <c r="F3" s="51" t="s">
        <v>8</v>
      </c>
      <c r="G3" s="51" t="s">
        <v>10</v>
      </c>
      <c r="H3" s="51"/>
      <c r="I3" s="51"/>
      <c r="J3" s="51"/>
      <c r="K3" s="51" t="s">
        <v>84</v>
      </c>
      <c r="L3" s="51" t="s">
        <v>3</v>
      </c>
      <c r="M3" s="39" t="s">
        <v>2</v>
      </c>
    </row>
    <row r="4" spans="1:13" s="1" customFormat="1" ht="21" customHeight="1" thickBot="1">
      <c r="A4" s="53"/>
      <c r="B4" s="54"/>
      <c r="C4" s="54"/>
      <c r="D4" s="54"/>
      <c r="E4" s="54"/>
      <c r="F4" s="54"/>
      <c r="G4" s="7">
        <v>1</v>
      </c>
      <c r="H4" s="7">
        <v>2</v>
      </c>
      <c r="I4" s="7">
        <v>3</v>
      </c>
      <c r="J4" s="7" t="s">
        <v>5</v>
      </c>
      <c r="K4" s="54"/>
      <c r="L4" s="54"/>
      <c r="M4" s="55"/>
    </row>
    <row r="5" spans="1:13" ht="15">
      <c r="A5" s="56" t="s">
        <v>96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3">
      <c r="A6" s="8" t="s">
        <v>98</v>
      </c>
      <c r="B6" s="8" t="s">
        <v>99</v>
      </c>
      <c r="C6" s="8" t="s">
        <v>100</v>
      </c>
      <c r="D6" s="8" t="str">
        <f>"0,9124"</f>
        <v>0,9124</v>
      </c>
      <c r="E6" s="8" t="s">
        <v>34</v>
      </c>
      <c r="F6" s="8" t="s">
        <v>101</v>
      </c>
      <c r="G6" s="10" t="s">
        <v>102</v>
      </c>
      <c r="H6" s="10" t="s">
        <v>103</v>
      </c>
      <c r="I6" s="9" t="s">
        <v>104</v>
      </c>
      <c r="J6" s="9"/>
      <c r="K6" s="8" t="str">
        <f>"65,0"</f>
        <v>65,0</v>
      </c>
      <c r="L6" s="10" t="str">
        <f>"107,3439"</f>
        <v>107,3439</v>
      </c>
      <c r="M6" s="8" t="s">
        <v>21</v>
      </c>
    </row>
    <row r="8" spans="1:13" ht="15">
      <c r="A8" s="52" t="s">
        <v>105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3">
      <c r="A9" s="11" t="s">
        <v>107</v>
      </c>
      <c r="B9" s="11" t="s">
        <v>108</v>
      </c>
      <c r="C9" s="11" t="s">
        <v>109</v>
      </c>
      <c r="D9" s="11" t="str">
        <f>"1,0496"</f>
        <v>1,0496</v>
      </c>
      <c r="E9" s="11" t="s">
        <v>34</v>
      </c>
      <c r="F9" s="11" t="s">
        <v>35</v>
      </c>
      <c r="G9" s="13" t="s">
        <v>110</v>
      </c>
      <c r="H9" s="13" t="s">
        <v>111</v>
      </c>
      <c r="I9" s="12" t="s">
        <v>112</v>
      </c>
      <c r="J9" s="12"/>
      <c r="K9" s="11" t="str">
        <f>"37,5"</f>
        <v>37,5</v>
      </c>
      <c r="L9" s="13" t="str">
        <f>"48,4128"</f>
        <v>48,4128</v>
      </c>
      <c r="M9" s="11" t="s">
        <v>21</v>
      </c>
    </row>
    <row r="10" spans="1:13">
      <c r="A10" s="14" t="s">
        <v>114</v>
      </c>
      <c r="B10" s="14" t="s">
        <v>115</v>
      </c>
      <c r="C10" s="14" t="s">
        <v>116</v>
      </c>
      <c r="D10" s="14" t="str">
        <f>"1,3133"</f>
        <v>1,3133</v>
      </c>
      <c r="E10" s="14" t="s">
        <v>117</v>
      </c>
      <c r="F10" s="14" t="s">
        <v>35</v>
      </c>
      <c r="G10" s="16" t="s">
        <v>118</v>
      </c>
      <c r="H10" s="16" t="s">
        <v>119</v>
      </c>
      <c r="I10" s="15" t="s">
        <v>120</v>
      </c>
      <c r="J10" s="15"/>
      <c r="K10" s="14" t="str">
        <f>"23,0"</f>
        <v>23,0</v>
      </c>
      <c r="L10" s="16" t="str">
        <f>"37,1533"</f>
        <v>37,1533</v>
      </c>
      <c r="M10" s="14" t="s">
        <v>21</v>
      </c>
    </row>
    <row r="12" spans="1:13" ht="15">
      <c r="A12" s="52" t="s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3">
      <c r="A13" s="8" t="s">
        <v>13</v>
      </c>
      <c r="B13" s="8" t="s">
        <v>14</v>
      </c>
      <c r="C13" s="8" t="s">
        <v>15</v>
      </c>
      <c r="D13" s="8" t="str">
        <f>"0,8271"</f>
        <v>0,8271</v>
      </c>
      <c r="E13" s="8" t="s">
        <v>16</v>
      </c>
      <c r="F13" s="8" t="s">
        <v>17</v>
      </c>
      <c r="G13" s="10" t="s">
        <v>19</v>
      </c>
      <c r="H13" s="10" t="s">
        <v>104</v>
      </c>
      <c r="I13" s="10" t="s">
        <v>20</v>
      </c>
      <c r="J13" s="9"/>
      <c r="K13" s="8" t="str">
        <f>"72,5"</f>
        <v>72,5</v>
      </c>
      <c r="L13" s="10" t="str">
        <f>"67,7602"</f>
        <v>67,7602</v>
      </c>
      <c r="M13" s="8" t="s">
        <v>21</v>
      </c>
    </row>
    <row r="15" spans="1:13" ht="15">
      <c r="A15" s="52" t="s">
        <v>121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3">
      <c r="A16" s="11" t="s">
        <v>123</v>
      </c>
      <c r="B16" s="11" t="s">
        <v>124</v>
      </c>
      <c r="C16" s="11" t="s">
        <v>125</v>
      </c>
      <c r="D16" s="11" t="str">
        <f>"0,7258"</f>
        <v>0,7258</v>
      </c>
      <c r="E16" s="11" t="s">
        <v>34</v>
      </c>
      <c r="F16" s="11" t="s">
        <v>35</v>
      </c>
      <c r="G16" s="13" t="s">
        <v>126</v>
      </c>
      <c r="H16" s="13" t="s">
        <v>127</v>
      </c>
      <c r="I16" s="13" t="s">
        <v>128</v>
      </c>
      <c r="J16" s="12"/>
      <c r="K16" s="11" t="str">
        <f>"115,0"</f>
        <v>115,0</v>
      </c>
      <c r="L16" s="13" t="str">
        <f>"90,1444"</f>
        <v>90,1444</v>
      </c>
      <c r="M16" s="11" t="s">
        <v>21</v>
      </c>
    </row>
    <row r="17" spans="1:13">
      <c r="A17" s="14" t="s">
        <v>130</v>
      </c>
      <c r="B17" s="14" t="s">
        <v>131</v>
      </c>
      <c r="C17" s="14" t="s">
        <v>132</v>
      </c>
      <c r="D17" s="14" t="str">
        <f>"0,7307"</f>
        <v>0,7307</v>
      </c>
      <c r="E17" s="14" t="s">
        <v>16</v>
      </c>
      <c r="F17" s="14" t="s">
        <v>17</v>
      </c>
      <c r="G17" s="15" t="s">
        <v>133</v>
      </c>
      <c r="H17" s="16" t="s">
        <v>134</v>
      </c>
      <c r="I17" s="15" t="s">
        <v>135</v>
      </c>
      <c r="J17" s="15"/>
      <c r="K17" s="14" t="str">
        <f>"100,0"</f>
        <v>100,0</v>
      </c>
      <c r="L17" s="16" t="str">
        <f>"74,5314"</f>
        <v>74,5314</v>
      </c>
      <c r="M17" s="14" t="s">
        <v>21</v>
      </c>
    </row>
    <row r="19" spans="1:13" ht="15">
      <c r="A19" s="52" t="s">
        <v>136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3">
      <c r="A20" s="11" t="s">
        <v>137</v>
      </c>
      <c r="B20" s="11" t="s">
        <v>138</v>
      </c>
      <c r="C20" s="11" t="s">
        <v>139</v>
      </c>
      <c r="D20" s="11" t="str">
        <f>"0,6843"</f>
        <v>0,6843</v>
      </c>
      <c r="E20" s="11" t="s">
        <v>34</v>
      </c>
      <c r="F20" s="11" t="s">
        <v>35</v>
      </c>
      <c r="G20" s="12" t="s">
        <v>140</v>
      </c>
      <c r="H20" s="12" t="s">
        <v>140</v>
      </c>
      <c r="I20" s="12" t="s">
        <v>140</v>
      </c>
      <c r="J20" s="12"/>
      <c r="K20" s="11" t="str">
        <f>"0.00"</f>
        <v>0.00</v>
      </c>
      <c r="L20" s="13" t="str">
        <f>"0,0000"</f>
        <v>0,0000</v>
      </c>
      <c r="M20" s="11" t="s">
        <v>21</v>
      </c>
    </row>
    <row r="21" spans="1:13">
      <c r="A21" s="25" t="s">
        <v>142</v>
      </c>
      <c r="B21" s="25" t="s">
        <v>143</v>
      </c>
      <c r="C21" s="31" t="s">
        <v>144</v>
      </c>
      <c r="D21" s="25" t="str">
        <f>"0,6687"</f>
        <v>0,6687</v>
      </c>
      <c r="E21" s="25" t="s">
        <v>16</v>
      </c>
      <c r="F21" s="25" t="s">
        <v>17</v>
      </c>
      <c r="G21" s="27" t="s">
        <v>44</v>
      </c>
      <c r="H21" s="27" t="s">
        <v>45</v>
      </c>
      <c r="I21" s="26" t="s">
        <v>145</v>
      </c>
      <c r="J21" s="26"/>
      <c r="K21" s="25" t="str">
        <f>"140,0"</f>
        <v>140,0</v>
      </c>
      <c r="L21" s="27" t="str">
        <f>"97,3627"</f>
        <v>97,3627</v>
      </c>
      <c r="M21" s="25" t="s">
        <v>21</v>
      </c>
    </row>
    <row r="22" spans="1:13">
      <c r="A22" s="25" t="s">
        <v>147</v>
      </c>
      <c r="B22" s="25" t="s">
        <v>148</v>
      </c>
      <c r="C22" s="25" t="s">
        <v>149</v>
      </c>
      <c r="D22" s="25" t="str">
        <f>"0,6716"</f>
        <v>0,6716</v>
      </c>
      <c r="E22" s="25" t="s">
        <v>16</v>
      </c>
      <c r="F22" s="25" t="s">
        <v>17</v>
      </c>
      <c r="G22" s="27" t="s">
        <v>29</v>
      </c>
      <c r="H22" s="27" t="s">
        <v>43</v>
      </c>
      <c r="I22" s="27" t="s">
        <v>150</v>
      </c>
      <c r="J22" s="26"/>
      <c r="K22" s="25" t="str">
        <f>"132,5"</f>
        <v>132,5</v>
      </c>
      <c r="L22" s="27" t="str">
        <f>"90,7667"</f>
        <v>90,7667</v>
      </c>
      <c r="M22" s="25" t="s">
        <v>21</v>
      </c>
    </row>
    <row r="23" spans="1:13">
      <c r="A23" s="25" t="s">
        <v>152</v>
      </c>
      <c r="B23" s="25" t="s">
        <v>153</v>
      </c>
      <c r="C23" s="25" t="s">
        <v>154</v>
      </c>
      <c r="D23" s="25" t="str">
        <f>"0,6694"</f>
        <v>0,6694</v>
      </c>
      <c r="E23" s="25" t="s">
        <v>34</v>
      </c>
      <c r="F23" s="25" t="s">
        <v>35</v>
      </c>
      <c r="G23" s="27" t="s">
        <v>43</v>
      </c>
      <c r="H23" s="26" t="s">
        <v>150</v>
      </c>
      <c r="I23" s="27" t="s">
        <v>150</v>
      </c>
      <c r="J23" s="26"/>
      <c r="K23" s="25" t="str">
        <f>"132,5"</f>
        <v>132,5</v>
      </c>
      <c r="L23" s="27" t="str">
        <f>"91,3564"</f>
        <v>91,3564</v>
      </c>
      <c r="M23" s="25" t="s">
        <v>21</v>
      </c>
    </row>
    <row r="24" spans="1:13">
      <c r="A24" s="14" t="s">
        <v>142</v>
      </c>
      <c r="B24" s="14" t="s">
        <v>155</v>
      </c>
      <c r="C24" s="14" t="s">
        <v>144</v>
      </c>
      <c r="D24" s="14" t="str">
        <f>"0,6687"</f>
        <v>0,6687</v>
      </c>
      <c r="E24" s="14" t="s">
        <v>16</v>
      </c>
      <c r="F24" s="14" t="s">
        <v>17</v>
      </c>
      <c r="G24" s="16" t="s">
        <v>44</v>
      </c>
      <c r="H24" s="16" t="s">
        <v>45</v>
      </c>
      <c r="I24" s="15" t="s">
        <v>145</v>
      </c>
      <c r="J24" s="15"/>
      <c r="K24" s="14" t="str">
        <f>"140,0"</f>
        <v>140,0</v>
      </c>
      <c r="L24" s="16" t="str">
        <f>"93,6180"</f>
        <v>93,6180</v>
      </c>
      <c r="M24" s="14" t="s">
        <v>21</v>
      </c>
    </row>
    <row r="26" spans="1:13" ht="15">
      <c r="A26" s="52" t="s">
        <v>156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1:13">
      <c r="A27" s="11" t="s">
        <v>158</v>
      </c>
      <c r="B27" s="11" t="s">
        <v>159</v>
      </c>
      <c r="C27" s="11" t="s">
        <v>160</v>
      </c>
      <c r="D27" s="11" t="str">
        <f>"0,6295"</f>
        <v>0,6295</v>
      </c>
      <c r="E27" s="11" t="s">
        <v>34</v>
      </c>
      <c r="F27" s="11" t="s">
        <v>161</v>
      </c>
      <c r="G27" s="13" t="s">
        <v>162</v>
      </c>
      <c r="H27" s="12" t="s">
        <v>45</v>
      </c>
      <c r="I27" s="12" t="s">
        <v>45</v>
      </c>
      <c r="J27" s="12"/>
      <c r="K27" s="11" t="str">
        <f>"130,0"</f>
        <v>130,0</v>
      </c>
      <c r="L27" s="13" t="str">
        <f>"88,3818"</f>
        <v>88,3818</v>
      </c>
      <c r="M27" s="11" t="s">
        <v>21</v>
      </c>
    </row>
    <row r="28" spans="1:13">
      <c r="A28" s="25" t="s">
        <v>164</v>
      </c>
      <c r="B28" s="25" t="s">
        <v>165</v>
      </c>
      <c r="C28" s="25" t="s">
        <v>166</v>
      </c>
      <c r="D28" s="25" t="str">
        <f>"0,6198"</f>
        <v>0,6198</v>
      </c>
      <c r="E28" s="25" t="s">
        <v>34</v>
      </c>
      <c r="F28" s="25" t="s">
        <v>167</v>
      </c>
      <c r="G28" s="27" t="s">
        <v>168</v>
      </c>
      <c r="H28" s="27" t="s">
        <v>169</v>
      </c>
      <c r="I28" s="26" t="s">
        <v>170</v>
      </c>
      <c r="J28" s="26"/>
      <c r="K28" s="25" t="str">
        <f>"75,0"</f>
        <v>75,0</v>
      </c>
      <c r="L28" s="27" t="str">
        <f>"50,2038"</f>
        <v>50,2038</v>
      </c>
      <c r="M28" s="25" t="s">
        <v>21</v>
      </c>
    </row>
    <row r="29" spans="1:13">
      <c r="A29" s="25" t="s">
        <v>172</v>
      </c>
      <c r="B29" s="25" t="s">
        <v>173</v>
      </c>
      <c r="C29" s="25" t="s">
        <v>174</v>
      </c>
      <c r="D29" s="25" t="str">
        <f>"0,6273"</f>
        <v>0,6273</v>
      </c>
      <c r="E29" s="25" t="s">
        <v>34</v>
      </c>
      <c r="F29" s="25" t="s">
        <v>35</v>
      </c>
      <c r="G29" s="26" t="s">
        <v>43</v>
      </c>
      <c r="H29" s="27" t="s">
        <v>162</v>
      </c>
      <c r="I29" s="26" t="s">
        <v>175</v>
      </c>
      <c r="J29" s="26"/>
      <c r="K29" s="25" t="str">
        <f>"130,0"</f>
        <v>130,0</v>
      </c>
      <c r="L29" s="27" t="str">
        <f>"84,8110"</f>
        <v>84,8110</v>
      </c>
      <c r="M29" s="25" t="s">
        <v>21</v>
      </c>
    </row>
    <row r="30" spans="1:13">
      <c r="A30" s="25" t="s">
        <v>177</v>
      </c>
      <c r="B30" s="25" t="s">
        <v>178</v>
      </c>
      <c r="C30" s="25" t="s">
        <v>179</v>
      </c>
      <c r="D30" s="25" t="str">
        <f>"0,6230"</f>
        <v>0,6230</v>
      </c>
      <c r="E30" s="25" t="s">
        <v>90</v>
      </c>
      <c r="F30" s="25" t="s">
        <v>35</v>
      </c>
      <c r="G30" s="27" t="s">
        <v>29</v>
      </c>
      <c r="H30" s="26" t="s">
        <v>43</v>
      </c>
      <c r="I30" s="26" t="s">
        <v>43</v>
      </c>
      <c r="J30" s="26"/>
      <c r="K30" s="25" t="str">
        <f>"120,0"</f>
        <v>120,0</v>
      </c>
      <c r="L30" s="27" t="str">
        <f>"74,7600"</f>
        <v>74,7600</v>
      </c>
      <c r="M30" s="25" t="s">
        <v>21</v>
      </c>
    </row>
    <row r="31" spans="1:13">
      <c r="A31" s="14" t="s">
        <v>181</v>
      </c>
      <c r="B31" s="14" t="s">
        <v>182</v>
      </c>
      <c r="C31" s="14" t="s">
        <v>174</v>
      </c>
      <c r="D31" s="14" t="str">
        <f>"0,6273"</f>
        <v>0,6273</v>
      </c>
      <c r="E31" s="14" t="s">
        <v>16</v>
      </c>
      <c r="F31" s="14" t="s">
        <v>17</v>
      </c>
      <c r="G31" s="16" t="s">
        <v>43</v>
      </c>
      <c r="H31" s="16" t="s">
        <v>145</v>
      </c>
      <c r="I31" s="16" t="s">
        <v>183</v>
      </c>
      <c r="J31" s="15"/>
      <c r="K31" s="14" t="str">
        <f>"150,0"</f>
        <v>150,0</v>
      </c>
      <c r="L31" s="16" t="str">
        <f>"94,0950"</f>
        <v>94,0950</v>
      </c>
      <c r="M31" s="14" t="s">
        <v>21</v>
      </c>
    </row>
    <row r="33" spans="1:13" ht="15">
      <c r="A33" s="52" t="s">
        <v>22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4" spans="1:13">
      <c r="A34" s="11" t="s">
        <v>185</v>
      </c>
      <c r="B34" s="11" t="s">
        <v>186</v>
      </c>
      <c r="C34" s="11" t="s">
        <v>26</v>
      </c>
      <c r="D34" s="11" t="str">
        <f>"0,5857"</f>
        <v>0,5857</v>
      </c>
      <c r="E34" s="11" t="s">
        <v>34</v>
      </c>
      <c r="F34" s="11" t="s">
        <v>35</v>
      </c>
      <c r="G34" s="13" t="s">
        <v>187</v>
      </c>
      <c r="H34" s="12" t="s">
        <v>28</v>
      </c>
      <c r="I34" s="12"/>
      <c r="J34" s="12"/>
      <c r="K34" s="11" t="str">
        <f>"90,0"</f>
        <v>90,0</v>
      </c>
      <c r="L34" s="13" t="str">
        <f>"56,9300"</f>
        <v>56,9300</v>
      </c>
      <c r="M34" s="11" t="s">
        <v>21</v>
      </c>
    </row>
    <row r="35" spans="1:13">
      <c r="A35" s="25" t="s">
        <v>189</v>
      </c>
      <c r="B35" s="25" t="s">
        <v>190</v>
      </c>
      <c r="C35" s="25" t="s">
        <v>191</v>
      </c>
      <c r="D35" s="25" t="str">
        <f>"0,5947"</f>
        <v>0,5947</v>
      </c>
      <c r="E35" s="25" t="s">
        <v>34</v>
      </c>
      <c r="F35" s="25" t="s">
        <v>167</v>
      </c>
      <c r="G35" s="27" t="s">
        <v>45</v>
      </c>
      <c r="H35" s="27" t="s">
        <v>183</v>
      </c>
      <c r="I35" s="27" t="s">
        <v>192</v>
      </c>
      <c r="J35" s="26"/>
      <c r="K35" s="25" t="str">
        <f>"155,0"</f>
        <v>155,0</v>
      </c>
      <c r="L35" s="27" t="str">
        <f>"92,1785"</f>
        <v>92,1785</v>
      </c>
      <c r="M35" s="25" t="s">
        <v>21</v>
      </c>
    </row>
    <row r="36" spans="1:13">
      <c r="A36" s="25" t="s">
        <v>194</v>
      </c>
      <c r="B36" s="25" t="s">
        <v>195</v>
      </c>
      <c r="C36" s="25" t="s">
        <v>196</v>
      </c>
      <c r="D36" s="25" t="str">
        <f>"0,5873"</f>
        <v>0,5873</v>
      </c>
      <c r="E36" s="25" t="s">
        <v>34</v>
      </c>
      <c r="F36" s="25" t="s">
        <v>35</v>
      </c>
      <c r="G36" s="27" t="s">
        <v>45</v>
      </c>
      <c r="H36" s="27" t="s">
        <v>183</v>
      </c>
      <c r="I36" s="26"/>
      <c r="J36" s="26"/>
      <c r="K36" s="25" t="str">
        <f>"150,0"</f>
        <v>150,0</v>
      </c>
      <c r="L36" s="27" t="str">
        <f>"88,0950"</f>
        <v>88,0950</v>
      </c>
      <c r="M36" s="25" t="s">
        <v>21</v>
      </c>
    </row>
    <row r="37" spans="1:13">
      <c r="A37" s="25" t="s">
        <v>198</v>
      </c>
      <c r="B37" s="25" t="s">
        <v>199</v>
      </c>
      <c r="C37" s="25" t="s">
        <v>196</v>
      </c>
      <c r="D37" s="25" t="str">
        <f>"0,5873"</f>
        <v>0,5873</v>
      </c>
      <c r="E37" s="25" t="s">
        <v>34</v>
      </c>
      <c r="F37" s="25" t="s">
        <v>167</v>
      </c>
      <c r="G37" s="27" t="s">
        <v>37</v>
      </c>
      <c r="H37" s="27" t="s">
        <v>44</v>
      </c>
      <c r="I37" s="26" t="s">
        <v>45</v>
      </c>
      <c r="J37" s="26"/>
      <c r="K37" s="25" t="str">
        <f>"135,0"</f>
        <v>135,0</v>
      </c>
      <c r="L37" s="27" t="str">
        <f>"79,2855"</f>
        <v>79,2855</v>
      </c>
      <c r="M37" s="25" t="s">
        <v>21</v>
      </c>
    </row>
    <row r="38" spans="1:13">
      <c r="A38" s="14" t="s">
        <v>31</v>
      </c>
      <c r="B38" s="14" t="s">
        <v>32</v>
      </c>
      <c r="C38" s="14" t="s">
        <v>33</v>
      </c>
      <c r="D38" s="14" t="str">
        <f>"0,6022"</f>
        <v>0,6022</v>
      </c>
      <c r="E38" s="14" t="s">
        <v>34</v>
      </c>
      <c r="F38" s="14" t="s">
        <v>35</v>
      </c>
      <c r="G38" s="16" t="s">
        <v>27</v>
      </c>
      <c r="H38" s="15" t="s">
        <v>28</v>
      </c>
      <c r="I38" s="15" t="s">
        <v>200</v>
      </c>
      <c r="J38" s="15"/>
      <c r="K38" s="14" t="str">
        <f>"110,0"</f>
        <v>110,0</v>
      </c>
      <c r="L38" s="16" t="str">
        <f>"80,0866"</f>
        <v>80,0866</v>
      </c>
      <c r="M38" s="14" t="s">
        <v>21</v>
      </c>
    </row>
    <row r="40" spans="1:13" ht="15">
      <c r="A40" s="52" t="s">
        <v>38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1:13">
      <c r="A41" s="11" t="s">
        <v>40</v>
      </c>
      <c r="B41" s="11" t="s">
        <v>41</v>
      </c>
      <c r="C41" s="11" t="s">
        <v>42</v>
      </c>
      <c r="D41" s="11" t="str">
        <f>"0,5651"</f>
        <v>0,5651</v>
      </c>
      <c r="E41" s="11" t="s">
        <v>16</v>
      </c>
      <c r="F41" s="11" t="s">
        <v>17</v>
      </c>
      <c r="G41" s="13" t="s">
        <v>202</v>
      </c>
      <c r="H41" s="13" t="s">
        <v>175</v>
      </c>
      <c r="I41" s="13" t="s">
        <v>183</v>
      </c>
      <c r="J41" s="12"/>
      <c r="K41" s="11" t="str">
        <f>"150,0"</f>
        <v>150,0</v>
      </c>
      <c r="L41" s="13" t="str">
        <f>"84,7650"</f>
        <v>84,7650</v>
      </c>
      <c r="M41" s="11" t="s">
        <v>21</v>
      </c>
    </row>
    <row r="42" spans="1:13">
      <c r="A42" s="14" t="s">
        <v>204</v>
      </c>
      <c r="B42" s="14" t="s">
        <v>205</v>
      </c>
      <c r="C42" s="14" t="s">
        <v>206</v>
      </c>
      <c r="D42" s="14" t="str">
        <f>"0,5589"</f>
        <v>0,5589</v>
      </c>
      <c r="E42" s="14" t="s">
        <v>16</v>
      </c>
      <c r="F42" s="14" t="s">
        <v>17</v>
      </c>
      <c r="G42" s="15" t="s">
        <v>45</v>
      </c>
      <c r="H42" s="16" t="s">
        <v>45</v>
      </c>
      <c r="I42" s="16" t="s">
        <v>145</v>
      </c>
      <c r="J42" s="15"/>
      <c r="K42" s="14" t="str">
        <f>"142,5"</f>
        <v>142,5</v>
      </c>
      <c r="L42" s="16" t="str">
        <f>"79,6432"</f>
        <v>79,6432</v>
      </c>
      <c r="M42" s="14" t="s">
        <v>21</v>
      </c>
    </row>
    <row r="44" spans="1:13" ht="15">
      <c r="A44" s="52" t="s">
        <v>85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1:13">
      <c r="A45" s="8" t="s">
        <v>208</v>
      </c>
      <c r="B45" s="8" t="s">
        <v>209</v>
      </c>
      <c r="C45" s="8" t="s">
        <v>210</v>
      </c>
      <c r="D45" s="8" t="str">
        <f>"0,5413"</f>
        <v>0,5413</v>
      </c>
      <c r="E45" s="8" t="s">
        <v>34</v>
      </c>
      <c r="F45" s="8" t="s">
        <v>35</v>
      </c>
      <c r="G45" s="10" t="s">
        <v>211</v>
      </c>
      <c r="H45" s="10" t="s">
        <v>212</v>
      </c>
      <c r="I45" s="9" t="s">
        <v>43</v>
      </c>
      <c r="J45" s="9"/>
      <c r="K45" s="8" t="str">
        <f>"125,0"</f>
        <v>125,0</v>
      </c>
      <c r="L45" s="10" t="str">
        <f>"67,6625"</f>
        <v>67,6625</v>
      </c>
      <c r="M45" s="8" t="s">
        <v>21</v>
      </c>
    </row>
    <row r="47" spans="1:13" ht="15">
      <c r="E47" s="17" t="s">
        <v>50</v>
      </c>
      <c r="F47" s="28" t="s">
        <v>426</v>
      </c>
    </row>
    <row r="48" spans="1:13" ht="15">
      <c r="E48" s="17" t="s">
        <v>51</v>
      </c>
      <c r="F48" s="28" t="s">
        <v>429</v>
      </c>
    </row>
    <row r="49" spans="1:6" ht="15">
      <c r="E49" s="17" t="s">
        <v>52</v>
      </c>
      <c r="F49" s="28" t="s">
        <v>426</v>
      </c>
    </row>
    <row r="50" spans="1:6" ht="15">
      <c r="E50" s="17" t="s">
        <v>53</v>
      </c>
      <c r="F50" s="28" t="s">
        <v>427</v>
      </c>
    </row>
    <row r="51" spans="1:6" ht="15">
      <c r="E51" s="17" t="s">
        <v>53</v>
      </c>
      <c r="F51" s="28" t="s">
        <v>428</v>
      </c>
    </row>
    <row r="52" spans="1:6" ht="15">
      <c r="E52" s="17" t="s">
        <v>54</v>
      </c>
      <c r="F52" s="28" t="s">
        <v>429</v>
      </c>
    </row>
    <row r="53" spans="1:6" ht="15">
      <c r="E53" s="17"/>
    </row>
    <row r="55" spans="1:6" ht="18">
      <c r="A55" s="18" t="s">
        <v>55</v>
      </c>
      <c r="B55" s="18"/>
    </row>
    <row r="56" spans="1:6" ht="15">
      <c r="A56" s="19" t="s">
        <v>213</v>
      </c>
      <c r="B56" s="19"/>
    </row>
    <row r="57" spans="1:6" ht="14.25">
      <c r="A57" s="21"/>
      <c r="B57" s="22" t="s">
        <v>73</v>
      </c>
    </row>
    <row r="58" spans="1:6" ht="15">
      <c r="A58" s="23" t="s">
        <v>58</v>
      </c>
      <c r="B58" s="23" t="s">
        <v>59</v>
      </c>
      <c r="C58" s="23" t="s">
        <v>60</v>
      </c>
      <c r="D58" s="23" t="s">
        <v>61</v>
      </c>
      <c r="E58" s="23" t="s">
        <v>62</v>
      </c>
    </row>
    <row r="59" spans="1:6">
      <c r="A59" s="20" t="s">
        <v>97</v>
      </c>
      <c r="B59" s="4" t="s">
        <v>214</v>
      </c>
      <c r="C59" s="4" t="s">
        <v>215</v>
      </c>
      <c r="D59" s="4" t="s">
        <v>103</v>
      </c>
      <c r="E59" s="24" t="s">
        <v>216</v>
      </c>
    </row>
    <row r="62" spans="1:6" ht="15">
      <c r="A62" s="19" t="s">
        <v>56</v>
      </c>
      <c r="B62" s="19"/>
    </row>
    <row r="63" spans="1:6" ht="14.25">
      <c r="A63" s="21"/>
      <c r="B63" s="22" t="s">
        <v>57</v>
      </c>
    </row>
    <row r="64" spans="1:6" ht="15">
      <c r="A64" s="23" t="s">
        <v>58</v>
      </c>
      <c r="B64" s="23" t="s">
        <v>59</v>
      </c>
      <c r="C64" s="23" t="s">
        <v>60</v>
      </c>
      <c r="D64" s="23" t="s">
        <v>61</v>
      </c>
      <c r="E64" s="23" t="s">
        <v>62</v>
      </c>
    </row>
    <row r="65" spans="1:5">
      <c r="A65" s="20" t="s">
        <v>141</v>
      </c>
      <c r="B65" s="4" t="s">
        <v>63</v>
      </c>
      <c r="C65" s="4" t="s">
        <v>217</v>
      </c>
      <c r="D65" s="4" t="s">
        <v>45</v>
      </c>
      <c r="E65" s="24" t="s">
        <v>218</v>
      </c>
    </row>
    <row r="66" spans="1:5">
      <c r="A66" s="20" t="s">
        <v>122</v>
      </c>
      <c r="B66" s="4" t="s">
        <v>66</v>
      </c>
      <c r="C66" s="4" t="s">
        <v>219</v>
      </c>
      <c r="D66" s="4" t="s">
        <v>28</v>
      </c>
      <c r="E66" s="24" t="s">
        <v>220</v>
      </c>
    </row>
    <row r="67" spans="1:5">
      <c r="A67" s="20" t="s">
        <v>157</v>
      </c>
      <c r="B67" s="4" t="s">
        <v>66</v>
      </c>
      <c r="C67" s="4" t="s">
        <v>221</v>
      </c>
      <c r="D67" s="4" t="s">
        <v>43</v>
      </c>
      <c r="E67" s="24" t="s">
        <v>222</v>
      </c>
    </row>
    <row r="68" spans="1:5">
      <c r="A68" s="20" t="s">
        <v>171</v>
      </c>
      <c r="B68" s="4" t="s">
        <v>63</v>
      </c>
      <c r="C68" s="4" t="s">
        <v>221</v>
      </c>
      <c r="D68" s="4" t="s">
        <v>43</v>
      </c>
      <c r="E68" s="24" t="s">
        <v>223</v>
      </c>
    </row>
    <row r="69" spans="1:5">
      <c r="A69" s="20" t="s">
        <v>12</v>
      </c>
      <c r="B69" s="4" t="s">
        <v>66</v>
      </c>
      <c r="C69" s="4" t="s">
        <v>67</v>
      </c>
      <c r="D69" s="4" t="s">
        <v>20</v>
      </c>
      <c r="E69" s="24" t="s">
        <v>224</v>
      </c>
    </row>
    <row r="70" spans="1:5">
      <c r="A70" s="20" t="s">
        <v>184</v>
      </c>
      <c r="B70" s="4" t="s">
        <v>66</v>
      </c>
      <c r="C70" s="4" t="s">
        <v>64</v>
      </c>
      <c r="D70" s="4" t="s">
        <v>133</v>
      </c>
      <c r="E70" s="24" t="s">
        <v>225</v>
      </c>
    </row>
    <row r="71" spans="1:5">
      <c r="A71" s="20" t="s">
        <v>163</v>
      </c>
      <c r="B71" s="4" t="s">
        <v>66</v>
      </c>
      <c r="C71" s="4" t="s">
        <v>221</v>
      </c>
      <c r="D71" s="4" t="s">
        <v>169</v>
      </c>
      <c r="E71" s="24" t="s">
        <v>226</v>
      </c>
    </row>
    <row r="72" spans="1:5">
      <c r="A72" s="20" t="s">
        <v>106</v>
      </c>
      <c r="B72" s="4" t="s">
        <v>227</v>
      </c>
      <c r="C72" s="4" t="s">
        <v>228</v>
      </c>
      <c r="D72" s="4" t="s">
        <v>229</v>
      </c>
      <c r="E72" s="24" t="s">
        <v>230</v>
      </c>
    </row>
    <row r="73" spans="1:5">
      <c r="A73" s="20" t="s">
        <v>113</v>
      </c>
      <c r="B73" s="4" t="s">
        <v>227</v>
      </c>
      <c r="C73" s="4" t="s">
        <v>228</v>
      </c>
      <c r="D73" s="4" t="s">
        <v>119</v>
      </c>
      <c r="E73" s="24" t="s">
        <v>231</v>
      </c>
    </row>
    <row r="75" spans="1:5" ht="14.25">
      <c r="A75" s="21"/>
      <c r="B75" s="22" t="s">
        <v>232</v>
      </c>
    </row>
    <row r="76" spans="1:5" ht="15">
      <c r="A76" s="23" t="s">
        <v>58</v>
      </c>
      <c r="B76" s="23" t="s">
        <v>59</v>
      </c>
      <c r="C76" s="23" t="s">
        <v>60</v>
      </c>
      <c r="D76" s="23" t="s">
        <v>61</v>
      </c>
      <c r="E76" s="23" t="s">
        <v>62</v>
      </c>
    </row>
    <row r="77" spans="1:5">
      <c r="A77" s="20" t="s">
        <v>151</v>
      </c>
      <c r="B77" s="4" t="s">
        <v>233</v>
      </c>
      <c r="C77" s="4" t="s">
        <v>217</v>
      </c>
      <c r="D77" s="4" t="s">
        <v>150</v>
      </c>
      <c r="E77" s="24" t="s">
        <v>234</v>
      </c>
    </row>
    <row r="78" spans="1:5">
      <c r="A78" s="20" t="s">
        <v>146</v>
      </c>
      <c r="B78" s="4" t="s">
        <v>233</v>
      </c>
      <c r="C78" s="4" t="s">
        <v>217</v>
      </c>
      <c r="D78" s="4" t="s">
        <v>150</v>
      </c>
      <c r="E78" s="24" t="s">
        <v>235</v>
      </c>
    </row>
    <row r="79" spans="1:5">
      <c r="A79" s="20" t="s">
        <v>129</v>
      </c>
      <c r="B79" s="4" t="s">
        <v>233</v>
      </c>
      <c r="C79" s="4" t="s">
        <v>219</v>
      </c>
      <c r="D79" s="4" t="s">
        <v>134</v>
      </c>
      <c r="E79" s="24" t="s">
        <v>236</v>
      </c>
    </row>
    <row r="81" spans="1:5" ht="14.25">
      <c r="A81" s="21"/>
      <c r="B81" s="22" t="s">
        <v>69</v>
      </c>
    </row>
    <row r="82" spans="1:5" ht="15">
      <c r="A82" s="23" t="s">
        <v>58</v>
      </c>
      <c r="B82" s="23" t="s">
        <v>59</v>
      </c>
      <c r="C82" s="23" t="s">
        <v>60</v>
      </c>
      <c r="D82" s="23" t="s">
        <v>61</v>
      </c>
      <c r="E82" s="23" t="s">
        <v>62</v>
      </c>
    </row>
    <row r="83" spans="1:5">
      <c r="A83" s="20" t="s">
        <v>141</v>
      </c>
      <c r="B83" s="4" t="s">
        <v>69</v>
      </c>
      <c r="C83" s="4" t="s">
        <v>217</v>
      </c>
      <c r="D83" s="4" t="s">
        <v>45</v>
      </c>
      <c r="E83" s="24" t="s">
        <v>237</v>
      </c>
    </row>
    <row r="84" spans="1:5">
      <c r="A84" s="20" t="s">
        <v>188</v>
      </c>
      <c r="B84" s="4" t="s">
        <v>69</v>
      </c>
      <c r="C84" s="4" t="s">
        <v>64</v>
      </c>
      <c r="D84" s="4" t="s">
        <v>192</v>
      </c>
      <c r="E84" s="24" t="s">
        <v>238</v>
      </c>
    </row>
    <row r="85" spans="1:5">
      <c r="A85" s="20" t="s">
        <v>193</v>
      </c>
      <c r="B85" s="4" t="s">
        <v>69</v>
      </c>
      <c r="C85" s="4" t="s">
        <v>64</v>
      </c>
      <c r="D85" s="4" t="s">
        <v>183</v>
      </c>
      <c r="E85" s="24" t="s">
        <v>239</v>
      </c>
    </row>
    <row r="86" spans="1:5">
      <c r="A86" s="20" t="s">
        <v>39</v>
      </c>
      <c r="B86" s="4" t="s">
        <v>69</v>
      </c>
      <c r="C86" s="4" t="s">
        <v>70</v>
      </c>
      <c r="D86" s="4" t="s">
        <v>183</v>
      </c>
      <c r="E86" s="24" t="s">
        <v>240</v>
      </c>
    </row>
    <row r="87" spans="1:5">
      <c r="A87" s="20" t="s">
        <v>203</v>
      </c>
      <c r="B87" s="4" t="s">
        <v>69</v>
      </c>
      <c r="C87" s="4" t="s">
        <v>70</v>
      </c>
      <c r="D87" s="4" t="s">
        <v>145</v>
      </c>
      <c r="E87" s="24" t="s">
        <v>241</v>
      </c>
    </row>
    <row r="88" spans="1:5">
      <c r="A88" s="20" t="s">
        <v>197</v>
      </c>
      <c r="B88" s="4" t="s">
        <v>69</v>
      </c>
      <c r="C88" s="4" t="s">
        <v>64</v>
      </c>
      <c r="D88" s="4" t="s">
        <v>44</v>
      </c>
      <c r="E88" s="24" t="s">
        <v>242</v>
      </c>
    </row>
    <row r="89" spans="1:5">
      <c r="A89" s="20" t="s">
        <v>176</v>
      </c>
      <c r="B89" s="4" t="s">
        <v>69</v>
      </c>
      <c r="C89" s="4" t="s">
        <v>221</v>
      </c>
      <c r="D89" s="4" t="s">
        <v>29</v>
      </c>
      <c r="E89" s="24" t="s">
        <v>243</v>
      </c>
    </row>
    <row r="90" spans="1:5">
      <c r="A90" s="20" t="s">
        <v>207</v>
      </c>
      <c r="B90" s="4" t="s">
        <v>69</v>
      </c>
      <c r="C90" s="4" t="s">
        <v>93</v>
      </c>
      <c r="D90" s="4" t="s">
        <v>37</v>
      </c>
      <c r="E90" s="24" t="s">
        <v>244</v>
      </c>
    </row>
    <row r="92" spans="1:5" ht="14.25">
      <c r="A92" s="21"/>
      <c r="B92" s="22" t="s">
        <v>73</v>
      </c>
    </row>
    <row r="93" spans="1:5" ht="15">
      <c r="A93" s="23" t="s">
        <v>58</v>
      </c>
      <c r="B93" s="23" t="s">
        <v>59</v>
      </c>
      <c r="C93" s="23" t="s">
        <v>60</v>
      </c>
      <c r="D93" s="23" t="s">
        <v>61</v>
      </c>
      <c r="E93" s="23" t="s">
        <v>62</v>
      </c>
    </row>
    <row r="94" spans="1:5">
      <c r="A94" s="20" t="s">
        <v>180</v>
      </c>
      <c r="B94" s="4" t="s">
        <v>245</v>
      </c>
      <c r="C94" s="4" t="s">
        <v>221</v>
      </c>
      <c r="D94" s="4" t="s">
        <v>183</v>
      </c>
      <c r="E94" s="24" t="s">
        <v>246</v>
      </c>
    </row>
    <row r="95" spans="1:5">
      <c r="A95" s="20" t="s">
        <v>30</v>
      </c>
      <c r="B95" s="4" t="s">
        <v>74</v>
      </c>
      <c r="C95" s="4" t="s">
        <v>64</v>
      </c>
      <c r="D95" s="4" t="s">
        <v>27</v>
      </c>
      <c r="E95" s="24" t="s">
        <v>75</v>
      </c>
    </row>
    <row r="100" spans="1:3" ht="18">
      <c r="A100" s="18" t="s">
        <v>76</v>
      </c>
      <c r="B100" s="18"/>
    </row>
    <row r="101" spans="1:3" ht="15">
      <c r="A101" s="23" t="s">
        <v>77</v>
      </c>
      <c r="B101" s="23" t="s">
        <v>78</v>
      </c>
      <c r="C101" s="23" t="s">
        <v>79</v>
      </c>
    </row>
    <row r="102" spans="1:3">
      <c r="A102" s="4" t="s">
        <v>34</v>
      </c>
      <c r="B102" s="4" t="s">
        <v>247</v>
      </c>
      <c r="C102" s="4" t="s">
        <v>248</v>
      </c>
    </row>
    <row r="103" spans="1:3">
      <c r="A103" s="4" t="s">
        <v>16</v>
      </c>
      <c r="B103" s="4" t="s">
        <v>249</v>
      </c>
      <c r="C103" s="4" t="s">
        <v>250</v>
      </c>
    </row>
    <row r="104" spans="1:3">
      <c r="A104" s="4" t="s">
        <v>90</v>
      </c>
      <c r="B104" s="4" t="s">
        <v>82</v>
      </c>
      <c r="C104" s="4" t="s">
        <v>251</v>
      </c>
    </row>
    <row r="105" spans="1:3">
      <c r="A105" s="4" t="s">
        <v>117</v>
      </c>
      <c r="B105" s="4" t="s">
        <v>252</v>
      </c>
      <c r="C105" s="4" t="s">
        <v>253</v>
      </c>
    </row>
  </sheetData>
  <mergeCells count="20">
    <mergeCell ref="A44:L44"/>
    <mergeCell ref="K3:K4"/>
    <mergeCell ref="L3:L4"/>
    <mergeCell ref="M3:M4"/>
    <mergeCell ref="A5:L5"/>
    <mergeCell ref="A8:L8"/>
    <mergeCell ref="A12:L12"/>
    <mergeCell ref="A15:L15"/>
    <mergeCell ref="A19:L19"/>
    <mergeCell ref="A26:L26"/>
    <mergeCell ref="A33:L33"/>
    <mergeCell ref="A40:L40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жимовое двоеборье</vt:lpstr>
      <vt:lpstr>Двоеборье люб</vt:lpstr>
      <vt:lpstr>ПРО тяга б.э.</vt:lpstr>
      <vt:lpstr>Люб. тяга б.э.</vt:lpstr>
      <vt:lpstr>ПРО жим софт экип. 3сл.</vt:lpstr>
      <vt:lpstr>ПРО жим софт экип.</vt:lpstr>
      <vt:lpstr>Люб. жим софт экип.</vt:lpstr>
      <vt:lpstr>ПРО жим б.э.</vt:lpstr>
      <vt:lpstr>Люб. жим б.э.</vt:lpstr>
      <vt:lpstr>СОВ жим</vt:lpstr>
      <vt:lpstr>Люб. Военный жим</vt:lpstr>
      <vt:lpstr>Проф. народный жим 1 вес</vt:lpstr>
      <vt:lpstr>Люб. народный жим 1_2 вес</vt:lpstr>
      <vt:lpstr>Люб. народный жим 1 вес</vt:lpstr>
      <vt:lpstr>Пауэрспорт Любители</vt:lpstr>
      <vt:lpstr>Бицепс Любители</vt:lpstr>
      <vt:lpstr>РЖ любители 55 кг.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ДенисОльга</cp:lastModifiedBy>
  <cp:lastPrinted>2015-07-16T19:10:53Z</cp:lastPrinted>
  <dcterms:created xsi:type="dcterms:W3CDTF">2002-06-16T13:36:44Z</dcterms:created>
  <dcterms:modified xsi:type="dcterms:W3CDTF">2019-03-11T19:55:08Z</dcterms:modified>
</cp:coreProperties>
</file>