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Февраль/"/>
    </mc:Choice>
  </mc:AlternateContent>
  <xr:revisionPtr revIDLastSave="0" documentId="13_ncr:1_{5AF04224-977D-0A4E-BFE4-A5513EEBA8D1}" xr6:coauthVersionLast="45" xr6:coauthVersionMax="45" xr10:uidLastSave="{00000000-0000-0000-0000-000000000000}"/>
  <bookViews>
    <workbookView xWindow="0" yWindow="460" windowWidth="28800" windowHeight="16000" firstSheet="8" activeTab="13" xr2:uid="{00000000-000D-0000-FFFF-FFFF00000000}"/>
  </bookViews>
  <sheets>
    <sheet name="WRPF ПЛ без экипировки ДК" sheetId="1" r:id="rId1"/>
    <sheet name="WRPF ПЛ без экипировки" sheetId="2" r:id="rId2"/>
    <sheet name="WRPF ПЛ в бинтах ДК" sheetId="3" r:id="rId3"/>
    <sheet name="WRPF ПЛ в бинтах" sheetId="4" r:id="rId4"/>
    <sheet name="WRPF Двоеборье без экип ДК" sheetId="5" r:id="rId5"/>
    <sheet name="WRPF Жим лежа без экип ДК" sheetId="6" r:id="rId6"/>
    <sheet name="WRPF Жим лежа без экип" sheetId="7" r:id="rId7"/>
    <sheet name="WEPF Жим софт однопетельная ДК" sheetId="8" r:id="rId8"/>
    <sheet name="WEPF Жим софт однопетельная" sheetId="9" r:id="rId9"/>
    <sheet name="WEPF Жим софт многопетельнаяДК" sheetId="10" r:id="rId10"/>
    <sheet name="WRPF Жим СФО" sheetId="15" r:id="rId11"/>
    <sheet name="WRPF Тяга без экипировки ДК" sheetId="16" r:id="rId12"/>
    <sheet name="WRPF Тяга без экипировки" sheetId="17" r:id="rId13"/>
    <sheet name="WRPF Подъем на бицепс" sheetId="18" r:id="rId14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18" l="1"/>
  <c r="K35" i="18"/>
  <c r="L34" i="18"/>
  <c r="K34" i="18"/>
  <c r="L31" i="18"/>
  <c r="K31" i="18"/>
  <c r="L28" i="18"/>
  <c r="K28" i="18"/>
  <c r="L27" i="18"/>
  <c r="K27" i="18"/>
  <c r="L24" i="18"/>
  <c r="K24" i="18"/>
  <c r="L21" i="18"/>
  <c r="K21" i="18"/>
  <c r="L18" i="18"/>
  <c r="K18" i="18"/>
  <c r="L17" i="18"/>
  <c r="K17" i="18"/>
  <c r="L16" i="18"/>
  <c r="K16" i="18"/>
  <c r="L13" i="18"/>
  <c r="K13" i="18"/>
  <c r="L10" i="18"/>
  <c r="K10" i="18"/>
  <c r="L9" i="18"/>
  <c r="K9" i="18"/>
  <c r="L6" i="18"/>
  <c r="K6" i="18"/>
  <c r="L32" i="17"/>
  <c r="K32" i="17"/>
  <c r="L29" i="17"/>
  <c r="K29" i="17"/>
  <c r="L26" i="17"/>
  <c r="K26" i="17"/>
  <c r="L23" i="17"/>
  <c r="K23" i="17"/>
  <c r="L22" i="17"/>
  <c r="K22" i="17"/>
  <c r="L19" i="17"/>
  <c r="K19" i="17"/>
  <c r="L18" i="17"/>
  <c r="K18" i="17"/>
  <c r="L15" i="17"/>
  <c r="K15" i="17"/>
  <c r="L12" i="17"/>
  <c r="K12" i="17"/>
  <c r="L9" i="17"/>
  <c r="K9" i="17"/>
  <c r="L6" i="17"/>
  <c r="K6" i="17"/>
  <c r="L40" i="16"/>
  <c r="K40" i="16"/>
  <c r="L37" i="16"/>
  <c r="K37" i="16"/>
  <c r="L36" i="16"/>
  <c r="K36" i="16"/>
  <c r="L33" i="16"/>
  <c r="K33" i="16"/>
  <c r="L32" i="16"/>
  <c r="K32" i="16"/>
  <c r="L31" i="16"/>
  <c r="K31" i="16"/>
  <c r="L30" i="16"/>
  <c r="K30" i="16"/>
  <c r="L27" i="16"/>
  <c r="K27" i="16"/>
  <c r="L26" i="16"/>
  <c r="K26" i="16"/>
  <c r="L23" i="16"/>
  <c r="K23" i="16"/>
  <c r="L20" i="16"/>
  <c r="K20" i="16"/>
  <c r="L17" i="16"/>
  <c r="K17" i="16"/>
  <c r="L14" i="16"/>
  <c r="K14" i="16"/>
  <c r="L13" i="16"/>
  <c r="K13" i="16"/>
  <c r="L12" i="16"/>
  <c r="K12" i="16"/>
  <c r="L11" i="16"/>
  <c r="K11" i="16"/>
  <c r="L8" i="16"/>
  <c r="K8" i="16"/>
  <c r="L7" i="16"/>
  <c r="K7" i="16"/>
  <c r="L6" i="16"/>
  <c r="K6" i="16"/>
  <c r="L23" i="15"/>
  <c r="L22" i="15"/>
  <c r="L21" i="15"/>
  <c r="K21" i="15"/>
  <c r="L18" i="15"/>
  <c r="K18" i="15"/>
  <c r="L15" i="15"/>
  <c r="K15" i="15"/>
  <c r="L14" i="15"/>
  <c r="K14" i="15"/>
  <c r="L13" i="15"/>
  <c r="K13" i="15"/>
  <c r="L12" i="15"/>
  <c r="K12" i="15"/>
  <c r="L9" i="15"/>
  <c r="K9" i="15"/>
  <c r="L6" i="15"/>
  <c r="K6" i="15"/>
  <c r="L6" i="10"/>
  <c r="K6" i="10"/>
  <c r="L9" i="9"/>
  <c r="L6" i="9"/>
  <c r="K6" i="9"/>
  <c r="L13" i="8"/>
  <c r="K13" i="8"/>
  <c r="L12" i="8"/>
  <c r="K12" i="8"/>
  <c r="L9" i="8"/>
  <c r="K9" i="8"/>
  <c r="L6" i="8"/>
  <c r="K6" i="8"/>
  <c r="L73" i="7"/>
  <c r="K73" i="7"/>
  <c r="L72" i="7"/>
  <c r="K72" i="7"/>
  <c r="L71" i="7"/>
  <c r="K71" i="7"/>
  <c r="L68" i="7"/>
  <c r="K68" i="7"/>
  <c r="L67" i="7"/>
  <c r="K67" i="7"/>
  <c r="L66" i="7"/>
  <c r="K66" i="7"/>
  <c r="L65" i="7"/>
  <c r="K65" i="7"/>
  <c r="L64" i="7"/>
  <c r="L63" i="7"/>
  <c r="K63" i="7"/>
  <c r="L62" i="7"/>
  <c r="K62" i="7"/>
  <c r="L61" i="7"/>
  <c r="K61" i="7"/>
  <c r="L60" i="7"/>
  <c r="K60" i="7"/>
  <c r="L59" i="7"/>
  <c r="K59" i="7"/>
  <c r="L58" i="7"/>
  <c r="K58" i="7"/>
  <c r="L55" i="7"/>
  <c r="K55" i="7"/>
  <c r="L54" i="7"/>
  <c r="K54" i="7"/>
  <c r="L53" i="7"/>
  <c r="K53" i="7"/>
  <c r="L52" i="7"/>
  <c r="K52" i="7"/>
  <c r="L51" i="7"/>
  <c r="K51" i="7"/>
  <c r="L50" i="7"/>
  <c r="K50" i="7"/>
  <c r="L47" i="7"/>
  <c r="K47" i="7"/>
  <c r="L46" i="7"/>
  <c r="K46" i="7"/>
  <c r="L45" i="7"/>
  <c r="K45" i="7"/>
  <c r="L44" i="7"/>
  <c r="K44" i="7"/>
  <c r="L41" i="7"/>
  <c r="K41" i="7"/>
  <c r="L40" i="7"/>
  <c r="K40" i="7"/>
  <c r="L39" i="7"/>
  <c r="K39" i="7"/>
  <c r="L38" i="7"/>
  <c r="K38" i="7"/>
  <c r="L35" i="7"/>
  <c r="K35" i="7"/>
  <c r="L34" i="7"/>
  <c r="K34" i="7"/>
  <c r="L33" i="7"/>
  <c r="K33" i="7"/>
  <c r="L30" i="7"/>
  <c r="K30" i="7"/>
  <c r="L29" i="7"/>
  <c r="K29" i="7"/>
  <c r="L26" i="7"/>
  <c r="K26" i="7"/>
  <c r="L23" i="7"/>
  <c r="K23" i="7"/>
  <c r="L20" i="7"/>
  <c r="K20" i="7"/>
  <c r="L19" i="7"/>
  <c r="K19" i="7"/>
  <c r="L18" i="7"/>
  <c r="K18" i="7"/>
  <c r="L15" i="7"/>
  <c r="K15" i="7"/>
  <c r="L12" i="7"/>
  <c r="K12" i="7"/>
  <c r="L9" i="7"/>
  <c r="K9" i="7"/>
  <c r="L6" i="7"/>
  <c r="K6" i="7"/>
  <c r="L61" i="6"/>
  <c r="K61" i="6"/>
  <c r="L60" i="6"/>
  <c r="K60" i="6"/>
  <c r="L57" i="6"/>
  <c r="K57" i="6"/>
  <c r="L56" i="6"/>
  <c r="L55" i="6"/>
  <c r="L54" i="6"/>
  <c r="K54" i="6"/>
  <c r="L51" i="6"/>
  <c r="K51" i="6"/>
  <c r="L50" i="6"/>
  <c r="K50" i="6"/>
  <c r="L49" i="6"/>
  <c r="K49" i="6"/>
  <c r="L48" i="6"/>
  <c r="K48" i="6"/>
  <c r="L47" i="6"/>
  <c r="K47" i="6"/>
  <c r="L46" i="6"/>
  <c r="K46" i="6"/>
  <c r="L45" i="6"/>
  <c r="K45" i="6"/>
  <c r="L44" i="6"/>
  <c r="K44" i="6"/>
  <c r="L41" i="6"/>
  <c r="K41" i="6"/>
  <c r="L40" i="6"/>
  <c r="K40" i="6"/>
  <c r="L39" i="6"/>
  <c r="K39" i="6"/>
  <c r="L38" i="6"/>
  <c r="K38" i="6"/>
  <c r="L37" i="6"/>
  <c r="K37" i="6"/>
  <c r="L36" i="6"/>
  <c r="K36" i="6"/>
  <c r="L33" i="6"/>
  <c r="K33" i="6"/>
  <c r="L32" i="6"/>
  <c r="K32" i="6"/>
  <c r="L31" i="6"/>
  <c r="K31" i="6"/>
  <c r="L30" i="6"/>
  <c r="K30" i="6"/>
  <c r="L29" i="6"/>
  <c r="K29" i="6"/>
  <c r="L28" i="6"/>
  <c r="K28" i="6"/>
  <c r="L25" i="6"/>
  <c r="K25" i="6"/>
  <c r="L24" i="6"/>
  <c r="K24" i="6"/>
  <c r="L23" i="6"/>
  <c r="K23" i="6"/>
  <c r="L20" i="6"/>
  <c r="K20" i="6"/>
  <c r="L19" i="6"/>
  <c r="K19" i="6"/>
  <c r="L18" i="6"/>
  <c r="K18" i="6"/>
  <c r="L15" i="6"/>
  <c r="K15" i="6"/>
  <c r="L12" i="6"/>
  <c r="K12" i="6"/>
  <c r="L11" i="6"/>
  <c r="K11" i="6"/>
  <c r="L8" i="6"/>
  <c r="K8" i="6"/>
  <c r="L7" i="6"/>
  <c r="K7" i="6"/>
  <c r="L6" i="6"/>
  <c r="K6" i="6"/>
  <c r="P9" i="5"/>
  <c r="O9" i="5"/>
  <c r="P6" i="5"/>
  <c r="O6" i="5"/>
  <c r="T12" i="4"/>
  <c r="S12" i="4"/>
  <c r="T9" i="4"/>
  <c r="S9" i="4"/>
  <c r="T6" i="4"/>
  <c r="S6" i="4"/>
  <c r="T12" i="3"/>
  <c r="S12" i="3"/>
  <c r="T11" i="3"/>
  <c r="S11" i="3"/>
  <c r="T10" i="3"/>
  <c r="S10" i="3"/>
  <c r="T9" i="3"/>
  <c r="S9" i="3"/>
  <c r="T6" i="3"/>
  <c r="S6" i="3"/>
  <c r="T17" i="2"/>
  <c r="S17" i="2"/>
  <c r="T16" i="2"/>
  <c r="S16" i="2"/>
  <c r="T13" i="2"/>
  <c r="S13" i="2"/>
  <c r="T10" i="2"/>
  <c r="S10" i="2"/>
  <c r="T9" i="2"/>
  <c r="S9" i="2"/>
  <c r="T6" i="2"/>
  <c r="S6" i="2"/>
  <c r="T29" i="1"/>
  <c r="S29" i="1"/>
  <c r="T28" i="1"/>
  <c r="S28" i="1"/>
  <c r="T25" i="1"/>
  <c r="S25" i="1"/>
  <c r="T24" i="1"/>
  <c r="S24" i="1"/>
  <c r="T23" i="1"/>
  <c r="S23" i="1"/>
  <c r="T22" i="1"/>
  <c r="S22" i="1"/>
  <c r="T19" i="1"/>
  <c r="S19" i="1"/>
  <c r="T16" i="1"/>
  <c r="T13" i="1"/>
  <c r="S13" i="1"/>
  <c r="T10" i="1"/>
  <c r="S10" i="1"/>
  <c r="T7" i="1"/>
  <c r="S7" i="1"/>
  <c r="T6" i="1"/>
  <c r="S6" i="1"/>
</calcChain>
</file>

<file path=xl/sharedStrings.xml><?xml version="1.0" encoding="utf-8"?>
<sst xmlns="http://schemas.openxmlformats.org/spreadsheetml/2006/main" count="2167" uniqueCount="660">
  <si>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</si>
  <si>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</si>
  <si>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</si>
  <si>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</si>
  <si>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</si>
  <si>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</si>
  <si>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</si>
  <si>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</si>
  <si>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</si>
  <si>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</si>
  <si>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52</t>
  </si>
  <si>
    <t>1</t>
  </si>
  <si>
    <t>Поносова Юлия</t>
  </si>
  <si>
    <t>Открытая (08.08.1986)/34</t>
  </si>
  <si>
    <t>51,60</t>
  </si>
  <si>
    <t xml:space="preserve">Пермь/Пермский край </t>
  </si>
  <si>
    <t>100,0</t>
  </si>
  <si>
    <t>102,5</t>
  </si>
  <si>
    <t>55,0</t>
  </si>
  <si>
    <t>57,5</t>
  </si>
  <si>
    <t>105,0</t>
  </si>
  <si>
    <t>107,5</t>
  </si>
  <si>
    <t>110,0</t>
  </si>
  <si>
    <t xml:space="preserve">Койков Е. </t>
  </si>
  <si>
    <t>2</t>
  </si>
  <si>
    <t>Соловьева Мария</t>
  </si>
  <si>
    <t>Открытая (22.11.1988)/32</t>
  </si>
  <si>
    <t>51,50</t>
  </si>
  <si>
    <t>80,0</t>
  </si>
  <si>
    <t>85,0</t>
  </si>
  <si>
    <t>45,0</t>
  </si>
  <si>
    <t>47,5</t>
  </si>
  <si>
    <t>50,0</t>
  </si>
  <si>
    <t>90,0</t>
  </si>
  <si>
    <t>95,0</t>
  </si>
  <si>
    <t/>
  </si>
  <si>
    <t>ВЕСОВАЯ КАТЕГОРИЯ   56</t>
  </si>
  <si>
    <t>Седова Светлана</t>
  </si>
  <si>
    <t>Открытая (24.02.1989)/31</t>
  </si>
  <si>
    <t>53,00</t>
  </si>
  <si>
    <t>70,0</t>
  </si>
  <si>
    <t>40,0</t>
  </si>
  <si>
    <t>120,0</t>
  </si>
  <si>
    <t>ВЕСОВАЯ КАТЕГОРИЯ   60</t>
  </si>
  <si>
    <t>Князева Ольга</t>
  </si>
  <si>
    <t>Открытая (23.08.1985)/35</t>
  </si>
  <si>
    <t>59,20</t>
  </si>
  <si>
    <t>62,5</t>
  </si>
  <si>
    <t>25,0</t>
  </si>
  <si>
    <t>30,0</t>
  </si>
  <si>
    <t>37,5</t>
  </si>
  <si>
    <t>ВЕСОВАЯ КАТЕГОРИЯ   67.5</t>
  </si>
  <si>
    <t>-</t>
  </si>
  <si>
    <t>Лялина Анастасия</t>
  </si>
  <si>
    <t>Юниорки (08.04.1999)/21</t>
  </si>
  <si>
    <t>61,40</t>
  </si>
  <si>
    <t>52,5</t>
  </si>
  <si>
    <t>ВЕСОВАЯ КАТЕГОРИЯ   75</t>
  </si>
  <si>
    <t>Рябчевских Михаил</t>
  </si>
  <si>
    <t>Открытая (05.05.1991)/29</t>
  </si>
  <si>
    <t>74,70</t>
  </si>
  <si>
    <t>160,0</t>
  </si>
  <si>
    <t>170,0</t>
  </si>
  <si>
    <t>185,0</t>
  </si>
  <si>
    <t>115,0</t>
  </si>
  <si>
    <t>180,0</t>
  </si>
  <si>
    <t>200,0</t>
  </si>
  <si>
    <t>210,0</t>
  </si>
  <si>
    <t>ВЕСОВАЯ КАТЕГОРИЯ   82.5</t>
  </si>
  <si>
    <t>Князев Андрей</t>
  </si>
  <si>
    <t>Юноши 14-16 (14.04.2006)/14</t>
  </si>
  <si>
    <t>82,40</t>
  </si>
  <si>
    <t>65,0</t>
  </si>
  <si>
    <t>75,0</t>
  </si>
  <si>
    <t>132,5</t>
  </si>
  <si>
    <t>145,0</t>
  </si>
  <si>
    <t>Ковалев Антон</t>
  </si>
  <si>
    <t>Открытая (22.09.1986)/34</t>
  </si>
  <si>
    <t>81,00</t>
  </si>
  <si>
    <t>117,5</t>
  </si>
  <si>
    <t>220,0</t>
  </si>
  <si>
    <t>230,0</t>
  </si>
  <si>
    <t>Холодилов Лев</t>
  </si>
  <si>
    <t>Открытая (01.01.1980)/41</t>
  </si>
  <si>
    <t>79,70</t>
  </si>
  <si>
    <t xml:space="preserve">Чусовой/Пермский край </t>
  </si>
  <si>
    <t>130,0</t>
  </si>
  <si>
    <t>137,5</t>
  </si>
  <si>
    <t>150,0</t>
  </si>
  <si>
    <t>140,0</t>
  </si>
  <si>
    <t xml:space="preserve">Меркурьев А. </t>
  </si>
  <si>
    <t>Демидов Валерий</t>
  </si>
  <si>
    <t>Мастера 50-59 (17.03.1963)/57</t>
  </si>
  <si>
    <t>79,40</t>
  </si>
  <si>
    <t>190,0</t>
  </si>
  <si>
    <t xml:space="preserve">Никонов В. </t>
  </si>
  <si>
    <t>ВЕСОВАЯ КАТЕГОРИЯ   100</t>
  </si>
  <si>
    <t>Дудин Дмитрий</t>
  </si>
  <si>
    <t>Открытая (14.05.1988)/32</t>
  </si>
  <si>
    <t>98,80</t>
  </si>
  <si>
    <t>125,0</t>
  </si>
  <si>
    <t xml:space="preserve">Рогожников Е. </t>
  </si>
  <si>
    <t>Синицын Антон</t>
  </si>
  <si>
    <t>Открытая (27.11.1987)/33</t>
  </si>
  <si>
    <t>99,90</t>
  </si>
  <si>
    <t>Карякин Никита</t>
  </si>
  <si>
    <t>Юноши 14-16 (26.10.2007)/13</t>
  </si>
  <si>
    <t>67,80</t>
  </si>
  <si>
    <t>Ермаков Никита</t>
  </si>
  <si>
    <t>Юноши 14-16 (04.10.2005)/15</t>
  </si>
  <si>
    <t>80,30</t>
  </si>
  <si>
    <t>Агабалаев Ровшан</t>
  </si>
  <si>
    <t>Открытая (25.06.1992)/28</t>
  </si>
  <si>
    <t>81,80</t>
  </si>
  <si>
    <t>250,0</t>
  </si>
  <si>
    <t>260,0</t>
  </si>
  <si>
    <t>240,0</t>
  </si>
  <si>
    <t>ВЕСОВАЯ КАТЕГОРИЯ   90</t>
  </si>
  <si>
    <t>Гусев Денис</t>
  </si>
  <si>
    <t>Открытая (02.05.1987)/33</t>
  </si>
  <si>
    <t>89,10</t>
  </si>
  <si>
    <t>Дыга Виталий</t>
  </si>
  <si>
    <t>Открытая (11.05.1989)/31</t>
  </si>
  <si>
    <t>98,10</t>
  </si>
  <si>
    <t>280,0</t>
  </si>
  <si>
    <t>195,0</t>
  </si>
  <si>
    <t>300,0</t>
  </si>
  <si>
    <t>Борняков Дмитрий</t>
  </si>
  <si>
    <t>Открытая (12.08.1981)/39</t>
  </si>
  <si>
    <t>97,30</t>
  </si>
  <si>
    <t xml:space="preserve">Киров/Кировская область </t>
  </si>
  <si>
    <t>172,5</t>
  </si>
  <si>
    <t xml:space="preserve">Пахтусов С. </t>
  </si>
  <si>
    <t>Заплатина Полина</t>
  </si>
  <si>
    <t>Девушки 17-19 (24.09.2002)/18</t>
  </si>
  <si>
    <t>66,70</t>
  </si>
  <si>
    <t xml:space="preserve">Чайковский/Пермский край </t>
  </si>
  <si>
    <t>122,5</t>
  </si>
  <si>
    <t>127,5</t>
  </si>
  <si>
    <t xml:space="preserve">Килин Р. </t>
  </si>
  <si>
    <t>Верхоланцев Алексей</t>
  </si>
  <si>
    <t>Открытая (21.06.1989)/31</t>
  </si>
  <si>
    <t>99,60</t>
  </si>
  <si>
    <t>235,0</t>
  </si>
  <si>
    <t>245,0</t>
  </si>
  <si>
    <t>Никонов Владимир</t>
  </si>
  <si>
    <t>Открытая (22.12.1966)/54</t>
  </si>
  <si>
    <t>98,90</t>
  </si>
  <si>
    <t>205,0</t>
  </si>
  <si>
    <t>165,0</t>
  </si>
  <si>
    <t>3</t>
  </si>
  <si>
    <t>Тимофеев Антон</t>
  </si>
  <si>
    <t>Открытая (29.04.1985)/35</t>
  </si>
  <si>
    <t>Мастера 50-59 (22.12.1966)/54</t>
  </si>
  <si>
    <t>Новиков Георгий</t>
  </si>
  <si>
    <t>Открытая (23.07.1987)/33</t>
  </si>
  <si>
    <t>73,60</t>
  </si>
  <si>
    <t xml:space="preserve">Соликамск/Пермский край </t>
  </si>
  <si>
    <t>112,5</t>
  </si>
  <si>
    <t>ВЕСОВАЯ КАТЕГОРИЯ   125</t>
  </si>
  <si>
    <t>Пахтусов Семен</t>
  </si>
  <si>
    <t>Открытая (31.05.1996)/24</t>
  </si>
  <si>
    <t>122,10</t>
  </si>
  <si>
    <t>60,0</t>
  </si>
  <si>
    <t>ВЕСОВАЯ КАТЕГОРИЯ   140</t>
  </si>
  <si>
    <t>Одегов Сергей</t>
  </si>
  <si>
    <t>Открытая (02.10.1976)/44</t>
  </si>
  <si>
    <t>129,60</t>
  </si>
  <si>
    <t>295,0</t>
  </si>
  <si>
    <t>310,0</t>
  </si>
  <si>
    <t>325,0</t>
  </si>
  <si>
    <t>320,0</t>
  </si>
  <si>
    <t>345,0</t>
  </si>
  <si>
    <t>365,0</t>
  </si>
  <si>
    <t>61,50</t>
  </si>
  <si>
    <t>Косков Сергей</t>
  </si>
  <si>
    <t>Мастера 60-69 (03.01.1957)/64</t>
  </si>
  <si>
    <t>97,90</t>
  </si>
  <si>
    <t xml:space="preserve">Нытва/Пермский край </t>
  </si>
  <si>
    <t>197,5</t>
  </si>
  <si>
    <t>202,5</t>
  </si>
  <si>
    <t>Результат</t>
  </si>
  <si>
    <t>ВЕСОВАЯ КАТЕГОРИЯ   48</t>
  </si>
  <si>
    <t>Шульга Анастасия</t>
  </si>
  <si>
    <t>Открытая (01.09.1990)/30</t>
  </si>
  <si>
    <t>47,40</t>
  </si>
  <si>
    <t>Килина Вероника</t>
  </si>
  <si>
    <t>Открытая (09.03.1992)/28</t>
  </si>
  <si>
    <t>48,00</t>
  </si>
  <si>
    <t xml:space="preserve">Чернушка/Пермский край </t>
  </si>
  <si>
    <t xml:space="preserve">Щипицин А. </t>
  </si>
  <si>
    <t>Скляр Екатерина</t>
  </si>
  <si>
    <t>Мастера 40-49 (15.06.1978)/42</t>
  </si>
  <si>
    <t>47,70</t>
  </si>
  <si>
    <t>Ерофеева Елена</t>
  </si>
  <si>
    <t>Открытая (27.05.1984)/36</t>
  </si>
  <si>
    <t>50,90</t>
  </si>
  <si>
    <t xml:space="preserve">Калашников Е. </t>
  </si>
  <si>
    <t>Ефимова Дарья</t>
  </si>
  <si>
    <t>Открытая (29.10.1985)/35</t>
  </si>
  <si>
    <t>51,30</t>
  </si>
  <si>
    <t xml:space="preserve">Бахматов В. </t>
  </si>
  <si>
    <t>Менькова Елена</t>
  </si>
  <si>
    <t>Мастера 40-49 (02.01.1979)/42</t>
  </si>
  <si>
    <t>55,40</t>
  </si>
  <si>
    <t>42,5</t>
  </si>
  <si>
    <t xml:space="preserve">Сокольников Н. </t>
  </si>
  <si>
    <t>Завьялова Екатерина</t>
  </si>
  <si>
    <t>Юниорки (27.01.1998)/23</t>
  </si>
  <si>
    <t>58,50</t>
  </si>
  <si>
    <t xml:space="preserve">Некрасов И. </t>
  </si>
  <si>
    <t>Талипова Рамиля</t>
  </si>
  <si>
    <t>Открытая (26.05.1992)/28</t>
  </si>
  <si>
    <t>59,50</t>
  </si>
  <si>
    <t xml:space="preserve">Скобкарев Р. </t>
  </si>
  <si>
    <t>Смирных Яна</t>
  </si>
  <si>
    <t>Открытая (20.08.1990)/30</t>
  </si>
  <si>
    <t>59,70</t>
  </si>
  <si>
    <t>Бахарев Кирилл</t>
  </si>
  <si>
    <t>Юноши 14-16 (17.12.2004)/16</t>
  </si>
  <si>
    <t>65,90</t>
  </si>
  <si>
    <t xml:space="preserve">Бахарев О. </t>
  </si>
  <si>
    <t>Александров Вячеслав</t>
  </si>
  <si>
    <t>Юноши 14-16 (08.09.2006)/14</t>
  </si>
  <si>
    <t>64,50</t>
  </si>
  <si>
    <t xml:space="preserve">Москвин А. </t>
  </si>
  <si>
    <t>Открытая (17.12.2004)/16</t>
  </si>
  <si>
    <t>Дерябин Антон</t>
  </si>
  <si>
    <t>Юниоры (11.12.2000)/20</t>
  </si>
  <si>
    <t>72,80</t>
  </si>
  <si>
    <t xml:space="preserve">Петров В. </t>
  </si>
  <si>
    <t>Мальцев Павел</t>
  </si>
  <si>
    <t>Открытая (02.07.1990)/30</t>
  </si>
  <si>
    <t>74,90</t>
  </si>
  <si>
    <t>135,0</t>
  </si>
  <si>
    <t>Пихтовников Алексей</t>
  </si>
  <si>
    <t>Открытая (01.03.1991)/29</t>
  </si>
  <si>
    <t>74,30</t>
  </si>
  <si>
    <t xml:space="preserve">с.Ленск/Пермский край </t>
  </si>
  <si>
    <t>Шавшуков Петр</t>
  </si>
  <si>
    <t>Открытая (04.09.1986)/34</t>
  </si>
  <si>
    <t>4</t>
  </si>
  <si>
    <t>Бережной Артём</t>
  </si>
  <si>
    <t>Открытая (02.12.1992)/28</t>
  </si>
  <si>
    <t>73,30</t>
  </si>
  <si>
    <t xml:space="preserve">Полыгалова О. </t>
  </si>
  <si>
    <t>Сокольников Николай</t>
  </si>
  <si>
    <t>Мастера 50-59 (24.10.1970)/50</t>
  </si>
  <si>
    <t>Кухарев Дмитрий</t>
  </si>
  <si>
    <t>Открытая (16.02.1980)/41</t>
  </si>
  <si>
    <t>80,20</t>
  </si>
  <si>
    <t>152,5</t>
  </si>
  <si>
    <t>155,0</t>
  </si>
  <si>
    <t>Морозов Иван</t>
  </si>
  <si>
    <t>Открытая (20.01.1993)/28</t>
  </si>
  <si>
    <t>81,10</t>
  </si>
  <si>
    <t>147,5</t>
  </si>
  <si>
    <t>Маргарян Мартин</t>
  </si>
  <si>
    <t>Открытая (28.04.1994)/26</t>
  </si>
  <si>
    <t>80,40</t>
  </si>
  <si>
    <t>Солдатов Александр</t>
  </si>
  <si>
    <t>Открытая (29.09.1981)/39</t>
  </si>
  <si>
    <t>81,60</t>
  </si>
  <si>
    <t>5</t>
  </si>
  <si>
    <t>Юхнин Денис</t>
  </si>
  <si>
    <t>Открытая (07.11.1989)/31</t>
  </si>
  <si>
    <t>80,70</t>
  </si>
  <si>
    <t>6</t>
  </si>
  <si>
    <t>Кисляков Николай</t>
  </si>
  <si>
    <t>Открытая (18.12.1990)/30</t>
  </si>
  <si>
    <t>78,80</t>
  </si>
  <si>
    <t xml:space="preserve">Березники/Пермский край </t>
  </si>
  <si>
    <t>Харин Вячеслав</t>
  </si>
  <si>
    <t>Юноши 14-16 (03.10.2004)/16</t>
  </si>
  <si>
    <t>88,50</t>
  </si>
  <si>
    <t>Петров Илья</t>
  </si>
  <si>
    <t>Юниоры (16.06.1999)/21</t>
  </si>
  <si>
    <t>89,00</t>
  </si>
  <si>
    <t>Ашрафзянов Закий</t>
  </si>
  <si>
    <t>Открытая (07.06.1996)/24</t>
  </si>
  <si>
    <t>88,70</t>
  </si>
  <si>
    <t xml:space="preserve">Новиков И. </t>
  </si>
  <si>
    <t>Сергеев Игорь</t>
  </si>
  <si>
    <t>Открытая (10.02.1992)/29</t>
  </si>
  <si>
    <t>87,10</t>
  </si>
  <si>
    <t>157,5</t>
  </si>
  <si>
    <t>Коротких Александр</t>
  </si>
  <si>
    <t>Открытая (25.12.1997)/23</t>
  </si>
  <si>
    <t>89,40</t>
  </si>
  <si>
    <t xml:space="preserve">Краснокамск/Пермский край </t>
  </si>
  <si>
    <t>Вотяков Михаил</t>
  </si>
  <si>
    <t>Открытая (23.06.1993)/27</t>
  </si>
  <si>
    <t>87,40</t>
  </si>
  <si>
    <t>132,0</t>
  </si>
  <si>
    <t>Горбунов Алексей</t>
  </si>
  <si>
    <t>Открытая (12.03.1995)/25</t>
  </si>
  <si>
    <t>87,70</t>
  </si>
  <si>
    <t xml:space="preserve">Ашрафзянов З. </t>
  </si>
  <si>
    <t>Пасынков Роман</t>
  </si>
  <si>
    <t>Открытая (08.10.1982)/38</t>
  </si>
  <si>
    <t>89,60</t>
  </si>
  <si>
    <t xml:space="preserve">Баландин С. </t>
  </si>
  <si>
    <t>Алексей Ермишкин</t>
  </si>
  <si>
    <t>Открытая (31.03.1982)/38</t>
  </si>
  <si>
    <t>99,30</t>
  </si>
  <si>
    <t>162,5</t>
  </si>
  <si>
    <t>Королев Дмитрий</t>
  </si>
  <si>
    <t>Открытая (24.08.1990)/30</t>
  </si>
  <si>
    <t>95,00</t>
  </si>
  <si>
    <t>Афанасьев Дмитрий</t>
  </si>
  <si>
    <t>Открытая (11.07.1988)/32</t>
  </si>
  <si>
    <t>95,10</t>
  </si>
  <si>
    <t>Кургульский Денис</t>
  </si>
  <si>
    <t>Мастера 40-49 (11.02.1976)/45</t>
  </si>
  <si>
    <t>97,80</t>
  </si>
  <si>
    <t>ВЕСОВАЯ КАТЕГОРИЯ   110</t>
  </si>
  <si>
    <t>Бажуков Никита</t>
  </si>
  <si>
    <t>Открытая (31.07.1985)/35</t>
  </si>
  <si>
    <t>106,30</t>
  </si>
  <si>
    <t>167,5</t>
  </si>
  <si>
    <t>Карелин Дмитрий</t>
  </si>
  <si>
    <t>Открытая (28.03.1984)/36</t>
  </si>
  <si>
    <t>104,20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</si>
  <si>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</si>
  <si>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</si>
  <si>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</si>
  <si>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</si>
  <si>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</si>
  <si>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</si>
  <si>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>82.5</t>
  </si>
  <si>
    <t>90</t>
  </si>
  <si>
    <t>ВЕСОВАЯ КАТЕГОРИЯ   44</t>
  </si>
  <si>
    <t>Ошмарина Софья</t>
  </si>
  <si>
    <t>Девушки 14-16 (09.09.2005)/15</t>
  </si>
  <si>
    <t>43,40</t>
  </si>
  <si>
    <t xml:space="preserve">Малышев И. </t>
  </si>
  <si>
    <t>Гвоздева Валерия</t>
  </si>
  <si>
    <t>Девушки 14-16 (13.11.2005)/15</t>
  </si>
  <si>
    <t>51,80</t>
  </si>
  <si>
    <t>Лаврентьева Ольга</t>
  </si>
  <si>
    <t>Открытая (26.04.1983)/37</t>
  </si>
  <si>
    <t>55,50</t>
  </si>
  <si>
    <t xml:space="preserve">Завьялова А. </t>
  </si>
  <si>
    <t>Антонюк Оксана</t>
  </si>
  <si>
    <t>Мастера 40-49 (08.08.1978)/42</t>
  </si>
  <si>
    <t>Корягина Мальвина</t>
  </si>
  <si>
    <t>Девушки 14-16 (10.04.2005)/15</t>
  </si>
  <si>
    <t>63,10</t>
  </si>
  <si>
    <t xml:space="preserve">Кунгур/Пермский край </t>
  </si>
  <si>
    <t>82,5</t>
  </si>
  <si>
    <t xml:space="preserve">Зубко А. </t>
  </si>
  <si>
    <t>Открытая (10.04.2005)/15</t>
  </si>
  <si>
    <t>Краузе Наталья</t>
  </si>
  <si>
    <t>Открытая (19.09.1994)/26</t>
  </si>
  <si>
    <t>64,30</t>
  </si>
  <si>
    <t>Шаламова Ольга</t>
  </si>
  <si>
    <t>Мастера 40-49 (15.09.1977)/43</t>
  </si>
  <si>
    <t>71,40</t>
  </si>
  <si>
    <t>Ощепков Ярослав</t>
  </si>
  <si>
    <t>Юноши 14-16 (09.12.2008)/12</t>
  </si>
  <si>
    <t>51,00</t>
  </si>
  <si>
    <t xml:space="preserve">Новоильинский/Пермский край </t>
  </si>
  <si>
    <t xml:space="preserve">Попков А. </t>
  </si>
  <si>
    <t>Филимоненко Тимур</t>
  </si>
  <si>
    <t>Юноши 14-16 (19.02.2008)/13</t>
  </si>
  <si>
    <t>59,10</t>
  </si>
  <si>
    <t xml:space="preserve">Филимоненко В. </t>
  </si>
  <si>
    <t>Попов Валентин</t>
  </si>
  <si>
    <t>Юноши 14-16 (26.09.2006)/14</t>
  </si>
  <si>
    <t>59,30</t>
  </si>
  <si>
    <t>Юрлов Игорь</t>
  </si>
  <si>
    <t>Открытая (16.11.1996)/24</t>
  </si>
  <si>
    <t xml:space="preserve">Красильников П. </t>
  </si>
  <si>
    <t>Киселев Денис</t>
  </si>
  <si>
    <t>Мастера 40-49 (23.02.1980)/40</t>
  </si>
  <si>
    <t>65,70</t>
  </si>
  <si>
    <t>Ошмарин Владимир</t>
  </si>
  <si>
    <t>Мастера 50-59 (30.04.1967)/53</t>
  </si>
  <si>
    <t>62,40</t>
  </si>
  <si>
    <t>Попков Александр</t>
  </si>
  <si>
    <t>Открытая (03.09.1985)/35</t>
  </si>
  <si>
    <t>73,10</t>
  </si>
  <si>
    <t>Корнетов Дмитрий</t>
  </si>
  <si>
    <t>Открытая (26.10.1996)/24</t>
  </si>
  <si>
    <t>69,70</t>
  </si>
  <si>
    <t xml:space="preserve">Третьяков А. </t>
  </si>
  <si>
    <t>Кожухов Петр</t>
  </si>
  <si>
    <t>Мастера 40-49 (10.02.1980)/41</t>
  </si>
  <si>
    <t>74,10</t>
  </si>
  <si>
    <t xml:space="preserve">Верхоланцев А. </t>
  </si>
  <si>
    <t>Лукиных Никита</t>
  </si>
  <si>
    <t>Юниоры (23.07.2000)/20</t>
  </si>
  <si>
    <t>81,30</t>
  </si>
  <si>
    <t>Южаков Антон</t>
  </si>
  <si>
    <t>Открытая (18.02.1995)/26</t>
  </si>
  <si>
    <t>77,50</t>
  </si>
  <si>
    <t xml:space="preserve">Верещагино/Пермский край </t>
  </si>
  <si>
    <t>175,0</t>
  </si>
  <si>
    <t>182,5</t>
  </si>
  <si>
    <t>Политов Сергей</t>
  </si>
  <si>
    <t>Открытая (04.09.1991)/29</t>
  </si>
  <si>
    <t>80,90</t>
  </si>
  <si>
    <t>142,5</t>
  </si>
  <si>
    <t xml:space="preserve">Машанов Е. </t>
  </si>
  <si>
    <t>Тиунов Сергей</t>
  </si>
  <si>
    <t>Мастера 50-59 (08.10.1968)/52</t>
  </si>
  <si>
    <t>Мущинкин Владимир</t>
  </si>
  <si>
    <t>Юноши 17-19 (19.09.2002)/18</t>
  </si>
  <si>
    <t>88,30</t>
  </si>
  <si>
    <t>Бахматов Вадим</t>
  </si>
  <si>
    <t>Юниоры (05.03.1997)/23</t>
  </si>
  <si>
    <t>88,00</t>
  </si>
  <si>
    <t xml:space="preserve">Жилкин А. </t>
  </si>
  <si>
    <t>Томчук Алексадр</t>
  </si>
  <si>
    <t>Открытая (24.05.1987)/33</t>
  </si>
  <si>
    <t>88,40</t>
  </si>
  <si>
    <t xml:space="preserve">Аксентьев И. </t>
  </si>
  <si>
    <t>Коршунов Сергей</t>
  </si>
  <si>
    <t>Открытая (09.02.1995)/26</t>
  </si>
  <si>
    <t>86,30</t>
  </si>
  <si>
    <t>Москвин Андрей</t>
  </si>
  <si>
    <t>Открытая (08.09.1997)/23</t>
  </si>
  <si>
    <t>88,10</t>
  </si>
  <si>
    <t xml:space="preserve">Екатеринбург/Свердловская область </t>
  </si>
  <si>
    <t>Баженов Валерий</t>
  </si>
  <si>
    <t>Мастера 60-69 (16.08.1960)/60</t>
  </si>
  <si>
    <t>86,60</t>
  </si>
  <si>
    <t xml:space="preserve">Глазов/Удмуртия </t>
  </si>
  <si>
    <t>Лузин Иван</t>
  </si>
  <si>
    <t>Юноши 14-16 (24.02.2004)/16</t>
  </si>
  <si>
    <t>Открытая (07.08.1966)/54</t>
  </si>
  <si>
    <t>225,0</t>
  </si>
  <si>
    <t xml:space="preserve">Ромссомагин И. </t>
  </si>
  <si>
    <t>Машанов Егор</t>
  </si>
  <si>
    <t>Открытая (17.06.1991)/29</t>
  </si>
  <si>
    <t>97,20</t>
  </si>
  <si>
    <t>Шистеров Вячеслав</t>
  </si>
  <si>
    <t>Открытая (05.01.1987)/34</t>
  </si>
  <si>
    <t>97,60</t>
  </si>
  <si>
    <t>Степанов Илья</t>
  </si>
  <si>
    <t>Открытая (27.08.1987)/33</t>
  </si>
  <si>
    <t>94,90</t>
  </si>
  <si>
    <t>Абашкин Антон</t>
  </si>
  <si>
    <t>Открытая (08.01.1989)/32</t>
  </si>
  <si>
    <t>96,60</t>
  </si>
  <si>
    <t>Грэй Алексей</t>
  </si>
  <si>
    <t>Мастера 40-49 (05.12.1980)/40</t>
  </si>
  <si>
    <t>Бояркин Владимир</t>
  </si>
  <si>
    <t>Мастера 40-49 (06.12.1972)/48</t>
  </si>
  <si>
    <t>Аксентьев Игорь</t>
  </si>
  <si>
    <t>Мастера 50-59 (08.05.1965)/55</t>
  </si>
  <si>
    <t>95,30</t>
  </si>
  <si>
    <t>Лузин Сергей</t>
  </si>
  <si>
    <t>Мастера 60-69 (30.04.1954)/66</t>
  </si>
  <si>
    <t>92,60</t>
  </si>
  <si>
    <t>Манин Александр</t>
  </si>
  <si>
    <t>Открытая (11.01.1991)/30</t>
  </si>
  <si>
    <t>114,50</t>
  </si>
  <si>
    <t>Рябков Владимир</t>
  </si>
  <si>
    <t>Открытая (29.06.1991)/29</t>
  </si>
  <si>
    <t>116,70</t>
  </si>
  <si>
    <t xml:space="preserve">Суслов Н. </t>
  </si>
  <si>
    <t>100</t>
  </si>
  <si>
    <t>Сидельцев Роман</t>
  </si>
  <si>
    <t>Открытая (22.02.1991)/30</t>
  </si>
  <si>
    <t>81,95</t>
  </si>
  <si>
    <t>Ксёнушко Олег</t>
  </si>
  <si>
    <t>Мастера 60-69 (01.06.1951)/69</t>
  </si>
  <si>
    <t>86,95</t>
  </si>
  <si>
    <t>Бахарев Олег</t>
  </si>
  <si>
    <t>Открытая (12.05.1982)/38</t>
  </si>
  <si>
    <t>90,55</t>
  </si>
  <si>
    <t>Куликов Олег</t>
  </si>
  <si>
    <t>Открытая (09.03.1985)/35</t>
  </si>
  <si>
    <t xml:space="preserve">Шестаков М. </t>
  </si>
  <si>
    <t>Кивелев Иван</t>
  </si>
  <si>
    <t>Открытая (01.01.1991)/30</t>
  </si>
  <si>
    <t>Тохтуев Андрей</t>
  </si>
  <si>
    <t>Открытая (06.06.1982)/38</t>
  </si>
  <si>
    <t>322,5</t>
  </si>
  <si>
    <t>20,0</t>
  </si>
  <si>
    <t>77,5</t>
  </si>
  <si>
    <t>Мастера 60+ (16.08.1960)/60</t>
  </si>
  <si>
    <t>86,55</t>
  </si>
  <si>
    <t>87,5</t>
  </si>
  <si>
    <t>Задиранова Елизавета</t>
  </si>
  <si>
    <t>Открытая (25.02.1990)/30</t>
  </si>
  <si>
    <t xml:space="preserve">Сарахутдинов А. </t>
  </si>
  <si>
    <t>22,5</t>
  </si>
  <si>
    <t xml:space="preserve">Алербон Д. </t>
  </si>
  <si>
    <t>Рожков Сергей</t>
  </si>
  <si>
    <t>Открытая (05.04.1989)/31</t>
  </si>
  <si>
    <t>56,00</t>
  </si>
  <si>
    <t xml:space="preserve">Ширяев А. </t>
  </si>
  <si>
    <t>Багаев Олег</t>
  </si>
  <si>
    <t>Открытая (17.08.1992)/28</t>
  </si>
  <si>
    <t>58,55</t>
  </si>
  <si>
    <t xml:space="preserve">Тимофеев А., Некрасов И. </t>
  </si>
  <si>
    <t>Сергеев Олег</t>
  </si>
  <si>
    <t>Открытая (25.04.1988)/32</t>
  </si>
  <si>
    <t>73,45</t>
  </si>
  <si>
    <t xml:space="preserve">Лысьва/Пермский край </t>
  </si>
  <si>
    <t>Аникин Александр</t>
  </si>
  <si>
    <t>Открытая (13.03.1985)/35</t>
  </si>
  <si>
    <t>72,35</t>
  </si>
  <si>
    <t>Махнутин Павел</t>
  </si>
  <si>
    <t>Открытая (13.08.1983)/37</t>
  </si>
  <si>
    <t>72,55</t>
  </si>
  <si>
    <t>Гладких Артем</t>
  </si>
  <si>
    <t>Открытая (06.06.1995)/25</t>
  </si>
  <si>
    <t>70,70</t>
  </si>
  <si>
    <t>Фархутдинов Игорь</t>
  </si>
  <si>
    <t>Открытая (09.07.1982)/38</t>
  </si>
  <si>
    <t>81,65</t>
  </si>
  <si>
    <t>Соларёв Валентин</t>
  </si>
  <si>
    <t>Открытая (17.04.1988)/32</t>
  </si>
  <si>
    <t>88,95</t>
  </si>
  <si>
    <t>Вологжанин Павел</t>
  </si>
  <si>
    <t>Открытая (21.01.1988)/33</t>
  </si>
  <si>
    <t>85,85</t>
  </si>
  <si>
    <t>Колобов Виктор</t>
  </si>
  <si>
    <t>Открытая (17.04.1987)/33</t>
  </si>
  <si>
    <t>90,00</t>
  </si>
  <si>
    <t>56</t>
  </si>
  <si>
    <t>75</t>
  </si>
  <si>
    <t>Викулина Алина</t>
  </si>
  <si>
    <t>Девушки 17-19 (29.10.2003)/17</t>
  </si>
  <si>
    <t>58,70</t>
  </si>
  <si>
    <t xml:space="preserve">Чиркова М. </t>
  </si>
  <si>
    <t>Коркодинова Ольга</t>
  </si>
  <si>
    <t>Открытая (13.12.1982)/38</t>
  </si>
  <si>
    <t>59,00</t>
  </si>
  <si>
    <t xml:space="preserve">Зямилов А. </t>
  </si>
  <si>
    <t>Юрашкова Ольга</t>
  </si>
  <si>
    <t>Открытая (30.06.1976)/44</t>
  </si>
  <si>
    <t>62,50</t>
  </si>
  <si>
    <t>Кислова Кристина</t>
  </si>
  <si>
    <t>Открытая (23.12.1983)/37</t>
  </si>
  <si>
    <t>63,80</t>
  </si>
  <si>
    <t>97,5</t>
  </si>
  <si>
    <t>Мастера 40-49 (30.06.1976)/44</t>
  </si>
  <si>
    <t>Долина Варвара</t>
  </si>
  <si>
    <t>Мастера 40-49 (05.02.1972)/49</t>
  </si>
  <si>
    <t>66,20</t>
  </si>
  <si>
    <t xml:space="preserve">Брохман С. </t>
  </si>
  <si>
    <t>Годунина Надежда</t>
  </si>
  <si>
    <t>Мастера 50-59 (11.11.1970)/50</t>
  </si>
  <si>
    <t>68,90</t>
  </si>
  <si>
    <t>ВЕСОВАЯ КАТЕГОРИЯ   90+</t>
  </si>
  <si>
    <t>Титова Ирина</t>
  </si>
  <si>
    <t>Открытая (03.01.1974)/47</t>
  </si>
  <si>
    <t>94,80</t>
  </si>
  <si>
    <t>Щипицин Алексей</t>
  </si>
  <si>
    <t>Открытая (21.03.1991)/29</t>
  </si>
  <si>
    <t>67,50</t>
  </si>
  <si>
    <t>222,5</t>
  </si>
  <si>
    <t>Плотников Михаил</t>
  </si>
  <si>
    <t>Юниоры (15.05.2000)/20</t>
  </si>
  <si>
    <t>72,70</t>
  </si>
  <si>
    <t xml:space="preserve">Одегов С. </t>
  </si>
  <si>
    <t>Шишкин Евгений</t>
  </si>
  <si>
    <t>Открытая (22.08.1984)/36</t>
  </si>
  <si>
    <t>73,50</t>
  </si>
  <si>
    <t>207,5</t>
  </si>
  <si>
    <t>Белов Александр</t>
  </si>
  <si>
    <t>Юноши 14-16 (23.06.2004)/16</t>
  </si>
  <si>
    <t>Копылов Никита</t>
  </si>
  <si>
    <t>Юноши 17-19 (27.03.2002)/18</t>
  </si>
  <si>
    <t>76,10</t>
  </si>
  <si>
    <t>Подъячев Сергей</t>
  </si>
  <si>
    <t>Открытая (22.05.1985)/35</t>
  </si>
  <si>
    <t>77,60</t>
  </si>
  <si>
    <t>Бабаджанов Михаил</t>
  </si>
  <si>
    <t>Открытая (25.05.1988)/32</t>
  </si>
  <si>
    <t>107,80</t>
  </si>
  <si>
    <t xml:space="preserve">Подъячев С. </t>
  </si>
  <si>
    <t>Шадрина Татьяна</t>
  </si>
  <si>
    <t>Открытая (09.08.1993)/27</t>
  </si>
  <si>
    <t>54,00</t>
  </si>
  <si>
    <t xml:space="preserve">Тимофеев А. </t>
  </si>
  <si>
    <t>Кивелева Ирина</t>
  </si>
  <si>
    <t>Открытая (25.07.1987)/33</t>
  </si>
  <si>
    <t>74,60</t>
  </si>
  <si>
    <t>47,60</t>
  </si>
  <si>
    <t>Гурьянов Олег</t>
  </si>
  <si>
    <t>Юноши 14-16 (06.07.2006)/14</t>
  </si>
  <si>
    <t>58,30</t>
  </si>
  <si>
    <t>Шемякин Владимир</t>
  </si>
  <si>
    <t>Юноши 14-16 (01.07.2005)/15</t>
  </si>
  <si>
    <t>Давыдов Олег</t>
  </si>
  <si>
    <t>Юноши 14-16 (17.04.2006)/14</t>
  </si>
  <si>
    <t>61,20</t>
  </si>
  <si>
    <t>237,5</t>
  </si>
  <si>
    <t>Халимов Эдуард</t>
  </si>
  <si>
    <t>Мастера 40-49 (08.01.1976)/45</t>
  </si>
  <si>
    <t>81,50</t>
  </si>
  <si>
    <t>255,0</t>
  </si>
  <si>
    <t>290,0</t>
  </si>
  <si>
    <t>302,5</t>
  </si>
  <si>
    <t>312,5</t>
  </si>
  <si>
    <t>Зямилов Александр</t>
  </si>
  <si>
    <t>Открытая (10.01.1995)/26</t>
  </si>
  <si>
    <t>109,10</t>
  </si>
  <si>
    <t>Подъем на бицепс</t>
  </si>
  <si>
    <t>Ведерникова Елизавета</t>
  </si>
  <si>
    <t>55,65</t>
  </si>
  <si>
    <t xml:space="preserve">Ведерников П. </t>
  </si>
  <si>
    <t>17,5</t>
  </si>
  <si>
    <t>Лобанов Роман</t>
  </si>
  <si>
    <t>65,15</t>
  </si>
  <si>
    <t>Открытая (23.05.1997)/23</t>
  </si>
  <si>
    <t>Усков Владислав</t>
  </si>
  <si>
    <t>Открытая (17.03.1998)/22</t>
  </si>
  <si>
    <t>66,10</t>
  </si>
  <si>
    <t>78,75</t>
  </si>
  <si>
    <t>Лобанов Всеволод</t>
  </si>
  <si>
    <t>Открытая (10.12.1996)/24</t>
  </si>
  <si>
    <t>97,25</t>
  </si>
  <si>
    <t xml:space="preserve">Гонин И. </t>
  </si>
  <si>
    <t>Котухов Данил</t>
  </si>
  <si>
    <t>106,85</t>
  </si>
  <si>
    <t>Алербон Дмитрий</t>
  </si>
  <si>
    <t>Открытая (23.08.1977)/43</t>
  </si>
  <si>
    <t>106,70</t>
  </si>
  <si>
    <t xml:space="preserve">Ижевск/Республика Удмуртия </t>
  </si>
  <si>
    <t>Мастерский турнир "Стань Легендой"
WRPF любители Пауэрлифтинг без экипировки ДК
Пермь/Пермский край, 21 февраля 2021 года</t>
  </si>
  <si>
    <t>Мастерский турнир "Стань Легендой"
WRPF любители Пауэрлифтинг без экипировки
Пермь/Пермский край, 21 февраля 2021 года</t>
  </si>
  <si>
    <t>Мастерский турнир "Стань Легендой"
WRPF любители Пауэрлифтинг классический в бинтах ДК
Пермь/Пермский край, 21 февраля 2021 года</t>
  </si>
  <si>
    <t>Мастерский турнир "Стань Легендой"
WRPF любители Пауэрлифтинг классический в бинтах
Пермь/Пермский край, 21 февраля 2021 года</t>
  </si>
  <si>
    <t>Мастерский турнир "Стань Легендой"
WRPF любители Силовое двоеборье без экипировки ДК
Пермь/Пермский край, 21 февраля 2021 года</t>
  </si>
  <si>
    <t>Мастерский турнир "Стань Легендой"
WRPF любители Жим лежа без экипировки ДК
Пермь/Пермский край, 21 февраля 2021 года</t>
  </si>
  <si>
    <t>Мастерский турнир "Стань Легендой"
WRPF любители Жим лежа без экипировки
Пермь/Пермский край, 21 февраля 2021 года</t>
  </si>
  <si>
    <t>Мастерский турнир "Стань Легендой"
WEPF Жим лежа в однопетельной софт экипировке ДК
Пермь/Пермский край, 21 февраля 2021 года</t>
  </si>
  <si>
    <t>Мастерский турнир "Стань Легендой"
WEPF Жим лежа в однопетельной софт экипировке
Пермь/Пермский край, 21 февраля 2021 года</t>
  </si>
  <si>
    <t>Мастерский турнир "Стань Легендой"
WEPF Жим лежа в многопетельной софт экипировке ДК
Пермь/Пермский край, 21 февраля 2021 года</t>
  </si>
  <si>
    <t>Мастерский турнир "Стань Легендой"
WRPF Жим лежа СФО
Пермь/Пермский край, 21 февраля 2021 года</t>
  </si>
  <si>
    <t>Мастерский турнир "Стань Легендой"
WRPF любители Становая тяга без экипировки ДК
Пермь/Пермский край, 21 февраля 2021 года</t>
  </si>
  <si>
    <t>Мастерский турнир "Стань Легендой"
WRPF любители Становая тяга без экипировки
Пермь/Пермский край, 21 февраля 2021 года</t>
  </si>
  <si>
    <t>Мастерский турнир "Стань Легендой"
WRPF Строгий подъем штанги на бицепс
Пермь/Пермский край, 21 февраля 2021 года</t>
  </si>
  <si>
    <t xml:space="preserve">Сарапул/Республика Удмуртия </t>
  </si>
  <si>
    <t>Весовая категория</t>
  </si>
  <si>
    <t xml:space="preserve"> Манин А. </t>
  </si>
  <si>
    <t xml:space="preserve">Козлович М. </t>
  </si>
  <si>
    <t xml:space="preserve">Смолоногов В. </t>
  </si>
  <si>
    <t xml:space="preserve">Сургут/ХМАО </t>
  </si>
  <si>
    <t xml:space="preserve">Глазов/Республика Удмуртия </t>
  </si>
  <si>
    <t>Девушки 13-19 (23.04.2007)/13</t>
  </si>
  <si>
    <t>Юниоры 20-23 (23.05.1997)/23</t>
  </si>
  <si>
    <t>Юниоры 20-23 (24.05.2000)/20</t>
  </si>
  <si>
    <t>№</t>
  </si>
  <si>
    <t xml:space="preserve">
Дата рождения/Возраст</t>
  </si>
  <si>
    <t>Возрастная группа</t>
  </si>
  <si>
    <t>O</t>
  </si>
  <si>
    <t>J</t>
  </si>
  <si>
    <t>T1</t>
  </si>
  <si>
    <t>M2</t>
  </si>
  <si>
    <t>T2</t>
  </si>
  <si>
    <t>M3</t>
  </si>
  <si>
    <t>M1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</si>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</sst>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color rgb="FF000000"/>
      <name val="Arimo"/>
    </font>
    <font>
      <b/>
      <sz val="2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trike/>
      <sz val="10"/>
      <color rgb="FFC0504D"/>
      <name val="Arial"/>
      <family val="2"/>
    </font>
    <font>
      <sz val="14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rgb="FFD7E4BE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0" borderId="0" xfId="0" applyFont="1" applyAlignment="1"/>
    <xf numFmtId="49" fontId="4" fillId="0" borderId="1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49" fontId="6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3" fillId="0" borderId="0" xfId="0" applyNumberFormat="1" applyFont="1" applyAlignment="1"/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/>
    <xf numFmtId="4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49" fontId="4" fillId="0" borderId="9" xfId="0" applyNumberFormat="1" applyFont="1" applyBorder="1" applyAlignment="1">
      <alignment horizontal="center" vertical="center"/>
    </xf>
    <xf numFmtId="0" fontId="2" fillId="0" borderId="15" xfId="0" applyFont="1" applyBorder="1"/>
    <xf numFmtId="49" fontId="4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49" fontId="4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4" fillId="0" borderId="7" xfId="0" applyNumberFormat="1" applyFont="1" applyBorder="1" applyAlignment="1">
      <alignment horizontal="center" vertical="center"/>
    </xf>
    <xf numFmtId="0" fontId="2" fillId="0" borderId="14" xfId="0" applyFont="1" applyBorder="1"/>
    <xf numFmtId="49" fontId="4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0" fontId="2" fillId="0" borderId="17" xfId="0" applyFont="1" applyBorder="1"/>
    <xf numFmtId="164" fontId="4" fillId="0" borderId="9" xfId="0" applyNumberFormat="1" applyFont="1" applyBorder="1" applyAlignment="1">
      <alignment horizontal="center" vertical="center"/>
    </xf>
    <xf numFmtId="164" fontId="2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workbookViewId="0">
      <selection sqref="A1:U2"/>
    </sheetView>
  </sheetViews>
  <sheetFormatPr baseColWidth="10" defaultColWidth="12.6640625" defaultRowHeight="15" customHeight="1"/>
  <cols>
    <col min="1" max="1" width="8.1640625" style="1" bestFit="1" customWidth="1"/>
    <col min="2" max="2" width="24" style="1" customWidth="1"/>
    <col min="3" max="3" width="28.33203125" style="1" customWidth="1"/>
    <col min="4" max="4" width="14.83203125" style="1" customWidth="1"/>
    <col min="5" max="5" width="11.1640625" style="1" customWidth="1"/>
    <col min="6" max="6" width="32" style="1" customWidth="1"/>
    <col min="7" max="18" width="5.5" style="1" customWidth="1"/>
    <col min="19" max="19" width="8.6640625" style="27" bestFit="1" customWidth="1"/>
    <col min="20" max="20" width="10.33203125" style="1" bestFit="1" customWidth="1"/>
    <col min="21" max="21" width="22.1640625" style="1" customWidth="1"/>
    <col min="22" max="16384" width="12.6640625" style="1"/>
  </cols>
  <sheetData>
    <row r="1" spans="1:21" ht="28.5" customHeight="1">
      <c r="A1" s="43" t="s">
        <v>625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4"/>
    </row>
    <row r="2" spans="1:21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3</v>
      </c>
      <c r="H3" s="40"/>
      <c r="I3" s="40"/>
      <c r="J3" s="41"/>
      <c r="K3" s="39" t="s">
        <v>4</v>
      </c>
      <c r="L3" s="40"/>
      <c r="M3" s="40"/>
      <c r="N3" s="41"/>
      <c r="O3" s="39" t="s">
        <v>5</v>
      </c>
      <c r="P3" s="40"/>
      <c r="Q3" s="40"/>
      <c r="R3" s="41"/>
      <c r="S3" s="53" t="s">
        <v>6</v>
      </c>
      <c r="T3" s="37" t="s">
        <v>7</v>
      </c>
      <c r="U3" s="51" t="s">
        <v>8</v>
      </c>
    </row>
    <row r="4" spans="1:21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2">
        <v>1</v>
      </c>
      <c r="L4" s="2">
        <v>2</v>
      </c>
      <c r="M4" s="2">
        <v>3</v>
      </c>
      <c r="N4" s="2" t="s">
        <v>9</v>
      </c>
      <c r="O4" s="2">
        <v>1</v>
      </c>
      <c r="P4" s="2">
        <v>2</v>
      </c>
      <c r="Q4" s="2">
        <v>3</v>
      </c>
      <c r="R4" s="2" t="s">
        <v>9</v>
      </c>
      <c r="S4" s="54"/>
      <c r="T4" s="38"/>
      <c r="U4" s="52"/>
    </row>
    <row r="5" spans="1:21" ht="16">
      <c r="A5" s="35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22"/>
      <c r="T5" s="3"/>
      <c r="U5" s="4"/>
    </row>
    <row r="6" spans="1:21" ht="13">
      <c r="A6" s="5" t="s">
        <v>11</v>
      </c>
      <c r="B6" s="6" t="s">
        <v>12</v>
      </c>
      <c r="C6" s="6" t="s">
        <v>13</v>
      </c>
      <c r="D6" s="6" t="s">
        <v>14</v>
      </c>
      <c r="E6" s="6" t="s">
        <v>652</v>
      </c>
      <c r="F6" s="6" t="s">
        <v>15</v>
      </c>
      <c r="G6" s="7" t="s">
        <v>16</v>
      </c>
      <c r="H6" s="8" t="s">
        <v>17</v>
      </c>
      <c r="I6" s="8" t="s">
        <v>17</v>
      </c>
      <c r="J6" s="5"/>
      <c r="K6" s="7" t="s">
        <v>18</v>
      </c>
      <c r="L6" s="8" t="s">
        <v>19</v>
      </c>
      <c r="M6" s="8" t="s">
        <v>19</v>
      </c>
      <c r="N6" s="5"/>
      <c r="O6" s="7" t="s">
        <v>20</v>
      </c>
      <c r="P6" s="7" t="s">
        <v>21</v>
      </c>
      <c r="Q6" s="7" t="s">
        <v>22</v>
      </c>
      <c r="R6" s="5"/>
      <c r="S6" s="23" t="str">
        <f>"265,0"</f>
        <v>265,0</v>
      </c>
      <c r="T6" s="5" t="str">
        <f>"332,3365"</f>
        <v>332,3365</v>
      </c>
      <c r="U6" s="6" t="s">
        <v>23</v>
      </c>
    </row>
    <row r="7" spans="1:21" ht="13">
      <c r="A7" s="9" t="s">
        <v>24</v>
      </c>
      <c r="B7" s="10" t="s">
        <v>25</v>
      </c>
      <c r="C7" s="10" t="s">
        <v>26</v>
      </c>
      <c r="D7" s="10" t="s">
        <v>27</v>
      </c>
      <c r="E7" s="10" t="s">
        <v>652</v>
      </c>
      <c r="F7" s="10" t="s">
        <v>15</v>
      </c>
      <c r="G7" s="11" t="s">
        <v>28</v>
      </c>
      <c r="H7" s="12" t="s">
        <v>28</v>
      </c>
      <c r="I7" s="12" t="s">
        <v>29</v>
      </c>
      <c r="J7" s="9"/>
      <c r="K7" s="12" t="s">
        <v>30</v>
      </c>
      <c r="L7" s="12" t="s">
        <v>31</v>
      </c>
      <c r="M7" s="11" t="s">
        <v>32</v>
      </c>
      <c r="N7" s="9"/>
      <c r="O7" s="12" t="s">
        <v>29</v>
      </c>
      <c r="P7" s="12" t="s">
        <v>33</v>
      </c>
      <c r="Q7" s="12" t="s">
        <v>34</v>
      </c>
      <c r="R7" s="9"/>
      <c r="S7" s="24" t="str">
        <f>"227,5"</f>
        <v>227,5</v>
      </c>
      <c r="T7" s="9" t="str">
        <f>"285,7400"</f>
        <v>285,7400</v>
      </c>
      <c r="U7" s="10" t="s">
        <v>23</v>
      </c>
    </row>
    <row r="8" spans="1:21" ht="13">
      <c r="A8" s="4"/>
      <c r="B8" s="4" t="s">
        <v>35</v>
      </c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2"/>
      <c r="T8" s="3"/>
      <c r="U8" s="4"/>
    </row>
    <row r="9" spans="1:21" ht="16">
      <c r="A9" s="33" t="s">
        <v>36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22"/>
      <c r="T9" s="3"/>
      <c r="U9" s="4"/>
    </row>
    <row r="10" spans="1:21" ht="13">
      <c r="A10" s="14" t="s">
        <v>11</v>
      </c>
      <c r="B10" s="15" t="s">
        <v>37</v>
      </c>
      <c r="C10" s="15" t="s">
        <v>38</v>
      </c>
      <c r="D10" s="15" t="s">
        <v>39</v>
      </c>
      <c r="E10" s="15" t="s">
        <v>652</v>
      </c>
      <c r="F10" s="15" t="s">
        <v>15</v>
      </c>
      <c r="G10" s="16" t="s">
        <v>40</v>
      </c>
      <c r="H10" s="16" t="s">
        <v>28</v>
      </c>
      <c r="I10" s="17" t="s">
        <v>33</v>
      </c>
      <c r="J10" s="14"/>
      <c r="K10" s="17" t="s">
        <v>41</v>
      </c>
      <c r="L10" s="16" t="s">
        <v>30</v>
      </c>
      <c r="M10" s="17" t="s">
        <v>31</v>
      </c>
      <c r="N10" s="14"/>
      <c r="O10" s="16" t="s">
        <v>22</v>
      </c>
      <c r="P10" s="16" t="s">
        <v>42</v>
      </c>
      <c r="Q10" s="14"/>
      <c r="R10" s="14"/>
      <c r="S10" s="25" t="str">
        <f>"245,0"</f>
        <v>245,0</v>
      </c>
      <c r="T10" s="14" t="str">
        <f>"300,9580"</f>
        <v>300,9580</v>
      </c>
      <c r="U10" s="15" t="s">
        <v>101</v>
      </c>
    </row>
    <row r="11" spans="1:21" ht="13">
      <c r="A11" s="4"/>
      <c r="B11" s="4" t="s">
        <v>35</v>
      </c>
      <c r="C11" s="4"/>
      <c r="D11" s="4"/>
      <c r="E11" s="4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22"/>
      <c r="T11" s="3"/>
      <c r="U11" s="4"/>
    </row>
    <row r="12" spans="1:21" ht="16">
      <c r="A12" s="33" t="s">
        <v>43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22"/>
      <c r="T12" s="3"/>
      <c r="U12" s="4"/>
    </row>
    <row r="13" spans="1:21" ht="13">
      <c r="A13" s="14" t="s">
        <v>11</v>
      </c>
      <c r="B13" s="15" t="s">
        <v>44</v>
      </c>
      <c r="C13" s="15" t="s">
        <v>45</v>
      </c>
      <c r="D13" s="15" t="s">
        <v>46</v>
      </c>
      <c r="E13" s="15" t="s">
        <v>652</v>
      </c>
      <c r="F13" s="15" t="s">
        <v>624</v>
      </c>
      <c r="G13" s="16" t="s">
        <v>30</v>
      </c>
      <c r="H13" s="16" t="s">
        <v>18</v>
      </c>
      <c r="I13" s="16" t="s">
        <v>47</v>
      </c>
      <c r="J13" s="14"/>
      <c r="K13" s="16" t="s">
        <v>48</v>
      </c>
      <c r="L13" s="16" t="s">
        <v>49</v>
      </c>
      <c r="M13" s="16" t="s">
        <v>50</v>
      </c>
      <c r="N13" s="14"/>
      <c r="O13" s="16" t="s">
        <v>34</v>
      </c>
      <c r="P13" s="16" t="s">
        <v>17</v>
      </c>
      <c r="Q13" s="16" t="s">
        <v>21</v>
      </c>
      <c r="R13" s="14"/>
      <c r="S13" s="25" t="str">
        <f>"207,5"</f>
        <v>207,5</v>
      </c>
      <c r="T13" s="14" t="str">
        <f>"233,7695"</f>
        <v>233,7695</v>
      </c>
      <c r="U13" s="15"/>
    </row>
    <row r="14" spans="1:21" ht="13">
      <c r="A14" s="4"/>
      <c r="B14" s="4" t="s">
        <v>35</v>
      </c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2"/>
      <c r="T14" s="3"/>
      <c r="U14" s="4"/>
    </row>
    <row r="15" spans="1:21" ht="16">
      <c r="A15" s="33" t="s">
        <v>51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22"/>
      <c r="T15" s="3"/>
      <c r="U15" s="4"/>
    </row>
    <row r="16" spans="1:21" ht="13">
      <c r="A16" s="14" t="s">
        <v>52</v>
      </c>
      <c r="B16" s="15" t="s">
        <v>53</v>
      </c>
      <c r="C16" s="15" t="s">
        <v>54</v>
      </c>
      <c r="D16" s="15" t="s">
        <v>55</v>
      </c>
      <c r="E16" s="15" t="s">
        <v>653</v>
      </c>
      <c r="F16" s="15" t="s">
        <v>624</v>
      </c>
      <c r="G16" s="17" t="s">
        <v>29</v>
      </c>
      <c r="H16" s="17" t="s">
        <v>29</v>
      </c>
      <c r="I16" s="14"/>
      <c r="J16" s="14"/>
      <c r="K16" s="17"/>
      <c r="L16" s="14"/>
      <c r="M16" s="14"/>
      <c r="N16" s="14"/>
      <c r="O16" s="17"/>
      <c r="P16" s="14"/>
      <c r="Q16" s="14"/>
      <c r="R16" s="14"/>
      <c r="S16" s="25">
        <v>0</v>
      </c>
      <c r="T16" s="14" t="str">
        <f>"0,0000"</f>
        <v>0,0000</v>
      </c>
      <c r="U16" s="15"/>
    </row>
    <row r="17" spans="1:21" ht="13">
      <c r="A17" s="4"/>
      <c r="B17" s="4" t="s">
        <v>35</v>
      </c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2"/>
      <c r="T17" s="3"/>
      <c r="U17" s="4"/>
    </row>
    <row r="18" spans="1:21" ht="16">
      <c r="A18" s="33" t="s">
        <v>57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22"/>
      <c r="T18" s="3"/>
      <c r="U18" s="4"/>
    </row>
    <row r="19" spans="1:21" ht="13">
      <c r="A19" s="14" t="s">
        <v>11</v>
      </c>
      <c r="B19" s="15" t="s">
        <v>58</v>
      </c>
      <c r="C19" s="15" t="s">
        <v>59</v>
      </c>
      <c r="D19" s="15" t="s">
        <v>60</v>
      </c>
      <c r="E19" s="15" t="s">
        <v>652</v>
      </c>
      <c r="F19" s="15" t="s">
        <v>15</v>
      </c>
      <c r="G19" s="17" t="s">
        <v>61</v>
      </c>
      <c r="H19" s="16" t="s">
        <v>62</v>
      </c>
      <c r="I19" s="16" t="s">
        <v>63</v>
      </c>
      <c r="J19" s="14"/>
      <c r="K19" s="16" t="s">
        <v>20</v>
      </c>
      <c r="L19" s="17" t="s">
        <v>22</v>
      </c>
      <c r="M19" s="17" t="s">
        <v>64</v>
      </c>
      <c r="N19" s="14"/>
      <c r="O19" s="16" t="s">
        <v>65</v>
      </c>
      <c r="P19" s="16" t="s">
        <v>66</v>
      </c>
      <c r="Q19" s="16" t="s">
        <v>67</v>
      </c>
      <c r="R19" s="14"/>
      <c r="S19" s="25" t="str">
        <f>"500,0"</f>
        <v>500,0</v>
      </c>
      <c r="T19" s="14" t="str">
        <f>"357,3000"</f>
        <v>357,3000</v>
      </c>
      <c r="U19" s="15" t="s">
        <v>101</v>
      </c>
    </row>
    <row r="20" spans="1:21" ht="13">
      <c r="A20" s="4"/>
      <c r="B20" s="4" t="s">
        <v>35</v>
      </c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2"/>
      <c r="T20" s="3"/>
      <c r="U20" s="4"/>
    </row>
    <row r="21" spans="1:21" ht="16">
      <c r="A21" s="33" t="s">
        <v>68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22"/>
      <c r="T21" s="3"/>
      <c r="U21" s="4"/>
    </row>
    <row r="22" spans="1:21" ht="13" customHeight="1">
      <c r="A22" s="5" t="s">
        <v>11</v>
      </c>
      <c r="B22" s="6" t="s">
        <v>69</v>
      </c>
      <c r="C22" s="6" t="s">
        <v>70</v>
      </c>
      <c r="D22" s="6" t="s">
        <v>71</v>
      </c>
      <c r="E22" s="6" t="s">
        <v>654</v>
      </c>
      <c r="F22" s="6" t="s">
        <v>624</v>
      </c>
      <c r="G22" s="7" t="s">
        <v>33</v>
      </c>
      <c r="H22" s="7" t="s">
        <v>20</v>
      </c>
      <c r="I22" s="8" t="s">
        <v>42</v>
      </c>
      <c r="J22" s="5"/>
      <c r="K22" s="7" t="s">
        <v>72</v>
      </c>
      <c r="L22" s="7" t="s">
        <v>73</v>
      </c>
      <c r="M22" s="7" t="s">
        <v>28</v>
      </c>
      <c r="N22" s="5"/>
      <c r="O22" s="7" t="s">
        <v>64</v>
      </c>
      <c r="P22" s="7" t="s">
        <v>74</v>
      </c>
      <c r="Q22" s="8" t="s">
        <v>75</v>
      </c>
      <c r="R22" s="5"/>
      <c r="S22" s="23" t="str">
        <f>"317,5"</f>
        <v>317,5</v>
      </c>
      <c r="T22" s="5" t="str">
        <f>"212,8520"</f>
        <v>212,8520</v>
      </c>
      <c r="U22" s="6"/>
    </row>
    <row r="23" spans="1:21" ht="13" customHeight="1">
      <c r="A23" s="18" t="s">
        <v>11</v>
      </c>
      <c r="B23" s="19" t="s">
        <v>76</v>
      </c>
      <c r="C23" s="19" t="s">
        <v>77</v>
      </c>
      <c r="D23" s="19" t="s">
        <v>78</v>
      </c>
      <c r="E23" s="19" t="s">
        <v>652</v>
      </c>
      <c r="F23" s="19" t="s">
        <v>15</v>
      </c>
      <c r="G23" s="20" t="s">
        <v>66</v>
      </c>
      <c r="H23" s="18"/>
      <c r="I23" s="18"/>
      <c r="J23" s="18"/>
      <c r="K23" s="20" t="s">
        <v>16</v>
      </c>
      <c r="L23" s="20" t="s">
        <v>22</v>
      </c>
      <c r="M23" s="21" t="s">
        <v>79</v>
      </c>
      <c r="N23" s="18"/>
      <c r="O23" s="20" t="s">
        <v>80</v>
      </c>
      <c r="P23" s="20" t="s">
        <v>81</v>
      </c>
      <c r="Q23" s="18"/>
      <c r="R23" s="18"/>
      <c r="S23" s="26" t="str">
        <f>"540,0"</f>
        <v>540,0</v>
      </c>
      <c r="T23" s="18" t="str">
        <f>"365,7960"</f>
        <v>365,7960</v>
      </c>
      <c r="U23" s="19"/>
    </row>
    <row r="24" spans="1:21" ht="13" customHeight="1">
      <c r="A24" s="18" t="s">
        <v>24</v>
      </c>
      <c r="B24" s="19" t="s">
        <v>82</v>
      </c>
      <c r="C24" s="19" t="s">
        <v>83</v>
      </c>
      <c r="D24" s="19" t="s">
        <v>84</v>
      </c>
      <c r="E24" s="19" t="s">
        <v>652</v>
      </c>
      <c r="F24" s="19" t="s">
        <v>85</v>
      </c>
      <c r="G24" s="20" t="s">
        <v>86</v>
      </c>
      <c r="H24" s="20" t="s">
        <v>87</v>
      </c>
      <c r="I24" s="21" t="s">
        <v>88</v>
      </c>
      <c r="J24" s="18"/>
      <c r="K24" s="20" t="s">
        <v>22</v>
      </c>
      <c r="L24" s="20" t="s">
        <v>64</v>
      </c>
      <c r="M24" s="21" t="s">
        <v>42</v>
      </c>
      <c r="N24" s="18"/>
      <c r="O24" s="20" t="s">
        <v>86</v>
      </c>
      <c r="P24" s="20" t="s">
        <v>89</v>
      </c>
      <c r="Q24" s="20" t="s">
        <v>88</v>
      </c>
      <c r="R24" s="18"/>
      <c r="S24" s="26" t="str">
        <f>"402,5"</f>
        <v>402,5</v>
      </c>
      <c r="T24" s="18" t="str">
        <f>"275,4308"</f>
        <v>275,4308</v>
      </c>
      <c r="U24" s="19" t="s">
        <v>90</v>
      </c>
    </row>
    <row r="25" spans="1:21" ht="13" customHeight="1">
      <c r="A25" s="9" t="s">
        <v>11</v>
      </c>
      <c r="B25" s="10" t="s">
        <v>91</v>
      </c>
      <c r="C25" s="10" t="s">
        <v>92</v>
      </c>
      <c r="D25" s="10" t="s">
        <v>93</v>
      </c>
      <c r="E25" s="10" t="s">
        <v>655</v>
      </c>
      <c r="F25" s="10" t="s">
        <v>15</v>
      </c>
      <c r="G25" s="12" t="s">
        <v>61</v>
      </c>
      <c r="H25" s="12" t="s">
        <v>62</v>
      </c>
      <c r="I25" s="11" t="s">
        <v>65</v>
      </c>
      <c r="J25" s="9"/>
      <c r="K25" s="12" t="s">
        <v>33</v>
      </c>
      <c r="L25" s="12" t="s">
        <v>16</v>
      </c>
      <c r="M25" s="12" t="s">
        <v>20</v>
      </c>
      <c r="N25" s="9"/>
      <c r="O25" s="12" t="s">
        <v>62</v>
      </c>
      <c r="P25" s="12" t="s">
        <v>65</v>
      </c>
      <c r="Q25" s="11" t="s">
        <v>94</v>
      </c>
      <c r="R25" s="9"/>
      <c r="S25" s="24" t="str">
        <f>"455,0"</f>
        <v>455,0</v>
      </c>
      <c r="T25" s="9" t="str">
        <f>"404,8326"</f>
        <v>404,8326</v>
      </c>
      <c r="U25" s="10" t="s">
        <v>95</v>
      </c>
    </row>
    <row r="26" spans="1:21" ht="13" customHeight="1">
      <c r="A26" s="4"/>
      <c r="B26" s="4" t="s">
        <v>35</v>
      </c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2"/>
      <c r="T26" s="3"/>
      <c r="U26" s="4"/>
    </row>
    <row r="27" spans="1:21" ht="16">
      <c r="A27" s="33" t="s">
        <v>96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22"/>
      <c r="T27" s="3"/>
      <c r="U27" s="4"/>
    </row>
    <row r="28" spans="1:21" ht="13" customHeight="1">
      <c r="A28" s="5" t="s">
        <v>11</v>
      </c>
      <c r="B28" s="6" t="s">
        <v>97</v>
      </c>
      <c r="C28" s="6" t="s">
        <v>98</v>
      </c>
      <c r="D28" s="6" t="s">
        <v>99</v>
      </c>
      <c r="E28" s="6" t="s">
        <v>652</v>
      </c>
      <c r="F28" s="6" t="s">
        <v>15</v>
      </c>
      <c r="G28" s="7" t="s">
        <v>61</v>
      </c>
      <c r="H28" s="7" t="s">
        <v>65</v>
      </c>
      <c r="I28" s="8" t="s">
        <v>94</v>
      </c>
      <c r="J28" s="5"/>
      <c r="K28" s="7" t="s">
        <v>22</v>
      </c>
      <c r="L28" s="7" t="s">
        <v>42</v>
      </c>
      <c r="M28" s="7" t="s">
        <v>100</v>
      </c>
      <c r="N28" s="5"/>
      <c r="O28" s="7" t="s">
        <v>65</v>
      </c>
      <c r="P28" s="7" t="s">
        <v>66</v>
      </c>
      <c r="Q28" s="7" t="s">
        <v>67</v>
      </c>
      <c r="R28" s="5"/>
      <c r="S28" s="23" t="str">
        <f>"515,0"</f>
        <v>515,0</v>
      </c>
      <c r="T28" s="5" t="str">
        <f>"314,9740"</f>
        <v>314,9740</v>
      </c>
      <c r="U28" s="6" t="s">
        <v>101</v>
      </c>
    </row>
    <row r="29" spans="1:21" ht="13" customHeight="1">
      <c r="A29" s="9" t="s">
        <v>24</v>
      </c>
      <c r="B29" s="10" t="s">
        <v>102</v>
      </c>
      <c r="C29" s="10" t="s">
        <v>103</v>
      </c>
      <c r="D29" s="10" t="s">
        <v>104</v>
      </c>
      <c r="E29" s="10" t="s">
        <v>652</v>
      </c>
      <c r="F29" s="10" t="s">
        <v>15</v>
      </c>
      <c r="G29" s="12" t="s">
        <v>89</v>
      </c>
      <c r="H29" s="11" t="s">
        <v>88</v>
      </c>
      <c r="I29" s="11" t="s">
        <v>88</v>
      </c>
      <c r="J29" s="9"/>
      <c r="K29" s="12" t="s">
        <v>22</v>
      </c>
      <c r="L29" s="12" t="s">
        <v>42</v>
      </c>
      <c r="M29" s="11" t="s">
        <v>86</v>
      </c>
      <c r="N29" s="9"/>
      <c r="O29" s="12" t="s">
        <v>65</v>
      </c>
      <c r="P29" s="11" t="s">
        <v>66</v>
      </c>
      <c r="Q29" s="11" t="s">
        <v>66</v>
      </c>
      <c r="R29" s="9"/>
      <c r="S29" s="24" t="str">
        <f>"440,0"</f>
        <v>440,0</v>
      </c>
      <c r="T29" s="9" t="str">
        <f>"267,8720"</f>
        <v>267,8720</v>
      </c>
      <c r="U29" s="10" t="s">
        <v>101</v>
      </c>
    </row>
    <row r="30" spans="1:21" ht="12.75" customHeight="1">
      <c r="A30" s="4"/>
      <c r="B30" s="4" t="s">
        <v>35</v>
      </c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2"/>
      <c r="T30" s="3"/>
      <c r="U30" s="4"/>
    </row>
    <row r="31" spans="1:21" ht="12.75" customHeight="1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3"/>
      <c r="U31" s="4"/>
    </row>
    <row r="32" spans="1:21" ht="12.75" customHeight="1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2"/>
      <c r="T32" s="3"/>
      <c r="U32" s="4"/>
    </row>
    <row r="33" spans="1:21" ht="12.75" customHeight="1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2"/>
      <c r="T33" s="3"/>
      <c r="U33" s="4"/>
    </row>
    <row r="34" spans="1:21" ht="12.75" customHeight="1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2"/>
      <c r="T34" s="3"/>
      <c r="U34" s="4"/>
    </row>
    <row r="35" spans="1:21" ht="12.75" customHeight="1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2"/>
      <c r="T35" s="3"/>
      <c r="U35" s="4"/>
    </row>
    <row r="36" spans="1:21" ht="12.75" customHeight="1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2"/>
      <c r="T36" s="3"/>
      <c r="U36" s="4"/>
    </row>
    <row r="37" spans="1:21" ht="12.75" customHeight="1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2"/>
      <c r="T37" s="3"/>
      <c r="U37" s="4"/>
    </row>
    <row r="38" spans="1:21" ht="12.75" customHeight="1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2"/>
      <c r="T38" s="3"/>
      <c r="U38" s="4"/>
    </row>
    <row r="39" spans="1:21" ht="12.75" customHeight="1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22"/>
      <c r="T39" s="3"/>
      <c r="U39" s="4"/>
    </row>
    <row r="40" spans="1:21" ht="12.75" customHeight="1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2"/>
      <c r="T40" s="3"/>
      <c r="U40" s="4"/>
    </row>
    <row r="41" spans="1:21" ht="12.75" customHeight="1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22"/>
      <c r="T41" s="3"/>
      <c r="U41" s="4"/>
    </row>
    <row r="42" spans="1:21" ht="12.75" customHeight="1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2"/>
      <c r="T42" s="3"/>
      <c r="U42" s="4"/>
    </row>
    <row r="43" spans="1:21" ht="12.75" customHeight="1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2"/>
      <c r="T43" s="3"/>
      <c r="U43" s="4"/>
    </row>
    <row r="44" spans="1:21" ht="12.75" customHeight="1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2"/>
      <c r="T44" s="3"/>
      <c r="U44" s="4"/>
    </row>
    <row r="45" spans="1:21" ht="12.75" customHeight="1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22"/>
      <c r="T45" s="3"/>
      <c r="U45" s="4"/>
    </row>
    <row r="46" spans="1:21" ht="12.75" customHeight="1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22"/>
      <c r="T46" s="3"/>
      <c r="U46" s="4"/>
    </row>
    <row r="47" spans="1:21" ht="12.75" customHeight="1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22"/>
      <c r="T47" s="3"/>
      <c r="U47" s="4"/>
    </row>
    <row r="48" spans="1:21" ht="12.75" customHeight="1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3"/>
      <c r="U48" s="4"/>
    </row>
    <row r="49" spans="1:21" ht="12.75" customHeight="1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22"/>
      <c r="T49" s="3"/>
      <c r="U49" s="4"/>
    </row>
    <row r="50" spans="1:21" ht="12.75" customHeight="1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22"/>
      <c r="T50" s="3"/>
      <c r="U50" s="4"/>
    </row>
    <row r="51" spans="1:21" ht="12.75" customHeight="1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22"/>
      <c r="T51" s="3"/>
      <c r="U51" s="4"/>
    </row>
    <row r="52" spans="1:21" ht="12.75" customHeight="1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22"/>
      <c r="T52" s="3"/>
      <c r="U52" s="4"/>
    </row>
    <row r="53" spans="1:21" ht="12.75" customHeight="1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22"/>
      <c r="T53" s="3"/>
      <c r="U53" s="4"/>
    </row>
    <row r="54" spans="1:21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2"/>
      <c r="T54" s="3"/>
      <c r="U54" s="4"/>
    </row>
    <row r="55" spans="1:21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22"/>
      <c r="T55" s="3"/>
      <c r="U55" s="4"/>
    </row>
    <row r="56" spans="1:21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2"/>
      <c r="T56" s="3"/>
      <c r="U56" s="4"/>
    </row>
    <row r="57" spans="1:21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22"/>
      <c r="T57" s="3"/>
      <c r="U57" s="4"/>
    </row>
    <row r="58" spans="1:21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22"/>
      <c r="T58" s="3"/>
      <c r="U58" s="4"/>
    </row>
    <row r="59" spans="1:21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2"/>
      <c r="T59" s="3"/>
      <c r="U59" s="4"/>
    </row>
    <row r="60" spans="1:21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22"/>
      <c r="T60" s="3"/>
      <c r="U60" s="4"/>
    </row>
    <row r="61" spans="1:21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2"/>
      <c r="T61" s="3"/>
      <c r="U61" s="4"/>
    </row>
    <row r="62" spans="1:21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22"/>
      <c r="T62" s="3"/>
      <c r="U62" s="4"/>
    </row>
    <row r="63" spans="1:21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2"/>
      <c r="T63" s="3"/>
      <c r="U63" s="4"/>
    </row>
    <row r="64" spans="1:21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22"/>
      <c r="T64" s="3"/>
      <c r="U64" s="4"/>
    </row>
    <row r="65" spans="1:21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2"/>
      <c r="T65" s="3"/>
      <c r="U65" s="4"/>
    </row>
    <row r="66" spans="1:21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22"/>
      <c r="T66" s="3"/>
      <c r="U66" s="4"/>
    </row>
  </sheetData>
  <mergeCells count="20">
    <mergeCell ref="A1:U2"/>
    <mergeCell ref="A3:A4"/>
    <mergeCell ref="C3:C4"/>
    <mergeCell ref="D3:D4"/>
    <mergeCell ref="E3:E4"/>
    <mergeCell ref="O3:R3"/>
    <mergeCell ref="T3:T4"/>
    <mergeCell ref="U3:U4"/>
    <mergeCell ref="S3:S4"/>
    <mergeCell ref="A18:R18"/>
    <mergeCell ref="A21:R21"/>
    <mergeCell ref="A27:R27"/>
    <mergeCell ref="A5:R5"/>
    <mergeCell ref="F3:F4"/>
    <mergeCell ref="G3:J3"/>
    <mergeCell ref="K3:N3"/>
    <mergeCell ref="B3:B4"/>
    <mergeCell ref="A9:R9"/>
    <mergeCell ref="A12:R12"/>
    <mergeCell ref="A15:R1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6"/>
  <sheetViews>
    <sheetView workbookViewId="0">
      <selection sqref="A1:M2"/>
    </sheetView>
  </sheetViews>
  <sheetFormatPr baseColWidth="10" defaultColWidth="12.6640625" defaultRowHeight="15" customHeight="1"/>
  <cols>
    <col min="1" max="1" width="8.1640625" style="1" bestFit="1" customWidth="1"/>
    <col min="2" max="2" width="21.1640625" style="1" customWidth="1"/>
    <col min="3" max="3" width="28.33203125" style="1" customWidth="1"/>
    <col min="4" max="4" width="19.83203125" style="1" customWidth="1"/>
    <col min="5" max="5" width="13.6640625" style="1" customWidth="1"/>
    <col min="6" max="6" width="25.6640625" style="1" customWidth="1"/>
    <col min="7" max="10" width="5.5" style="1" customWidth="1"/>
    <col min="11" max="11" width="12.6640625" style="1" bestFit="1" customWidth="1"/>
    <col min="12" max="12" width="10.33203125" style="1" bestFit="1" customWidth="1"/>
    <col min="13" max="13" width="24" style="1" customWidth="1"/>
    <col min="14" max="16384" width="12.6640625" style="1"/>
  </cols>
  <sheetData>
    <row r="1" spans="1:13" ht="28.5" customHeight="1">
      <c r="A1" s="43" t="s">
        <v>634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96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14" t="s">
        <v>11</v>
      </c>
      <c r="B6" s="15" t="s">
        <v>477</v>
      </c>
      <c r="C6" s="15" t="s">
        <v>478</v>
      </c>
      <c r="D6" s="15" t="s">
        <v>147</v>
      </c>
      <c r="E6" s="15" t="s">
        <v>652</v>
      </c>
      <c r="F6" s="15" t="s">
        <v>157</v>
      </c>
      <c r="G6" s="16" t="s">
        <v>124</v>
      </c>
      <c r="H6" s="17" t="s">
        <v>479</v>
      </c>
      <c r="I6" s="17" t="s">
        <v>479</v>
      </c>
      <c r="J6" s="14"/>
      <c r="K6" s="14" t="str">
        <f>"280,0"</f>
        <v>280,0</v>
      </c>
      <c r="L6" s="14" t="str">
        <f>"163,5340"</f>
        <v>163,5340</v>
      </c>
      <c r="M6" s="15"/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4"/>
    </row>
    <row r="8" spans="1:13" ht="13">
      <c r="A8" s="4"/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4"/>
    </row>
    <row r="9" spans="1:13" ht="13">
      <c r="A9" s="4"/>
      <c r="B9" s="4"/>
      <c r="C9" s="4"/>
      <c r="D9" s="4"/>
      <c r="E9" s="4"/>
      <c r="F9" s="4"/>
      <c r="G9" s="3"/>
      <c r="H9" s="3"/>
      <c r="I9" s="3"/>
      <c r="J9" s="3"/>
      <c r="K9" s="3"/>
      <c r="L9" s="3"/>
      <c r="M9" s="4"/>
    </row>
    <row r="10" spans="1:13" ht="13">
      <c r="A10" s="4"/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4"/>
    </row>
    <row r="11" spans="1:13" ht="13">
      <c r="A11" s="4"/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4"/>
    </row>
    <row r="12" spans="1:13" ht="13">
      <c r="A12" s="4"/>
      <c r="B12" s="4"/>
      <c r="C12" s="4"/>
      <c r="D12" s="4"/>
      <c r="E12" s="4"/>
      <c r="F12" s="4"/>
      <c r="G12" s="3"/>
      <c r="H12" s="3"/>
      <c r="I12" s="3"/>
      <c r="J12" s="3"/>
      <c r="K12" s="3"/>
      <c r="L12" s="3"/>
      <c r="M12" s="4"/>
    </row>
    <row r="13" spans="1:13" ht="13">
      <c r="A13" s="4"/>
      <c r="B13" s="4"/>
      <c r="C13" s="4"/>
      <c r="D13" s="4"/>
      <c r="E13" s="4"/>
      <c r="F13" s="4"/>
      <c r="G13" s="3"/>
      <c r="H13" s="3"/>
      <c r="I13" s="3"/>
      <c r="J13" s="3"/>
      <c r="K13" s="3"/>
      <c r="L13" s="3"/>
      <c r="M13" s="4"/>
    </row>
    <row r="14" spans="1:13" ht="13">
      <c r="A14" s="4"/>
      <c r="B14" s="4"/>
      <c r="C14" s="4"/>
      <c r="D14" s="4"/>
      <c r="E14" s="4"/>
      <c r="F14" s="4"/>
      <c r="G14" s="3"/>
      <c r="H14" s="3"/>
      <c r="I14" s="3"/>
      <c r="J14" s="3"/>
      <c r="K14" s="3"/>
      <c r="L14" s="3"/>
      <c r="M14" s="4"/>
    </row>
    <row r="15" spans="1:13" ht="13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4"/>
    </row>
    <row r="16" spans="1:13" ht="13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4"/>
    </row>
    <row r="17" spans="1:13" ht="13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4"/>
    </row>
    <row r="18" spans="1:13" ht="13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4"/>
    </row>
    <row r="19" spans="1:13" ht="13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4"/>
    </row>
    <row r="20" spans="1:13" ht="13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4"/>
    </row>
    <row r="21" spans="1:13" ht="13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4"/>
    </row>
    <row r="22" spans="1:13" ht="13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4"/>
    </row>
    <row r="23" spans="1:13" ht="13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4"/>
    </row>
    <row r="24" spans="1:13" ht="13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4"/>
    </row>
    <row r="25" spans="1:13" ht="13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4"/>
    </row>
    <row r="26" spans="1:13" ht="13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4"/>
    </row>
    <row r="27" spans="1:13" ht="13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4"/>
    </row>
    <row r="28" spans="1:13" ht="13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4"/>
    </row>
    <row r="29" spans="1:13" ht="13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4"/>
    </row>
    <row r="30" spans="1:13" ht="13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4"/>
    </row>
    <row r="31" spans="1:13" ht="13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4"/>
    </row>
    <row r="32" spans="1:13" ht="13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4"/>
    </row>
    <row r="33" spans="1:13" ht="13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4"/>
    </row>
    <row r="34" spans="1:13" ht="13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4"/>
    </row>
    <row r="35" spans="1:13" ht="13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4"/>
    </row>
    <row r="36" spans="1:13" ht="13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4"/>
    </row>
    <row r="37" spans="1:13" ht="13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4"/>
    </row>
    <row r="54" spans="1:13" ht="13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4"/>
    </row>
    <row r="55" spans="1:13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4"/>
    </row>
    <row r="56" spans="1:13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4"/>
    </row>
    <row r="57" spans="1:13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</row>
    <row r="58" spans="1:13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4"/>
    </row>
    <row r="59" spans="1:13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4"/>
    </row>
    <row r="60" spans="1:13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4"/>
    </row>
    <row r="61" spans="1:13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4"/>
    </row>
    <row r="62" spans="1:13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4"/>
    </row>
    <row r="63" spans="1:13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4"/>
    </row>
    <row r="64" spans="1:13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4"/>
    </row>
    <row r="65" spans="1:13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4"/>
    </row>
    <row r="66" spans="1:13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4"/>
    </row>
    <row r="67" spans="1:13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4"/>
    </row>
    <row r="68" spans="1:13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4"/>
    </row>
    <row r="69" spans="1:13" ht="12.75" customHeight="1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4"/>
    </row>
    <row r="70" spans="1:13" ht="12.75" customHeight="1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4"/>
    </row>
    <row r="71" spans="1:13" ht="12.75" customHeight="1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4"/>
    </row>
    <row r="72" spans="1:13" ht="12.75" customHeight="1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4"/>
    </row>
    <row r="73" spans="1:13" ht="12.75" customHeight="1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4"/>
    </row>
    <row r="74" spans="1:13" ht="12.75" customHeight="1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4"/>
    </row>
    <row r="75" spans="1:13" ht="12.75" customHeight="1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4"/>
    </row>
    <row r="76" spans="1:13" ht="12.75" customHeight="1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4"/>
    </row>
    <row r="77" spans="1:13" ht="12.75" customHeight="1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4"/>
    </row>
    <row r="78" spans="1:13" ht="12.75" customHeight="1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4"/>
    </row>
    <row r="79" spans="1:13" ht="12.75" customHeight="1">
      <c r="A79" s="4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4"/>
    </row>
    <row r="80" spans="1:13" ht="12.75" customHeight="1">
      <c r="A80" s="4"/>
      <c r="B80" s="4"/>
      <c r="C80" s="4"/>
      <c r="D80" s="4"/>
      <c r="E80" s="4"/>
      <c r="F80" s="4"/>
      <c r="G80" s="3"/>
      <c r="H80" s="3"/>
      <c r="I80" s="3"/>
      <c r="J80" s="3"/>
      <c r="K80" s="3"/>
      <c r="L80" s="3"/>
      <c r="M80" s="4"/>
    </row>
    <row r="81" spans="1:13" ht="12.75" customHeight="1">
      <c r="A81" s="4"/>
      <c r="B81" s="4"/>
      <c r="C81" s="4"/>
      <c r="D81" s="4"/>
      <c r="E81" s="4"/>
      <c r="F81" s="4"/>
      <c r="G81" s="3"/>
      <c r="H81" s="3"/>
      <c r="I81" s="3"/>
      <c r="J81" s="3"/>
      <c r="K81" s="3"/>
      <c r="L81" s="3"/>
      <c r="M81" s="4"/>
    </row>
    <row r="82" spans="1:13" ht="12.75" customHeight="1">
      <c r="A82" s="4"/>
      <c r="B82" s="4"/>
      <c r="C82" s="4"/>
      <c r="D82" s="4"/>
      <c r="E82" s="4"/>
      <c r="F82" s="4"/>
      <c r="G82" s="3"/>
      <c r="H82" s="3"/>
      <c r="I82" s="3"/>
      <c r="J82" s="3"/>
      <c r="K82" s="3"/>
      <c r="L82" s="3"/>
      <c r="M82" s="4"/>
    </row>
    <row r="83" spans="1:13" ht="12.75" customHeight="1">
      <c r="A83" s="4"/>
      <c r="B83" s="4"/>
      <c r="C83" s="4"/>
      <c r="D83" s="4"/>
      <c r="E83" s="4"/>
      <c r="F83" s="4"/>
      <c r="G83" s="3"/>
      <c r="H83" s="3"/>
      <c r="I83" s="3"/>
      <c r="J83" s="3"/>
      <c r="K83" s="3"/>
      <c r="L83" s="3"/>
      <c r="M83" s="4"/>
    </row>
    <row r="84" spans="1:13" ht="12.75" customHeight="1">
      <c r="A84" s="4"/>
      <c r="B84" s="4"/>
      <c r="C84" s="4"/>
      <c r="D84" s="4"/>
      <c r="E84" s="4"/>
      <c r="F84" s="4"/>
      <c r="G84" s="3"/>
      <c r="H84" s="3"/>
      <c r="I84" s="3"/>
      <c r="J84" s="3"/>
      <c r="K84" s="3"/>
      <c r="L84" s="3"/>
      <c r="M84" s="4"/>
    </row>
    <row r="85" spans="1:13" ht="12.75" customHeight="1">
      <c r="A85" s="4"/>
      <c r="B85" s="4"/>
      <c r="C85" s="4"/>
      <c r="D85" s="4"/>
      <c r="E85" s="4"/>
      <c r="F85" s="4"/>
      <c r="G85" s="3"/>
      <c r="H85" s="3"/>
      <c r="I85" s="3"/>
      <c r="J85" s="3"/>
      <c r="K85" s="3"/>
      <c r="L85" s="3"/>
      <c r="M85" s="4"/>
    </row>
    <row r="86" spans="1:13" ht="12.75" customHeight="1">
      <c r="A86" s="4"/>
      <c r="B86" s="4"/>
      <c r="C86" s="4"/>
      <c r="D86" s="4"/>
      <c r="E86" s="4"/>
      <c r="F86" s="4"/>
      <c r="G86" s="3"/>
      <c r="H86" s="3"/>
      <c r="I86" s="3"/>
      <c r="J86" s="3"/>
      <c r="K86" s="3"/>
      <c r="L86" s="3"/>
      <c r="M86" s="4"/>
    </row>
  </sheetData>
  <mergeCells count="12">
    <mergeCell ref="A1:M2"/>
    <mergeCell ref="A3:A4"/>
    <mergeCell ref="G3:J3"/>
    <mergeCell ref="K3:K4"/>
    <mergeCell ref="L3:L4"/>
    <mergeCell ref="M3:M4"/>
    <mergeCell ref="A5:J5"/>
    <mergeCell ref="B3:B4"/>
    <mergeCell ref="C3:C4"/>
    <mergeCell ref="D3:D4"/>
    <mergeCell ref="E3:E4"/>
    <mergeCell ref="F3:F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2"/>
  <sheetViews>
    <sheetView workbookViewId="0">
      <selection sqref="A1:M2"/>
    </sheetView>
  </sheetViews>
  <sheetFormatPr baseColWidth="10" defaultColWidth="12.6640625" defaultRowHeight="15" customHeight="1"/>
  <cols>
    <col min="1" max="1" width="8.1640625" style="1" bestFit="1" customWidth="1"/>
    <col min="2" max="2" width="19.83203125" style="1" bestFit="1" customWidth="1"/>
    <col min="3" max="3" width="27.1640625" style="1" bestFit="1" customWidth="1"/>
    <col min="4" max="4" width="23.1640625" style="1" bestFit="1" customWidth="1"/>
    <col min="5" max="5" width="11.1640625" style="1" bestFit="1" customWidth="1"/>
    <col min="6" max="6" width="23.83203125" style="1" bestFit="1" customWidth="1"/>
    <col min="7" max="9" width="5.6640625" style="1" bestFit="1" customWidth="1"/>
    <col min="10" max="10" width="4.33203125" style="1" bestFit="1" customWidth="1"/>
    <col min="11" max="11" width="12.6640625" style="27" bestFit="1" customWidth="1"/>
    <col min="12" max="12" width="9.1640625" style="1" bestFit="1" customWidth="1"/>
    <col min="13" max="13" width="27.1640625" style="1" bestFit="1" customWidth="1"/>
    <col min="14" max="16384" width="12.6640625" style="1"/>
  </cols>
  <sheetData>
    <row r="1" spans="1:13" ht="28.5" customHeight="1">
      <c r="A1" s="43" t="s">
        <v>635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53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54"/>
      <c r="L4" s="38"/>
      <c r="M4" s="52"/>
    </row>
    <row r="5" spans="1:13" ht="16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22"/>
      <c r="L5" s="3"/>
      <c r="M5" s="4"/>
    </row>
    <row r="6" spans="1:13" ht="13">
      <c r="A6" s="14" t="s">
        <v>11</v>
      </c>
      <c r="B6" s="15" t="s">
        <v>490</v>
      </c>
      <c r="C6" s="15" t="s">
        <v>491</v>
      </c>
      <c r="D6" s="15" t="s">
        <v>492</v>
      </c>
      <c r="E6" s="15" t="s">
        <v>652</v>
      </c>
      <c r="F6" s="15" t="s">
        <v>15</v>
      </c>
      <c r="G6" s="16" t="s">
        <v>73</v>
      </c>
      <c r="H6" s="17" t="s">
        <v>29</v>
      </c>
      <c r="I6" s="16" t="s">
        <v>29</v>
      </c>
      <c r="J6" s="14"/>
      <c r="K6" s="25" t="str">
        <f>"85,0"</f>
        <v>85,0</v>
      </c>
      <c r="L6" s="14" t="str">
        <f>"75,8667"</f>
        <v>75,8667</v>
      </c>
      <c r="M6" s="15" t="s">
        <v>493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22"/>
      <c r="L7" s="3"/>
      <c r="M7" s="4"/>
    </row>
    <row r="8" spans="1:13" ht="16">
      <c r="A8" s="33" t="s">
        <v>43</v>
      </c>
      <c r="B8" s="34"/>
      <c r="C8" s="34"/>
      <c r="D8" s="34"/>
      <c r="E8" s="34"/>
      <c r="F8" s="34"/>
      <c r="G8" s="34"/>
      <c r="H8" s="34"/>
      <c r="I8" s="34"/>
      <c r="J8" s="34"/>
      <c r="K8" s="22"/>
      <c r="L8" s="3"/>
      <c r="M8" s="4"/>
    </row>
    <row r="9" spans="1:13" ht="13">
      <c r="A9" s="14" t="s">
        <v>11</v>
      </c>
      <c r="B9" s="15" t="s">
        <v>494</v>
      </c>
      <c r="C9" s="15" t="s">
        <v>495</v>
      </c>
      <c r="D9" s="15" t="s">
        <v>496</v>
      </c>
      <c r="E9" s="15" t="s">
        <v>652</v>
      </c>
      <c r="F9" s="15" t="s">
        <v>15</v>
      </c>
      <c r="G9" s="16" t="s">
        <v>72</v>
      </c>
      <c r="H9" s="16" t="s">
        <v>40</v>
      </c>
      <c r="I9" s="17" t="s">
        <v>73</v>
      </c>
      <c r="J9" s="14"/>
      <c r="K9" s="25" t="str">
        <f>"70,0"</f>
        <v>70,0</v>
      </c>
      <c r="L9" s="14" t="str">
        <f>"59,7149"</f>
        <v>59,7149</v>
      </c>
      <c r="M9" s="15" t="s">
        <v>497</v>
      </c>
    </row>
    <row r="10" spans="1:13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22"/>
      <c r="L10" s="3"/>
      <c r="M10" s="4"/>
    </row>
    <row r="11" spans="1:13" ht="16">
      <c r="A11" s="33" t="s">
        <v>57</v>
      </c>
      <c r="B11" s="34"/>
      <c r="C11" s="34"/>
      <c r="D11" s="34"/>
      <c r="E11" s="34"/>
      <c r="F11" s="34"/>
      <c r="G11" s="34"/>
      <c r="H11" s="34"/>
      <c r="I11" s="34"/>
      <c r="J11" s="34"/>
      <c r="K11" s="22"/>
      <c r="L11" s="3"/>
      <c r="M11" s="4"/>
    </row>
    <row r="12" spans="1:13" ht="13">
      <c r="A12" s="5" t="s">
        <v>11</v>
      </c>
      <c r="B12" s="6" t="s">
        <v>498</v>
      </c>
      <c r="C12" s="6" t="s">
        <v>499</v>
      </c>
      <c r="D12" s="6" t="s">
        <v>500</v>
      </c>
      <c r="E12" s="6" t="s">
        <v>652</v>
      </c>
      <c r="F12" s="6" t="s">
        <v>501</v>
      </c>
      <c r="G12" s="7" t="s">
        <v>34</v>
      </c>
      <c r="H12" s="7" t="s">
        <v>16</v>
      </c>
      <c r="I12" s="8" t="s">
        <v>17</v>
      </c>
      <c r="J12" s="5"/>
      <c r="K12" s="23" t="str">
        <f>"100,0"</f>
        <v>100,0</v>
      </c>
      <c r="L12" s="5" t="str">
        <f>"69,9375"</f>
        <v>69,9375</v>
      </c>
      <c r="M12" s="6"/>
    </row>
    <row r="13" spans="1:13" ht="13">
      <c r="A13" s="18" t="s">
        <v>24</v>
      </c>
      <c r="B13" s="19" t="s">
        <v>502</v>
      </c>
      <c r="C13" s="19" t="s">
        <v>503</v>
      </c>
      <c r="D13" s="19" t="s">
        <v>504</v>
      </c>
      <c r="E13" s="19" t="s">
        <v>652</v>
      </c>
      <c r="F13" s="19" t="s">
        <v>15</v>
      </c>
      <c r="G13" s="20" t="s">
        <v>29</v>
      </c>
      <c r="H13" s="20" t="s">
        <v>34</v>
      </c>
      <c r="I13" s="21" t="s">
        <v>20</v>
      </c>
      <c r="J13" s="18"/>
      <c r="K13" s="26" t="str">
        <f>"95,0"</f>
        <v>95,0</v>
      </c>
      <c r="L13" s="18" t="str">
        <f>"67,2125"</f>
        <v>67,2125</v>
      </c>
      <c r="M13" s="19" t="s">
        <v>493</v>
      </c>
    </row>
    <row r="14" spans="1:13" ht="13">
      <c r="A14" s="18" t="s">
        <v>150</v>
      </c>
      <c r="B14" s="19" t="s">
        <v>505</v>
      </c>
      <c r="C14" s="19" t="s">
        <v>506</v>
      </c>
      <c r="D14" s="19" t="s">
        <v>507</v>
      </c>
      <c r="E14" s="19" t="s">
        <v>652</v>
      </c>
      <c r="F14" s="19" t="s">
        <v>15</v>
      </c>
      <c r="G14" s="20" t="s">
        <v>40</v>
      </c>
      <c r="H14" s="21" t="s">
        <v>73</v>
      </c>
      <c r="I14" s="21" t="s">
        <v>73</v>
      </c>
      <c r="J14" s="18"/>
      <c r="K14" s="26" t="str">
        <f>"70,0"</f>
        <v>70,0</v>
      </c>
      <c r="L14" s="18" t="str">
        <f>"49,4214"</f>
        <v>49,4214</v>
      </c>
      <c r="M14" s="19" t="s">
        <v>497</v>
      </c>
    </row>
    <row r="15" spans="1:13" ht="13">
      <c r="A15" s="9" t="s">
        <v>52</v>
      </c>
      <c r="B15" s="10" t="s">
        <v>508</v>
      </c>
      <c r="C15" s="10" t="s">
        <v>509</v>
      </c>
      <c r="D15" s="10" t="s">
        <v>510</v>
      </c>
      <c r="E15" s="10" t="s">
        <v>652</v>
      </c>
      <c r="F15" s="10" t="s">
        <v>15</v>
      </c>
      <c r="G15" s="11" t="s">
        <v>29</v>
      </c>
      <c r="H15" s="11" t="s">
        <v>484</v>
      </c>
      <c r="I15" s="11" t="s">
        <v>484</v>
      </c>
      <c r="J15" s="9"/>
      <c r="K15" s="24" t="str">
        <f>"0.00"</f>
        <v>0.00</v>
      </c>
      <c r="L15" s="9" t="str">
        <f>"0,0000"</f>
        <v>0,0000</v>
      </c>
      <c r="M15" s="10" t="s">
        <v>493</v>
      </c>
    </row>
    <row r="16" spans="1:13" ht="13">
      <c r="A16" s="4"/>
      <c r="B16" s="4" t="s">
        <v>35</v>
      </c>
      <c r="C16" s="4"/>
      <c r="D16" s="4"/>
      <c r="E16" s="4"/>
      <c r="F16" s="4"/>
      <c r="G16" s="3"/>
      <c r="H16" s="3"/>
      <c r="I16" s="3"/>
      <c r="J16" s="3"/>
      <c r="K16" s="22"/>
      <c r="L16" s="3"/>
      <c r="M16" s="4"/>
    </row>
    <row r="17" spans="1:13" ht="16">
      <c r="A17" s="33" t="s">
        <v>68</v>
      </c>
      <c r="B17" s="34"/>
      <c r="C17" s="34"/>
      <c r="D17" s="34"/>
      <c r="E17" s="34"/>
      <c r="F17" s="34"/>
      <c r="G17" s="34"/>
      <c r="H17" s="34"/>
      <c r="I17" s="34"/>
      <c r="J17" s="34"/>
      <c r="K17" s="22"/>
      <c r="L17" s="3"/>
      <c r="M17" s="4"/>
    </row>
    <row r="18" spans="1:13" ht="13">
      <c r="A18" s="14" t="s">
        <v>11</v>
      </c>
      <c r="B18" s="15" t="s">
        <v>511</v>
      </c>
      <c r="C18" s="15" t="s">
        <v>512</v>
      </c>
      <c r="D18" s="15" t="s">
        <v>513</v>
      </c>
      <c r="E18" s="15" t="s">
        <v>652</v>
      </c>
      <c r="F18" s="15" t="s">
        <v>15</v>
      </c>
      <c r="G18" s="16" t="s">
        <v>33</v>
      </c>
      <c r="H18" s="17" t="s">
        <v>34</v>
      </c>
      <c r="I18" s="17" t="s">
        <v>34</v>
      </c>
      <c r="J18" s="14"/>
      <c r="K18" s="25" t="str">
        <f>"90,0"</f>
        <v>90,0</v>
      </c>
      <c r="L18" s="14" t="str">
        <f>"58,4078"</f>
        <v>58,4078</v>
      </c>
      <c r="M18" s="15" t="s">
        <v>493</v>
      </c>
    </row>
    <row r="19" spans="1:13" ht="13">
      <c r="A19" s="4"/>
      <c r="B19" s="4" t="s">
        <v>35</v>
      </c>
      <c r="C19" s="4"/>
      <c r="D19" s="4"/>
      <c r="E19" s="4"/>
      <c r="F19" s="4"/>
      <c r="G19" s="3"/>
      <c r="H19" s="3"/>
      <c r="I19" s="3"/>
      <c r="J19" s="3"/>
      <c r="K19" s="22"/>
      <c r="L19" s="3"/>
      <c r="M19" s="4"/>
    </row>
    <row r="20" spans="1:13" ht="16">
      <c r="A20" s="33" t="s">
        <v>117</v>
      </c>
      <c r="B20" s="34"/>
      <c r="C20" s="34"/>
      <c r="D20" s="34"/>
      <c r="E20" s="34"/>
      <c r="F20" s="34"/>
      <c r="G20" s="34"/>
      <c r="H20" s="34"/>
      <c r="I20" s="34"/>
      <c r="J20" s="34"/>
      <c r="K20" s="22"/>
      <c r="L20" s="3"/>
      <c r="M20" s="4"/>
    </row>
    <row r="21" spans="1:13" ht="13">
      <c r="A21" s="5" t="s">
        <v>11</v>
      </c>
      <c r="B21" s="6" t="s">
        <v>514</v>
      </c>
      <c r="C21" s="6" t="s">
        <v>515</v>
      </c>
      <c r="D21" s="6" t="s">
        <v>516</v>
      </c>
      <c r="E21" s="6" t="s">
        <v>652</v>
      </c>
      <c r="F21" s="6" t="s">
        <v>15</v>
      </c>
      <c r="G21" s="7" t="s">
        <v>64</v>
      </c>
      <c r="H21" s="7" t="s">
        <v>42</v>
      </c>
      <c r="I21" s="7" t="s">
        <v>138</v>
      </c>
      <c r="J21" s="5"/>
      <c r="K21" s="23" t="str">
        <f>"127,5"</f>
        <v>127,5</v>
      </c>
      <c r="L21" s="5" t="str">
        <f>"78,5241"</f>
        <v>78,5241</v>
      </c>
      <c r="M21" s="6" t="s">
        <v>497</v>
      </c>
    </row>
    <row r="22" spans="1:13" ht="13">
      <c r="A22" s="18" t="s">
        <v>52</v>
      </c>
      <c r="B22" s="19" t="s">
        <v>517</v>
      </c>
      <c r="C22" s="19" t="s">
        <v>518</v>
      </c>
      <c r="D22" s="19" t="s">
        <v>519</v>
      </c>
      <c r="E22" s="19" t="s">
        <v>652</v>
      </c>
      <c r="F22" s="19" t="s">
        <v>15</v>
      </c>
      <c r="G22" s="21" t="s">
        <v>33</v>
      </c>
      <c r="H22" s="21" t="s">
        <v>33</v>
      </c>
      <c r="I22" s="21" t="s">
        <v>33</v>
      </c>
      <c r="J22" s="18"/>
      <c r="K22" s="26">
        <v>0</v>
      </c>
      <c r="L22" s="18" t="str">
        <f t="shared" ref="L22:L23" si="0">"0,0000"</f>
        <v>0,0000</v>
      </c>
      <c r="M22" s="19" t="s">
        <v>493</v>
      </c>
    </row>
    <row r="23" spans="1:13" ht="13">
      <c r="A23" s="9" t="s">
        <v>52</v>
      </c>
      <c r="B23" s="10" t="s">
        <v>520</v>
      </c>
      <c r="C23" s="10" t="s">
        <v>521</v>
      </c>
      <c r="D23" s="10" t="s">
        <v>522</v>
      </c>
      <c r="E23" s="10" t="s">
        <v>652</v>
      </c>
      <c r="F23" s="10" t="s">
        <v>15</v>
      </c>
      <c r="G23" s="11" t="s">
        <v>16</v>
      </c>
      <c r="H23" s="11" t="s">
        <v>16</v>
      </c>
      <c r="I23" s="11" t="s">
        <v>16</v>
      </c>
      <c r="J23" s="9"/>
      <c r="K23" s="24">
        <v>0</v>
      </c>
      <c r="L23" s="9" t="str">
        <f t="shared" si="0"/>
        <v>0,0000</v>
      </c>
      <c r="M23" s="10" t="s">
        <v>493</v>
      </c>
    </row>
    <row r="24" spans="1:13" ht="13">
      <c r="A24" s="4"/>
      <c r="B24" s="4" t="s">
        <v>35</v>
      </c>
      <c r="C24" s="4"/>
      <c r="D24" s="4"/>
      <c r="E24" s="4"/>
      <c r="F24" s="4"/>
      <c r="G24" s="3"/>
      <c r="H24" s="3"/>
      <c r="I24" s="3"/>
      <c r="J24" s="3"/>
      <c r="K24" s="22"/>
      <c r="L24" s="3"/>
      <c r="M24" s="4"/>
    </row>
    <row r="25" spans="1:13" ht="13">
      <c r="A25" s="4"/>
      <c r="B25" s="4" t="s">
        <v>35</v>
      </c>
      <c r="G25" s="3"/>
      <c r="H25" s="3"/>
      <c r="I25" s="3"/>
      <c r="J25" s="3"/>
      <c r="K25" s="22"/>
      <c r="L25" s="3"/>
      <c r="M25" s="4"/>
    </row>
    <row r="26" spans="1:13" ht="13">
      <c r="A26" s="4"/>
      <c r="B26" s="4" t="s">
        <v>35</v>
      </c>
      <c r="G26" s="3"/>
      <c r="H26" s="3"/>
      <c r="I26" s="3"/>
      <c r="J26" s="3"/>
      <c r="K26" s="22"/>
      <c r="L26" s="3"/>
      <c r="M26" s="4"/>
    </row>
    <row r="27" spans="1:13" ht="18">
      <c r="A27" s="4"/>
      <c r="B27" s="28" t="s">
        <v>323</v>
      </c>
      <c r="C27" s="28"/>
      <c r="D27" s="4"/>
      <c r="E27" s="4"/>
      <c r="G27" s="3"/>
      <c r="H27" s="3"/>
      <c r="I27" s="3"/>
      <c r="J27" s="3"/>
      <c r="K27" s="22"/>
      <c r="L27" s="3"/>
      <c r="M27" s="4"/>
    </row>
    <row r="28" spans="1:13" ht="16">
      <c r="A28" s="4"/>
      <c r="B28" s="29" t="s">
        <v>324</v>
      </c>
      <c r="C28" s="29"/>
      <c r="D28" s="4"/>
      <c r="E28" s="4"/>
      <c r="G28" s="3"/>
      <c r="H28" s="3"/>
      <c r="I28" s="3"/>
      <c r="J28" s="3"/>
      <c r="K28" s="22"/>
      <c r="L28" s="3"/>
      <c r="M28" s="4"/>
    </row>
    <row r="29" spans="1:13" ht="14">
      <c r="A29" s="4"/>
      <c r="B29" s="30"/>
      <c r="C29" s="31" t="s">
        <v>325</v>
      </c>
      <c r="D29" s="4"/>
      <c r="E29" s="4"/>
      <c r="G29" s="3"/>
      <c r="H29" s="3"/>
      <c r="I29" s="3"/>
      <c r="J29" s="3"/>
      <c r="K29" s="22"/>
      <c r="L29" s="3"/>
      <c r="M29" s="4"/>
    </row>
    <row r="30" spans="1:13" ht="14">
      <c r="A30" s="4"/>
      <c r="B30" s="32" t="s">
        <v>326</v>
      </c>
      <c r="C30" s="32" t="s">
        <v>327</v>
      </c>
      <c r="D30" s="32" t="s">
        <v>640</v>
      </c>
      <c r="E30" s="32" t="s">
        <v>328</v>
      </c>
      <c r="G30" s="3"/>
      <c r="H30" s="3"/>
      <c r="I30" s="3"/>
      <c r="J30" s="3"/>
      <c r="K30" s="22"/>
      <c r="L30" s="3"/>
      <c r="M30" s="4"/>
    </row>
    <row r="31" spans="1:13" ht="13">
      <c r="A31" s="4"/>
      <c r="B31" s="4" t="s">
        <v>514</v>
      </c>
      <c r="C31" s="4" t="s">
        <v>325</v>
      </c>
      <c r="D31" s="3" t="s">
        <v>330</v>
      </c>
      <c r="E31" s="3" t="s">
        <v>138</v>
      </c>
      <c r="G31" s="3"/>
      <c r="H31" s="3"/>
      <c r="I31" s="3"/>
      <c r="J31" s="3"/>
      <c r="K31" s="22"/>
      <c r="L31" s="3"/>
      <c r="M31" s="4"/>
    </row>
    <row r="32" spans="1:13" ht="13">
      <c r="A32" s="4"/>
      <c r="B32" s="4" t="s">
        <v>490</v>
      </c>
      <c r="C32" s="4" t="s">
        <v>325</v>
      </c>
      <c r="D32" s="3" t="s">
        <v>523</v>
      </c>
      <c r="E32" s="3" t="s">
        <v>29</v>
      </c>
      <c r="F32" s="4"/>
      <c r="G32" s="3"/>
      <c r="H32" s="3"/>
      <c r="I32" s="3"/>
      <c r="J32" s="3"/>
      <c r="K32" s="22"/>
      <c r="L32" s="3"/>
      <c r="M32" s="4"/>
    </row>
    <row r="33" spans="1:13" ht="13">
      <c r="A33" s="4"/>
      <c r="B33" s="4" t="s">
        <v>498</v>
      </c>
      <c r="C33" s="4" t="s">
        <v>325</v>
      </c>
      <c r="D33" s="3" t="s">
        <v>524</v>
      </c>
      <c r="E33" s="3" t="s">
        <v>16</v>
      </c>
      <c r="F33" s="4"/>
      <c r="G33" s="3"/>
      <c r="H33" s="3"/>
      <c r="I33" s="3"/>
      <c r="J33" s="3"/>
      <c r="K33" s="22"/>
      <c r="L33" s="3"/>
      <c r="M33" s="4"/>
    </row>
    <row r="34" spans="1:13" ht="13">
      <c r="A34" s="4"/>
      <c r="B34" s="4"/>
      <c r="C34" s="4"/>
      <c r="D34" s="4"/>
      <c r="E34" s="4"/>
      <c r="F34" s="4"/>
      <c r="G34" s="3"/>
      <c r="H34" s="3"/>
      <c r="I34" s="3"/>
      <c r="J34" s="3"/>
      <c r="K34" s="22"/>
      <c r="L34" s="3"/>
      <c r="M34" s="4"/>
    </row>
    <row r="35" spans="1:13" ht="13">
      <c r="A35" s="4"/>
      <c r="B35" s="4"/>
      <c r="C35" s="4"/>
      <c r="D35" s="4"/>
      <c r="E35" s="4"/>
      <c r="F35" s="4"/>
      <c r="G35" s="3"/>
      <c r="H35" s="3"/>
      <c r="I35" s="3"/>
      <c r="J35" s="3"/>
      <c r="K35" s="22"/>
      <c r="L35" s="3"/>
      <c r="M35" s="4"/>
    </row>
    <row r="36" spans="1:13" ht="13">
      <c r="A36" s="4"/>
      <c r="B36" s="4"/>
      <c r="C36" s="4"/>
      <c r="D36" s="4"/>
      <c r="E36" s="4"/>
      <c r="F36" s="4"/>
      <c r="G36" s="3"/>
      <c r="H36" s="3"/>
      <c r="I36" s="3"/>
      <c r="J36" s="3"/>
      <c r="K36" s="22"/>
      <c r="L36" s="3"/>
      <c r="M36" s="4"/>
    </row>
    <row r="37" spans="1:13" ht="13">
      <c r="A37" s="4"/>
      <c r="B37" s="4"/>
      <c r="C37" s="4"/>
      <c r="D37" s="4"/>
      <c r="E37" s="4"/>
      <c r="F37" s="4"/>
      <c r="G37" s="3"/>
      <c r="H37" s="3"/>
      <c r="I37" s="3"/>
      <c r="J37" s="3"/>
      <c r="K37" s="22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22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22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22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22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22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22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22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22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22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22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22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22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22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22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22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22"/>
      <c r="L53" s="3"/>
      <c r="M53" s="4"/>
    </row>
    <row r="54" spans="1:13" ht="13">
      <c r="A54" s="4"/>
      <c r="B54" s="4"/>
      <c r="C54" s="4"/>
      <c r="D54" s="4"/>
      <c r="E54" s="4"/>
      <c r="F54" s="4"/>
      <c r="G54" s="3"/>
      <c r="H54" s="3"/>
      <c r="I54" s="3"/>
      <c r="J54" s="3"/>
      <c r="K54" s="22"/>
      <c r="L54" s="3"/>
      <c r="M54" s="4"/>
    </row>
    <row r="55" spans="1:13" ht="13">
      <c r="A55" s="4"/>
      <c r="B55" s="4"/>
      <c r="C55" s="4"/>
      <c r="D55" s="4"/>
      <c r="E55" s="4"/>
      <c r="F55" s="4"/>
      <c r="G55" s="3"/>
      <c r="H55" s="3"/>
      <c r="I55" s="3"/>
      <c r="J55" s="3"/>
      <c r="K55" s="22"/>
      <c r="L55" s="3"/>
      <c r="M55" s="4"/>
    </row>
    <row r="56" spans="1:13" ht="13">
      <c r="A56" s="4"/>
      <c r="B56" s="4"/>
      <c r="C56" s="4"/>
      <c r="D56" s="4"/>
      <c r="E56" s="4"/>
      <c r="F56" s="4"/>
      <c r="G56" s="3"/>
      <c r="H56" s="3"/>
      <c r="I56" s="3"/>
      <c r="J56" s="3"/>
      <c r="K56" s="22"/>
      <c r="L56" s="3"/>
      <c r="M56" s="4"/>
    </row>
    <row r="57" spans="1:13" ht="13">
      <c r="A57" s="4"/>
      <c r="B57" s="4"/>
      <c r="C57" s="4"/>
      <c r="D57" s="4"/>
      <c r="E57" s="4"/>
      <c r="F57" s="4"/>
      <c r="G57" s="3"/>
      <c r="H57" s="3"/>
      <c r="I57" s="3"/>
      <c r="J57" s="3"/>
      <c r="K57" s="22"/>
      <c r="L57" s="3"/>
      <c r="M57" s="4"/>
    </row>
    <row r="58" spans="1:13" ht="13">
      <c r="A58" s="4"/>
      <c r="B58" s="4"/>
      <c r="C58" s="4"/>
      <c r="D58" s="4"/>
      <c r="E58" s="4"/>
      <c r="F58" s="4"/>
      <c r="G58" s="3"/>
      <c r="H58" s="3"/>
      <c r="I58" s="3"/>
      <c r="J58" s="3"/>
      <c r="K58" s="22"/>
      <c r="L58" s="3"/>
      <c r="M58" s="4"/>
    </row>
    <row r="59" spans="1:13" ht="13">
      <c r="A59" s="4"/>
      <c r="B59" s="4"/>
      <c r="C59" s="4"/>
      <c r="D59" s="4"/>
      <c r="E59" s="4"/>
      <c r="F59" s="4"/>
      <c r="G59" s="3"/>
      <c r="H59" s="3"/>
      <c r="I59" s="3"/>
      <c r="J59" s="3"/>
      <c r="K59" s="22"/>
      <c r="L59" s="3"/>
      <c r="M59" s="4"/>
    </row>
    <row r="60" spans="1:13" ht="13">
      <c r="A60" s="4"/>
      <c r="B60" s="4"/>
      <c r="C60" s="4"/>
      <c r="D60" s="4"/>
      <c r="E60" s="4"/>
      <c r="F60" s="4"/>
      <c r="G60" s="3"/>
      <c r="H60" s="3"/>
      <c r="I60" s="3"/>
      <c r="J60" s="3"/>
      <c r="K60" s="22"/>
      <c r="L60" s="3"/>
      <c r="M60" s="4"/>
    </row>
    <row r="61" spans="1:13" ht="13">
      <c r="A61" s="4"/>
      <c r="B61" s="4"/>
      <c r="C61" s="4"/>
      <c r="D61" s="4"/>
      <c r="E61" s="4"/>
      <c r="F61" s="4"/>
      <c r="G61" s="3"/>
      <c r="H61" s="3"/>
      <c r="I61" s="3"/>
      <c r="J61" s="3"/>
      <c r="K61" s="22"/>
      <c r="L61" s="3"/>
      <c r="M61" s="4"/>
    </row>
    <row r="62" spans="1:13" ht="13">
      <c r="A62" s="4"/>
      <c r="B62" s="4"/>
      <c r="C62" s="4"/>
      <c r="D62" s="4"/>
      <c r="E62" s="4"/>
      <c r="F62" s="4"/>
      <c r="G62" s="3"/>
      <c r="H62" s="3"/>
      <c r="I62" s="3"/>
      <c r="J62" s="3"/>
      <c r="K62" s="22"/>
      <c r="L62" s="3"/>
      <c r="M62" s="4"/>
    </row>
    <row r="63" spans="1:13" ht="13">
      <c r="A63" s="4"/>
      <c r="B63" s="4"/>
      <c r="C63" s="4"/>
      <c r="D63" s="4"/>
      <c r="E63" s="4"/>
      <c r="F63" s="4"/>
      <c r="G63" s="3"/>
      <c r="H63" s="3"/>
      <c r="I63" s="3"/>
      <c r="J63" s="3"/>
      <c r="K63" s="22"/>
      <c r="L63" s="3"/>
      <c r="M63" s="4"/>
    </row>
    <row r="64" spans="1:13" ht="13">
      <c r="A64" s="4"/>
      <c r="B64" s="4"/>
      <c r="C64" s="4"/>
      <c r="D64" s="4"/>
      <c r="E64" s="4"/>
      <c r="F64" s="4"/>
      <c r="G64" s="3"/>
      <c r="H64" s="3"/>
      <c r="I64" s="3"/>
      <c r="J64" s="3"/>
      <c r="K64" s="22"/>
      <c r="L64" s="3"/>
      <c r="M64" s="4"/>
    </row>
    <row r="65" spans="1:13" ht="13">
      <c r="A65" s="4"/>
      <c r="B65" s="4"/>
      <c r="C65" s="4"/>
      <c r="D65" s="4"/>
      <c r="E65" s="4"/>
      <c r="F65" s="4"/>
      <c r="G65" s="3"/>
      <c r="H65" s="3"/>
      <c r="I65" s="3"/>
      <c r="J65" s="3"/>
      <c r="K65" s="22"/>
      <c r="L65" s="3"/>
      <c r="M65" s="4"/>
    </row>
    <row r="66" spans="1:13" ht="13">
      <c r="A66" s="4"/>
      <c r="B66" s="4"/>
      <c r="C66" s="4"/>
      <c r="D66" s="4"/>
      <c r="E66" s="4"/>
      <c r="F66" s="4"/>
      <c r="G66" s="3"/>
      <c r="H66" s="3"/>
      <c r="I66" s="3"/>
      <c r="J66" s="3"/>
      <c r="K66" s="22"/>
      <c r="L66" s="3"/>
      <c r="M66" s="4"/>
    </row>
    <row r="67" spans="1:13" ht="13">
      <c r="A67" s="4"/>
      <c r="B67" s="4"/>
      <c r="C67" s="4"/>
      <c r="D67" s="4"/>
      <c r="E67" s="4"/>
      <c r="F67" s="4"/>
      <c r="G67" s="3"/>
      <c r="H67" s="3"/>
      <c r="I67" s="3"/>
      <c r="J67" s="3"/>
      <c r="K67" s="22"/>
      <c r="L67" s="3"/>
      <c r="M67" s="4"/>
    </row>
    <row r="68" spans="1:13" ht="13">
      <c r="A68" s="4"/>
      <c r="B68" s="4"/>
      <c r="C68" s="4"/>
      <c r="D68" s="4"/>
      <c r="E68" s="4"/>
      <c r="F68" s="4"/>
      <c r="G68" s="3"/>
      <c r="H68" s="3"/>
      <c r="I68" s="3"/>
      <c r="J68" s="3"/>
      <c r="K68" s="22"/>
      <c r="L68" s="3"/>
      <c r="M68" s="4"/>
    </row>
    <row r="69" spans="1:13" ht="13">
      <c r="A69" s="4"/>
      <c r="B69" s="4"/>
      <c r="C69" s="4"/>
      <c r="D69" s="4"/>
      <c r="E69" s="4"/>
      <c r="F69" s="4"/>
      <c r="G69" s="3"/>
      <c r="H69" s="3"/>
      <c r="I69" s="3"/>
      <c r="J69" s="3"/>
      <c r="K69" s="22"/>
      <c r="L69" s="3"/>
      <c r="M69" s="4"/>
    </row>
    <row r="70" spans="1:13" ht="13">
      <c r="A70" s="4"/>
      <c r="B70" s="4"/>
      <c r="C70" s="4"/>
      <c r="D70" s="4"/>
      <c r="E70" s="4"/>
      <c r="F70" s="4"/>
      <c r="G70" s="3"/>
      <c r="H70" s="3"/>
      <c r="I70" s="3"/>
      <c r="J70" s="3"/>
      <c r="K70" s="22"/>
      <c r="L70" s="3"/>
      <c r="M70" s="4"/>
    </row>
    <row r="71" spans="1:13" ht="13">
      <c r="A71" s="4"/>
      <c r="B71" s="4"/>
      <c r="C71" s="4"/>
      <c r="D71" s="4"/>
      <c r="E71" s="4"/>
      <c r="F71" s="4"/>
      <c r="G71" s="3"/>
      <c r="H71" s="3"/>
      <c r="I71" s="3"/>
      <c r="J71" s="3"/>
      <c r="K71" s="22"/>
      <c r="L71" s="3"/>
      <c r="M71" s="4"/>
    </row>
    <row r="72" spans="1:13" ht="13">
      <c r="A72" s="4"/>
      <c r="B72" s="4"/>
      <c r="C72" s="4"/>
      <c r="D72" s="4"/>
      <c r="E72" s="4"/>
      <c r="F72" s="4"/>
      <c r="G72" s="3"/>
      <c r="H72" s="3"/>
      <c r="I72" s="3"/>
      <c r="J72" s="3"/>
      <c r="K72" s="22"/>
      <c r="L72" s="3"/>
      <c r="M72" s="4"/>
    </row>
    <row r="73" spans="1:13" ht="13">
      <c r="A73" s="4"/>
      <c r="B73" s="4"/>
      <c r="C73" s="4"/>
      <c r="D73" s="4"/>
      <c r="E73" s="4"/>
      <c r="F73" s="4"/>
      <c r="G73" s="3"/>
      <c r="H73" s="3"/>
      <c r="I73" s="3"/>
      <c r="J73" s="3"/>
      <c r="K73" s="22"/>
      <c r="L73" s="3"/>
      <c r="M73" s="4"/>
    </row>
    <row r="74" spans="1:13" ht="13">
      <c r="A74" s="4"/>
      <c r="B74" s="4"/>
      <c r="C74" s="4"/>
      <c r="D74" s="4"/>
      <c r="E74" s="4"/>
      <c r="F74" s="4"/>
      <c r="G74" s="3"/>
      <c r="H74" s="3"/>
      <c r="I74" s="3"/>
      <c r="J74" s="3"/>
      <c r="K74" s="22"/>
      <c r="L74" s="3"/>
      <c r="M74" s="4"/>
    </row>
    <row r="75" spans="1:13" ht="13">
      <c r="A75" s="4"/>
      <c r="B75" s="4"/>
      <c r="C75" s="4"/>
      <c r="D75" s="4"/>
      <c r="E75" s="4"/>
      <c r="F75" s="4"/>
      <c r="G75" s="3"/>
      <c r="H75" s="3"/>
      <c r="I75" s="3"/>
      <c r="J75" s="3"/>
      <c r="K75" s="22"/>
      <c r="L75" s="3"/>
      <c r="M75" s="4"/>
    </row>
    <row r="76" spans="1:13" ht="13">
      <c r="A76" s="4"/>
      <c r="B76" s="4"/>
      <c r="C76" s="4"/>
      <c r="D76" s="4"/>
      <c r="E76" s="4"/>
      <c r="F76" s="4"/>
      <c r="G76" s="3"/>
      <c r="H76" s="3"/>
      <c r="I76" s="3"/>
      <c r="J76" s="3"/>
      <c r="K76" s="22"/>
      <c r="L76" s="3"/>
      <c r="M76" s="4"/>
    </row>
    <row r="77" spans="1:13" ht="13">
      <c r="A77" s="4"/>
      <c r="B77" s="4"/>
      <c r="C77" s="4"/>
      <c r="D77" s="4"/>
      <c r="E77" s="4"/>
      <c r="F77" s="4"/>
      <c r="G77" s="3"/>
      <c r="H77" s="3"/>
      <c r="I77" s="3"/>
      <c r="J77" s="3"/>
      <c r="K77" s="22"/>
      <c r="L77" s="3"/>
      <c r="M77" s="4"/>
    </row>
    <row r="78" spans="1:13" ht="13">
      <c r="A78" s="4"/>
      <c r="B78" s="4"/>
      <c r="C78" s="4"/>
      <c r="D78" s="4"/>
      <c r="E78" s="4"/>
      <c r="F78" s="4"/>
      <c r="G78" s="3"/>
      <c r="H78" s="3"/>
      <c r="I78" s="3"/>
      <c r="J78" s="3"/>
      <c r="K78" s="22"/>
      <c r="L78" s="3"/>
      <c r="M78" s="4"/>
    </row>
    <row r="79" spans="1:13" ht="13">
      <c r="A79" s="4"/>
      <c r="B79" s="4"/>
      <c r="C79" s="4"/>
      <c r="D79" s="4"/>
      <c r="E79" s="4"/>
      <c r="F79" s="4"/>
      <c r="G79" s="3"/>
      <c r="H79" s="3"/>
      <c r="I79" s="3"/>
      <c r="J79" s="3"/>
      <c r="K79" s="22"/>
      <c r="L79" s="3"/>
      <c r="M79" s="4"/>
    </row>
    <row r="80" spans="1:13" ht="13">
      <c r="A80" s="4"/>
      <c r="B80" s="4"/>
      <c r="C80" s="4"/>
      <c r="D80" s="4"/>
      <c r="E80" s="4"/>
      <c r="F80" s="4"/>
      <c r="G80" s="3"/>
      <c r="H80" s="3"/>
      <c r="I80" s="3"/>
      <c r="J80" s="3"/>
      <c r="K80" s="22"/>
      <c r="L80" s="3"/>
      <c r="M80" s="4"/>
    </row>
    <row r="81" spans="1:13" ht="13">
      <c r="A81" s="4"/>
      <c r="B81" s="4"/>
      <c r="C81" s="4"/>
      <c r="D81" s="4"/>
      <c r="E81" s="4"/>
      <c r="F81" s="4"/>
      <c r="G81" s="3"/>
      <c r="H81" s="3"/>
      <c r="I81" s="3"/>
      <c r="J81" s="3"/>
      <c r="K81" s="22"/>
      <c r="L81" s="3"/>
      <c r="M81" s="4"/>
    </row>
    <row r="82" spans="1:13" ht="12.75" customHeight="1">
      <c r="A82" s="4"/>
      <c r="B82" s="4"/>
      <c r="C82" s="4"/>
      <c r="D82" s="4"/>
      <c r="E82" s="4"/>
      <c r="F82" s="4"/>
      <c r="G82" s="3"/>
      <c r="H82" s="3"/>
      <c r="I82" s="3"/>
      <c r="J82" s="3"/>
      <c r="K82" s="22"/>
      <c r="L82" s="3"/>
      <c r="M82" s="4"/>
    </row>
    <row r="83" spans="1:13" ht="12.75" customHeight="1">
      <c r="A83" s="4"/>
      <c r="B83" s="4"/>
      <c r="C83" s="4"/>
      <c r="D83" s="4"/>
      <c r="E83" s="4"/>
      <c r="F83" s="4"/>
      <c r="G83" s="3"/>
      <c r="H83" s="3"/>
      <c r="I83" s="3"/>
      <c r="J83" s="3"/>
      <c r="K83" s="22"/>
      <c r="L83" s="3"/>
      <c r="M83" s="4"/>
    </row>
    <row r="84" spans="1:13" ht="12.75" customHeight="1">
      <c r="A84" s="4"/>
      <c r="B84" s="4"/>
      <c r="C84" s="4"/>
      <c r="D84" s="4"/>
      <c r="E84" s="4"/>
      <c r="F84" s="4"/>
      <c r="G84" s="3"/>
      <c r="H84" s="3"/>
      <c r="I84" s="3"/>
      <c r="J84" s="3"/>
      <c r="K84" s="22"/>
      <c r="L84" s="3"/>
      <c r="M84" s="4"/>
    </row>
    <row r="85" spans="1:13" ht="12.75" customHeight="1">
      <c r="A85" s="4"/>
      <c r="B85" s="4"/>
      <c r="C85" s="4"/>
      <c r="D85" s="4"/>
      <c r="E85" s="4"/>
      <c r="F85" s="4"/>
      <c r="G85" s="3"/>
      <c r="H85" s="3"/>
      <c r="I85" s="3"/>
      <c r="J85" s="3"/>
      <c r="K85" s="22"/>
      <c r="L85" s="3"/>
      <c r="M85" s="4"/>
    </row>
    <row r="86" spans="1:13" ht="12.75" customHeight="1">
      <c r="A86" s="4"/>
      <c r="B86" s="4"/>
      <c r="C86" s="4"/>
      <c r="D86" s="4"/>
      <c r="E86" s="4"/>
      <c r="F86" s="4"/>
      <c r="G86" s="3"/>
      <c r="H86" s="3"/>
      <c r="I86" s="3"/>
      <c r="J86" s="3"/>
      <c r="K86" s="22"/>
      <c r="L86" s="3"/>
      <c r="M86" s="4"/>
    </row>
    <row r="87" spans="1:13" ht="12.75" customHeight="1">
      <c r="A87" s="4"/>
      <c r="B87" s="4"/>
      <c r="C87" s="4"/>
      <c r="D87" s="4"/>
      <c r="E87" s="4"/>
      <c r="F87" s="4"/>
      <c r="G87" s="3"/>
      <c r="H87" s="3"/>
      <c r="I87" s="3"/>
      <c r="J87" s="3"/>
      <c r="K87" s="22"/>
      <c r="L87" s="3"/>
      <c r="M87" s="4"/>
    </row>
    <row r="88" spans="1:13" ht="12.75" customHeight="1">
      <c r="A88" s="4"/>
      <c r="B88" s="4"/>
      <c r="C88" s="4"/>
      <c r="D88" s="4"/>
      <c r="E88" s="4"/>
      <c r="F88" s="4"/>
      <c r="G88" s="3"/>
      <c r="H88" s="3"/>
      <c r="I88" s="3"/>
      <c r="J88" s="3"/>
      <c r="K88" s="22"/>
      <c r="L88" s="3"/>
      <c r="M88" s="4"/>
    </row>
    <row r="89" spans="1:13" ht="12.75" customHeight="1">
      <c r="A89" s="4"/>
      <c r="B89" s="4"/>
      <c r="C89" s="4"/>
      <c r="D89" s="4"/>
      <c r="E89" s="4"/>
      <c r="F89" s="4"/>
      <c r="G89" s="3"/>
      <c r="H89" s="3"/>
      <c r="I89" s="3"/>
      <c r="J89" s="3"/>
      <c r="K89" s="22"/>
      <c r="L89" s="3"/>
      <c r="M89" s="4"/>
    </row>
    <row r="90" spans="1:13" ht="12.75" customHeight="1">
      <c r="A90" s="4"/>
      <c r="B90" s="4"/>
      <c r="C90" s="4"/>
      <c r="D90" s="4"/>
      <c r="E90" s="4"/>
      <c r="F90" s="4"/>
      <c r="G90" s="3"/>
      <c r="H90" s="3"/>
      <c r="I90" s="3"/>
      <c r="J90" s="3"/>
      <c r="K90" s="22"/>
      <c r="L90" s="3"/>
      <c r="M90" s="4"/>
    </row>
    <row r="91" spans="1:13" ht="12.75" customHeight="1">
      <c r="A91" s="4"/>
      <c r="B91" s="4"/>
      <c r="C91" s="4"/>
      <c r="D91" s="4"/>
      <c r="E91" s="4"/>
      <c r="F91" s="4"/>
      <c r="G91" s="3"/>
      <c r="H91" s="3"/>
      <c r="I91" s="3"/>
      <c r="J91" s="3"/>
      <c r="K91" s="22"/>
      <c r="L91" s="3"/>
      <c r="M91" s="4"/>
    </row>
    <row r="92" spans="1:13" ht="12.75" customHeight="1">
      <c r="A92" s="4"/>
      <c r="B92" s="4"/>
      <c r="C92" s="4"/>
      <c r="D92" s="4"/>
      <c r="E92" s="4"/>
      <c r="F92" s="4"/>
      <c r="G92" s="3"/>
      <c r="H92" s="3"/>
      <c r="I92" s="3"/>
      <c r="J92" s="3"/>
      <c r="K92" s="22"/>
      <c r="L92" s="3"/>
      <c r="M92" s="4"/>
    </row>
  </sheetData>
  <mergeCells count="16">
    <mergeCell ref="L3:L4"/>
    <mergeCell ref="M3:M4"/>
    <mergeCell ref="A1:M2"/>
    <mergeCell ref="F3:F4"/>
    <mergeCell ref="G3:J3"/>
    <mergeCell ref="B3:B4"/>
    <mergeCell ref="A3:A4"/>
    <mergeCell ref="C3:C4"/>
    <mergeCell ref="D3:D4"/>
    <mergeCell ref="E3:E4"/>
    <mergeCell ref="A8:J8"/>
    <mergeCell ref="A11:J11"/>
    <mergeCell ref="A17:J17"/>
    <mergeCell ref="A20:J20"/>
    <mergeCell ref="K3:K4"/>
    <mergeCell ref="A5:J5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5"/>
  <sheetViews>
    <sheetView topLeftCell="A15" workbookViewId="0">
      <selection activeCell="E41" sqref="E41"/>
    </sheetView>
  </sheetViews>
  <sheetFormatPr baseColWidth="10" defaultColWidth="12.6640625" defaultRowHeight="15" customHeight="1"/>
  <cols>
    <col min="1" max="1" width="6.83203125" style="13" bestFit="1" customWidth="1"/>
    <col min="2" max="2" width="21.1640625" style="13" customWidth="1"/>
    <col min="3" max="3" width="29.83203125" style="13" customWidth="1"/>
    <col min="4" max="4" width="13.6640625" style="13" bestFit="1" customWidth="1"/>
    <col min="5" max="5" width="13.5" style="13" customWidth="1"/>
    <col min="6" max="6" width="26" style="13" bestFit="1" customWidth="1"/>
    <col min="7" max="9" width="5.6640625" style="13" bestFit="1" customWidth="1"/>
    <col min="10" max="10" width="4.33203125" style="13" bestFit="1" customWidth="1"/>
    <col min="11" max="11" width="10.5" style="13" bestFit="1" customWidth="1"/>
    <col min="12" max="12" width="8.6640625" style="13" bestFit="1" customWidth="1"/>
    <col min="13" max="13" width="23" style="13" customWidth="1"/>
    <col min="14" max="16384" width="12.6640625" style="13"/>
  </cols>
  <sheetData>
    <row r="1" spans="1:13" ht="28.5" customHeight="1">
      <c r="A1" s="43" t="s">
        <v>636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5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43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5" t="s">
        <v>11</v>
      </c>
      <c r="B6" s="6" t="s">
        <v>525</v>
      </c>
      <c r="C6" s="6" t="s">
        <v>526</v>
      </c>
      <c r="D6" s="6" t="s">
        <v>527</v>
      </c>
      <c r="E6" s="6" t="s">
        <v>656</v>
      </c>
      <c r="F6" s="6" t="s">
        <v>624</v>
      </c>
      <c r="G6" s="7" t="s">
        <v>21</v>
      </c>
      <c r="H6" s="8" t="s">
        <v>64</v>
      </c>
      <c r="I6" s="7" t="s">
        <v>64</v>
      </c>
      <c r="J6" s="5"/>
      <c r="K6" s="5" t="str">
        <f>"115,0"</f>
        <v>115,0</v>
      </c>
      <c r="L6" s="5" t="str">
        <f>"130,4100"</f>
        <v>130,4100</v>
      </c>
      <c r="M6" s="6" t="s">
        <v>528</v>
      </c>
    </row>
    <row r="7" spans="1:13" ht="13">
      <c r="A7" s="18" t="s">
        <v>11</v>
      </c>
      <c r="B7" s="19" t="s">
        <v>529</v>
      </c>
      <c r="C7" s="19" t="s">
        <v>530</v>
      </c>
      <c r="D7" s="19" t="s">
        <v>531</v>
      </c>
      <c r="E7" s="19" t="s">
        <v>652</v>
      </c>
      <c r="F7" s="19" t="s">
        <v>15</v>
      </c>
      <c r="G7" s="20" t="s">
        <v>20</v>
      </c>
      <c r="H7" s="20" t="s">
        <v>64</v>
      </c>
      <c r="I7" s="20" t="s">
        <v>42</v>
      </c>
      <c r="J7" s="18"/>
      <c r="K7" s="18" t="str">
        <f>"120,0"</f>
        <v>120,0</v>
      </c>
      <c r="L7" s="18" t="str">
        <f>"135,5400"</f>
        <v>135,5400</v>
      </c>
      <c r="M7" s="19" t="s">
        <v>532</v>
      </c>
    </row>
    <row r="8" spans="1:13" ht="13">
      <c r="A8" s="9" t="s">
        <v>24</v>
      </c>
      <c r="B8" s="10" t="s">
        <v>44</v>
      </c>
      <c r="C8" s="10" t="s">
        <v>45</v>
      </c>
      <c r="D8" s="10" t="s">
        <v>46</v>
      </c>
      <c r="E8" s="10" t="s">
        <v>652</v>
      </c>
      <c r="F8" s="10" t="s">
        <v>624</v>
      </c>
      <c r="G8" s="12" t="s">
        <v>34</v>
      </c>
      <c r="H8" s="12" t="s">
        <v>17</v>
      </c>
      <c r="I8" s="12" t="s">
        <v>21</v>
      </c>
      <c r="J8" s="9"/>
      <c r="K8" s="9" t="str">
        <f>"107,5"</f>
        <v>107,5</v>
      </c>
      <c r="L8" s="9" t="str">
        <f>"121,1095"</f>
        <v>121,1095</v>
      </c>
      <c r="M8" s="10"/>
    </row>
    <row r="9" spans="1:13" ht="13">
      <c r="A9" s="4"/>
      <c r="B9" s="4" t="s">
        <v>35</v>
      </c>
      <c r="C9" s="4"/>
      <c r="D9" s="4"/>
      <c r="E9" s="4"/>
      <c r="F9" s="4"/>
      <c r="G9" s="3"/>
      <c r="H9" s="3"/>
      <c r="I9" s="3"/>
      <c r="J9" s="3"/>
      <c r="K9" s="3"/>
      <c r="L9" s="3"/>
      <c r="M9" s="4"/>
    </row>
    <row r="10" spans="1:13" ht="16">
      <c r="A10" s="33" t="s">
        <v>51</v>
      </c>
      <c r="B10" s="34"/>
      <c r="C10" s="34"/>
      <c r="D10" s="34"/>
      <c r="E10" s="34"/>
      <c r="F10" s="34"/>
      <c r="G10" s="34"/>
      <c r="H10" s="34"/>
      <c r="I10" s="34"/>
      <c r="J10" s="34"/>
      <c r="K10" s="3"/>
      <c r="L10" s="3"/>
      <c r="M10" s="4"/>
    </row>
    <row r="11" spans="1:13" ht="13">
      <c r="A11" s="5" t="s">
        <v>11</v>
      </c>
      <c r="B11" s="6" t="s">
        <v>533</v>
      </c>
      <c r="C11" s="6" t="s">
        <v>534</v>
      </c>
      <c r="D11" s="6" t="s">
        <v>535</v>
      </c>
      <c r="E11" s="6" t="s">
        <v>652</v>
      </c>
      <c r="F11" s="6" t="s">
        <v>85</v>
      </c>
      <c r="G11" s="7" t="s">
        <v>138</v>
      </c>
      <c r="H11" s="7" t="s">
        <v>234</v>
      </c>
      <c r="I11" s="8" t="s">
        <v>89</v>
      </c>
      <c r="J11" s="5"/>
      <c r="K11" s="5" t="str">
        <f>"135,0"</f>
        <v>135,0</v>
      </c>
      <c r="L11" s="5" t="str">
        <f>"145,8675"</f>
        <v>145,8675</v>
      </c>
      <c r="M11" s="6" t="s">
        <v>90</v>
      </c>
    </row>
    <row r="12" spans="1:13" ht="13">
      <c r="A12" s="18" t="s">
        <v>24</v>
      </c>
      <c r="B12" s="19" t="s">
        <v>536</v>
      </c>
      <c r="C12" s="19" t="s">
        <v>537</v>
      </c>
      <c r="D12" s="19" t="s">
        <v>538</v>
      </c>
      <c r="E12" s="19" t="s">
        <v>652</v>
      </c>
      <c r="F12" s="19" t="s">
        <v>15</v>
      </c>
      <c r="G12" s="20" t="s">
        <v>33</v>
      </c>
      <c r="H12" s="20" t="s">
        <v>539</v>
      </c>
      <c r="I12" s="21" t="s">
        <v>17</v>
      </c>
      <c r="J12" s="18"/>
      <c r="K12" s="18" t="str">
        <f>"97,5"</f>
        <v>97,5</v>
      </c>
      <c r="L12" s="18" t="str">
        <f>"103,7205"</f>
        <v>103,7205</v>
      </c>
      <c r="M12" s="19" t="s">
        <v>281</v>
      </c>
    </row>
    <row r="13" spans="1:13" ht="13">
      <c r="A13" s="18" t="s">
        <v>11</v>
      </c>
      <c r="B13" s="19" t="s">
        <v>533</v>
      </c>
      <c r="C13" s="19" t="s">
        <v>540</v>
      </c>
      <c r="D13" s="19" t="s">
        <v>535</v>
      </c>
      <c r="E13" s="19" t="s">
        <v>658</v>
      </c>
      <c r="F13" s="19" t="s">
        <v>85</v>
      </c>
      <c r="G13" s="20" t="s">
        <v>138</v>
      </c>
      <c r="H13" s="20" t="s">
        <v>234</v>
      </c>
      <c r="I13" s="21" t="s">
        <v>89</v>
      </c>
      <c r="J13" s="18"/>
      <c r="K13" s="18" t="str">
        <f>"135,0"</f>
        <v>135,0</v>
      </c>
      <c r="L13" s="18" t="str">
        <f>"152,2857"</f>
        <v>152,2857</v>
      </c>
      <c r="M13" s="19" t="s">
        <v>90</v>
      </c>
    </row>
    <row r="14" spans="1:13" ht="13">
      <c r="A14" s="9" t="s">
        <v>24</v>
      </c>
      <c r="B14" s="10" t="s">
        <v>541</v>
      </c>
      <c r="C14" s="10" t="s">
        <v>542</v>
      </c>
      <c r="D14" s="10" t="s">
        <v>543</v>
      </c>
      <c r="E14" s="10" t="s">
        <v>658</v>
      </c>
      <c r="F14" s="10" t="s">
        <v>15</v>
      </c>
      <c r="G14" s="12" t="s">
        <v>64</v>
      </c>
      <c r="H14" s="12" t="s">
        <v>100</v>
      </c>
      <c r="I14" s="12" t="s">
        <v>74</v>
      </c>
      <c r="J14" s="9"/>
      <c r="K14" s="9" t="str">
        <f>"132,5"</f>
        <v>132,5</v>
      </c>
      <c r="L14" s="9" t="str">
        <f>"155,2546"</f>
        <v>155,2546</v>
      </c>
      <c r="M14" s="10" t="s">
        <v>544</v>
      </c>
    </row>
    <row r="15" spans="1:13" ht="13">
      <c r="A15" s="4"/>
      <c r="B15" s="4" t="s">
        <v>35</v>
      </c>
      <c r="C15" s="4"/>
      <c r="D15" s="4"/>
      <c r="E15" s="4"/>
      <c r="F15" s="4"/>
      <c r="G15" s="3"/>
      <c r="H15" s="3"/>
      <c r="I15" s="3"/>
      <c r="J15" s="3"/>
      <c r="K15" s="3"/>
      <c r="L15" s="3"/>
      <c r="M15" s="4"/>
    </row>
    <row r="16" spans="1:13" ht="16">
      <c r="A16" s="33" t="s">
        <v>57</v>
      </c>
      <c r="B16" s="34"/>
      <c r="C16" s="34"/>
      <c r="D16" s="34"/>
      <c r="E16" s="34"/>
      <c r="F16" s="34"/>
      <c r="G16" s="34"/>
      <c r="H16" s="34"/>
      <c r="I16" s="34"/>
      <c r="J16" s="34"/>
      <c r="K16" s="3"/>
      <c r="L16" s="3"/>
      <c r="M16" s="4"/>
    </row>
    <row r="17" spans="1:13" ht="13">
      <c r="A17" s="14" t="s">
        <v>11</v>
      </c>
      <c r="B17" s="15" t="s">
        <v>545</v>
      </c>
      <c r="C17" s="15" t="s">
        <v>546</v>
      </c>
      <c r="D17" s="15" t="s">
        <v>547</v>
      </c>
      <c r="E17" s="15" t="s">
        <v>655</v>
      </c>
      <c r="F17" s="15" t="s">
        <v>85</v>
      </c>
      <c r="G17" s="16" t="s">
        <v>22</v>
      </c>
      <c r="H17" s="16" t="s">
        <v>64</v>
      </c>
      <c r="I17" s="16" t="s">
        <v>42</v>
      </c>
      <c r="J17" s="14"/>
      <c r="K17" s="14" t="str">
        <f>"120,0"</f>
        <v>120,0</v>
      </c>
      <c r="L17" s="14" t="str">
        <f>"138,8142"</f>
        <v>138,8142</v>
      </c>
      <c r="M17" s="15" t="s">
        <v>90</v>
      </c>
    </row>
    <row r="18" spans="1:13" ht="13">
      <c r="A18" s="4"/>
      <c r="B18" s="4" t="s">
        <v>35</v>
      </c>
      <c r="C18" s="4"/>
      <c r="D18" s="4"/>
      <c r="E18" s="4"/>
      <c r="F18" s="4"/>
      <c r="G18" s="3"/>
      <c r="H18" s="3"/>
      <c r="I18" s="3"/>
      <c r="J18" s="3"/>
      <c r="K18" s="3"/>
      <c r="L18" s="3"/>
      <c r="M18" s="4"/>
    </row>
    <row r="19" spans="1:13" ht="16">
      <c r="A19" s="33" t="s">
        <v>548</v>
      </c>
      <c r="B19" s="34"/>
      <c r="C19" s="34"/>
      <c r="D19" s="34"/>
      <c r="E19" s="34"/>
      <c r="F19" s="34"/>
      <c r="G19" s="34"/>
      <c r="H19" s="34"/>
      <c r="I19" s="34"/>
      <c r="J19" s="34"/>
      <c r="K19" s="3"/>
      <c r="L19" s="3"/>
      <c r="M19" s="4"/>
    </row>
    <row r="20" spans="1:13" ht="13">
      <c r="A20" s="14" t="s">
        <v>11</v>
      </c>
      <c r="B20" s="15" t="s">
        <v>549</v>
      </c>
      <c r="C20" s="15" t="s">
        <v>550</v>
      </c>
      <c r="D20" s="15" t="s">
        <v>551</v>
      </c>
      <c r="E20" s="15" t="s">
        <v>652</v>
      </c>
      <c r="F20" s="15" t="s">
        <v>15</v>
      </c>
      <c r="G20" s="16" t="s">
        <v>252</v>
      </c>
      <c r="H20" s="16" t="s">
        <v>61</v>
      </c>
      <c r="I20" s="17" t="s">
        <v>305</v>
      </c>
      <c r="J20" s="14"/>
      <c r="K20" s="14" t="str">
        <f>"160,0"</f>
        <v>160,0</v>
      </c>
      <c r="L20" s="14" t="str">
        <f>"135,5200"</f>
        <v>135,5200</v>
      </c>
      <c r="M20" s="15" t="s">
        <v>489</v>
      </c>
    </row>
    <row r="21" spans="1:13" ht="13">
      <c r="A21" s="4"/>
      <c r="B21" s="4" t="s">
        <v>35</v>
      </c>
      <c r="C21" s="4"/>
      <c r="D21" s="4"/>
      <c r="E21" s="4"/>
      <c r="F21" s="4"/>
      <c r="G21" s="3"/>
      <c r="H21" s="3"/>
      <c r="I21" s="3"/>
      <c r="J21" s="3"/>
      <c r="K21" s="3"/>
      <c r="L21" s="3"/>
      <c r="M21" s="4"/>
    </row>
    <row r="22" spans="1:13" ht="16">
      <c r="A22" s="33" t="s">
        <v>51</v>
      </c>
      <c r="B22" s="34"/>
      <c r="C22" s="34"/>
      <c r="D22" s="34"/>
      <c r="E22" s="34"/>
      <c r="F22" s="34"/>
      <c r="G22" s="34"/>
      <c r="H22" s="34"/>
      <c r="I22" s="34"/>
      <c r="J22" s="34"/>
      <c r="K22" s="3"/>
      <c r="L22" s="3"/>
      <c r="M22" s="4"/>
    </row>
    <row r="23" spans="1:13" ht="13">
      <c r="A23" s="14" t="s">
        <v>11</v>
      </c>
      <c r="B23" s="15" t="s">
        <v>552</v>
      </c>
      <c r="C23" s="15" t="s">
        <v>553</v>
      </c>
      <c r="D23" s="15" t="s">
        <v>554</v>
      </c>
      <c r="E23" s="15" t="s">
        <v>652</v>
      </c>
      <c r="F23" s="15" t="s">
        <v>189</v>
      </c>
      <c r="G23" s="17" t="s">
        <v>66</v>
      </c>
      <c r="H23" s="16" t="s">
        <v>67</v>
      </c>
      <c r="I23" s="17" t="s">
        <v>555</v>
      </c>
      <c r="J23" s="14"/>
      <c r="K23" s="14" t="str">
        <f>"210,0"</f>
        <v>210,0</v>
      </c>
      <c r="L23" s="14" t="str">
        <f>"161,9100"</f>
        <v>161,9100</v>
      </c>
      <c r="M23" s="15"/>
    </row>
    <row r="24" spans="1:13" ht="13">
      <c r="A24" s="4"/>
      <c r="B24" s="4" t="s">
        <v>35</v>
      </c>
      <c r="C24" s="4"/>
      <c r="D24" s="4"/>
      <c r="E24" s="4"/>
      <c r="F24" s="4"/>
      <c r="G24" s="3"/>
      <c r="H24" s="3"/>
      <c r="I24" s="3"/>
      <c r="J24" s="3"/>
      <c r="K24" s="3"/>
      <c r="L24" s="3"/>
      <c r="M24" s="4"/>
    </row>
    <row r="25" spans="1:13" ht="16">
      <c r="A25" s="33" t="s">
        <v>57</v>
      </c>
      <c r="B25" s="34"/>
      <c r="C25" s="34"/>
      <c r="D25" s="34"/>
      <c r="E25" s="34"/>
      <c r="F25" s="34"/>
      <c r="G25" s="34"/>
      <c r="H25" s="34"/>
      <c r="I25" s="34"/>
      <c r="J25" s="34"/>
      <c r="K25" s="3"/>
      <c r="L25" s="3"/>
      <c r="M25" s="4"/>
    </row>
    <row r="26" spans="1:13" ht="13">
      <c r="A26" s="5" t="s">
        <v>11</v>
      </c>
      <c r="B26" s="6" t="s">
        <v>556</v>
      </c>
      <c r="C26" s="6" t="s">
        <v>557</v>
      </c>
      <c r="D26" s="6" t="s">
        <v>558</v>
      </c>
      <c r="E26" s="6" t="s">
        <v>653</v>
      </c>
      <c r="F26" s="6" t="s">
        <v>15</v>
      </c>
      <c r="G26" s="7" t="s">
        <v>89</v>
      </c>
      <c r="H26" s="7" t="s">
        <v>252</v>
      </c>
      <c r="I26" s="7" t="s">
        <v>149</v>
      </c>
      <c r="J26" s="5"/>
      <c r="K26" s="5" t="str">
        <f>"165,0"</f>
        <v>165,0</v>
      </c>
      <c r="L26" s="5" t="str">
        <f>"120,2025"</f>
        <v>120,2025</v>
      </c>
      <c r="M26" s="6" t="s">
        <v>559</v>
      </c>
    </row>
    <row r="27" spans="1:13" ht="13">
      <c r="A27" s="9" t="s">
        <v>11</v>
      </c>
      <c r="B27" s="10" t="s">
        <v>560</v>
      </c>
      <c r="C27" s="10" t="s">
        <v>561</v>
      </c>
      <c r="D27" s="10" t="s">
        <v>562</v>
      </c>
      <c r="E27" s="10" t="s">
        <v>652</v>
      </c>
      <c r="F27" s="10" t="s">
        <v>271</v>
      </c>
      <c r="G27" s="12" t="s">
        <v>398</v>
      </c>
      <c r="H27" s="12" t="s">
        <v>125</v>
      </c>
      <c r="I27" s="12" t="s">
        <v>563</v>
      </c>
      <c r="J27" s="9"/>
      <c r="K27" s="9" t="str">
        <f>"207,5"</f>
        <v>207,5</v>
      </c>
      <c r="L27" s="9" t="str">
        <f>"149,9810"</f>
        <v>149,9810</v>
      </c>
      <c r="M27" s="10"/>
    </row>
    <row r="28" spans="1:13" ht="13">
      <c r="A28" s="4"/>
      <c r="B28" s="4" t="s">
        <v>35</v>
      </c>
      <c r="C28" s="4"/>
      <c r="D28" s="4"/>
      <c r="E28" s="4"/>
      <c r="F28" s="4"/>
      <c r="G28" s="3"/>
      <c r="H28" s="3"/>
      <c r="I28" s="3"/>
      <c r="J28" s="3"/>
      <c r="K28" s="3"/>
      <c r="L28" s="3"/>
      <c r="M28" s="4"/>
    </row>
    <row r="29" spans="1:13" ht="16">
      <c r="A29" s="33" t="s">
        <v>68</v>
      </c>
      <c r="B29" s="34"/>
      <c r="C29" s="34"/>
      <c r="D29" s="34"/>
      <c r="E29" s="34"/>
      <c r="F29" s="34"/>
      <c r="G29" s="34"/>
      <c r="H29" s="34"/>
      <c r="I29" s="34"/>
      <c r="J29" s="34"/>
      <c r="K29" s="3"/>
      <c r="L29" s="3"/>
      <c r="M29" s="4"/>
    </row>
    <row r="30" spans="1:13" ht="13">
      <c r="A30" s="5" t="s">
        <v>11</v>
      </c>
      <c r="B30" s="6" t="s">
        <v>564</v>
      </c>
      <c r="C30" s="6" t="s">
        <v>565</v>
      </c>
      <c r="D30" s="6" t="s">
        <v>270</v>
      </c>
      <c r="E30" s="6" t="s">
        <v>654</v>
      </c>
      <c r="F30" s="6" t="s">
        <v>361</v>
      </c>
      <c r="G30" s="7" t="s">
        <v>94</v>
      </c>
      <c r="H30" s="8" t="s">
        <v>125</v>
      </c>
      <c r="I30" s="5"/>
      <c r="J30" s="5"/>
      <c r="K30" s="5" t="str">
        <f>"190,0"</f>
        <v>190,0</v>
      </c>
      <c r="L30" s="5" t="str">
        <f>"130,9670"</f>
        <v>130,9670</v>
      </c>
      <c r="M30" s="6" t="s">
        <v>362</v>
      </c>
    </row>
    <row r="31" spans="1:13" ht="13">
      <c r="A31" s="18" t="s">
        <v>24</v>
      </c>
      <c r="B31" s="19" t="s">
        <v>69</v>
      </c>
      <c r="C31" s="19" t="s">
        <v>70</v>
      </c>
      <c r="D31" s="19" t="s">
        <v>71</v>
      </c>
      <c r="E31" s="19" t="s">
        <v>654</v>
      </c>
      <c r="F31" s="19" t="s">
        <v>624</v>
      </c>
      <c r="G31" s="20" t="s">
        <v>64</v>
      </c>
      <c r="H31" s="20" t="s">
        <v>74</v>
      </c>
      <c r="I31" s="21" t="s">
        <v>75</v>
      </c>
      <c r="J31" s="18"/>
      <c r="K31" s="18" t="str">
        <f>"132,5"</f>
        <v>132,5</v>
      </c>
      <c r="L31" s="18" t="str">
        <f>"88,8280"</f>
        <v>88,8280</v>
      </c>
      <c r="M31" s="19"/>
    </row>
    <row r="32" spans="1:13" ht="13">
      <c r="A32" s="18" t="s">
        <v>11</v>
      </c>
      <c r="B32" s="19" t="s">
        <v>566</v>
      </c>
      <c r="C32" s="19" t="s">
        <v>567</v>
      </c>
      <c r="D32" s="19" t="s">
        <v>568</v>
      </c>
      <c r="E32" s="19" t="s">
        <v>656</v>
      </c>
      <c r="F32" s="19" t="s">
        <v>15</v>
      </c>
      <c r="G32" s="20" t="s">
        <v>94</v>
      </c>
      <c r="H32" s="20" t="s">
        <v>125</v>
      </c>
      <c r="I32" s="20" t="s">
        <v>180</v>
      </c>
      <c r="J32" s="18"/>
      <c r="K32" s="18" t="str">
        <f>"202,5"</f>
        <v>202,5</v>
      </c>
      <c r="L32" s="18" t="str">
        <f>"142,8638"</f>
        <v>142,8638</v>
      </c>
      <c r="M32" s="19"/>
    </row>
    <row r="33" spans="1:13" ht="13">
      <c r="A33" s="9" t="s">
        <v>11</v>
      </c>
      <c r="B33" s="10" t="s">
        <v>569</v>
      </c>
      <c r="C33" s="10" t="s">
        <v>570</v>
      </c>
      <c r="D33" s="10" t="s">
        <v>571</v>
      </c>
      <c r="E33" s="10" t="s">
        <v>652</v>
      </c>
      <c r="F33" s="10" t="s">
        <v>85</v>
      </c>
      <c r="G33" s="11" t="s">
        <v>66</v>
      </c>
      <c r="H33" s="12" t="s">
        <v>67</v>
      </c>
      <c r="I33" s="11" t="s">
        <v>80</v>
      </c>
      <c r="J33" s="9"/>
      <c r="K33" s="9" t="str">
        <f>"210,0"</f>
        <v>210,0</v>
      </c>
      <c r="L33" s="9" t="str">
        <f>"146,2230"</f>
        <v>146,2230</v>
      </c>
      <c r="M33" s="10"/>
    </row>
    <row r="34" spans="1:13" ht="13">
      <c r="A34" s="4"/>
      <c r="B34" s="4" t="s">
        <v>35</v>
      </c>
      <c r="C34" s="4"/>
      <c r="D34" s="4"/>
      <c r="E34" s="4"/>
      <c r="F34" s="4"/>
      <c r="G34" s="3"/>
      <c r="H34" s="3"/>
      <c r="I34" s="3"/>
      <c r="J34" s="3"/>
      <c r="K34" s="3"/>
      <c r="L34" s="3"/>
      <c r="M34" s="4"/>
    </row>
    <row r="35" spans="1:13" ht="16">
      <c r="A35" s="33" t="s">
        <v>96</v>
      </c>
      <c r="B35" s="34"/>
      <c r="C35" s="34"/>
      <c r="D35" s="34"/>
      <c r="E35" s="34"/>
      <c r="F35" s="34"/>
      <c r="G35" s="34"/>
      <c r="H35" s="34"/>
      <c r="I35" s="34"/>
      <c r="J35" s="34"/>
      <c r="K35" s="3"/>
      <c r="L35" s="3"/>
      <c r="M35" s="4"/>
    </row>
    <row r="36" spans="1:13" ht="13">
      <c r="A36" s="5" t="s">
        <v>11</v>
      </c>
      <c r="B36" s="6" t="s">
        <v>97</v>
      </c>
      <c r="C36" s="6" t="s">
        <v>98</v>
      </c>
      <c r="D36" s="6" t="s">
        <v>99</v>
      </c>
      <c r="E36" s="6" t="s">
        <v>652</v>
      </c>
      <c r="F36" s="6" t="s">
        <v>15</v>
      </c>
      <c r="G36" s="7" t="s">
        <v>65</v>
      </c>
      <c r="H36" s="7" t="s">
        <v>66</v>
      </c>
      <c r="I36" s="7" t="s">
        <v>67</v>
      </c>
      <c r="J36" s="5"/>
      <c r="K36" s="5" t="str">
        <f>"210,0"</f>
        <v>210,0</v>
      </c>
      <c r="L36" s="5" t="str">
        <f>"128,4360"</f>
        <v>128,4360</v>
      </c>
      <c r="M36" s="6" t="s">
        <v>101</v>
      </c>
    </row>
    <row r="37" spans="1:13" ht="13">
      <c r="A37" s="9" t="s">
        <v>11</v>
      </c>
      <c r="B37" s="10" t="s">
        <v>175</v>
      </c>
      <c r="C37" s="10" t="s">
        <v>176</v>
      </c>
      <c r="D37" s="10" t="s">
        <v>177</v>
      </c>
      <c r="E37" s="10" t="s">
        <v>657</v>
      </c>
      <c r="F37" s="10" t="s">
        <v>178</v>
      </c>
      <c r="G37" s="12" t="s">
        <v>94</v>
      </c>
      <c r="H37" s="12" t="s">
        <v>179</v>
      </c>
      <c r="I37" s="12" t="s">
        <v>180</v>
      </c>
      <c r="J37" s="9"/>
      <c r="K37" s="9" t="str">
        <f>"202,5"</f>
        <v>202,5</v>
      </c>
      <c r="L37" s="9" t="str">
        <f>"186,5964"</f>
        <v>186,5964</v>
      </c>
      <c r="M37" s="10"/>
    </row>
    <row r="38" spans="1:13" ht="13">
      <c r="A38" s="4"/>
      <c r="B38" s="4" t="s">
        <v>35</v>
      </c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6">
      <c r="A39" s="33" t="s">
        <v>315</v>
      </c>
      <c r="B39" s="34"/>
      <c r="C39" s="34"/>
      <c r="D39" s="34"/>
      <c r="E39" s="34"/>
      <c r="F39" s="34"/>
      <c r="G39" s="34"/>
      <c r="H39" s="34"/>
      <c r="I39" s="34"/>
      <c r="J39" s="34"/>
      <c r="K39" s="3"/>
      <c r="L39" s="3"/>
      <c r="M39" s="4"/>
    </row>
    <row r="40" spans="1:13" ht="13">
      <c r="A40" s="14" t="s">
        <v>11</v>
      </c>
      <c r="B40" s="15" t="s">
        <v>572</v>
      </c>
      <c r="C40" s="15" t="s">
        <v>573</v>
      </c>
      <c r="D40" s="15" t="s">
        <v>574</v>
      </c>
      <c r="E40" s="15" t="s">
        <v>652</v>
      </c>
      <c r="F40" s="15" t="s">
        <v>85</v>
      </c>
      <c r="G40" s="16" t="s">
        <v>397</v>
      </c>
      <c r="H40" s="16" t="s">
        <v>63</v>
      </c>
      <c r="I40" s="17" t="s">
        <v>94</v>
      </c>
      <c r="J40" s="14"/>
      <c r="K40" s="14" t="str">
        <f>"185,0"</f>
        <v>185,0</v>
      </c>
      <c r="L40" s="14" t="str">
        <f>"109,5755"</f>
        <v>109,5755</v>
      </c>
      <c r="M40" s="15" t="s">
        <v>575</v>
      </c>
    </row>
    <row r="41" spans="1:13" ht="13">
      <c r="A41" s="4"/>
      <c r="B41" s="4" t="s">
        <v>35</v>
      </c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/>
    <row r="53" spans="1:13" ht="13"/>
    <row r="54" spans="1:13" ht="13"/>
    <row r="55" spans="1:13" ht="13"/>
  </sheetData>
  <mergeCells count="20">
    <mergeCell ref="A35:J35"/>
    <mergeCell ref="A39:J39"/>
    <mergeCell ref="A10:J10"/>
    <mergeCell ref="A16:J16"/>
    <mergeCell ref="A19:J19"/>
    <mergeCell ref="A22:J22"/>
    <mergeCell ref="A25:J25"/>
    <mergeCell ref="A29:J29"/>
    <mergeCell ref="A5:J5"/>
    <mergeCell ref="L3:L4"/>
    <mergeCell ref="M3:M4"/>
    <mergeCell ref="A1:M2"/>
    <mergeCell ref="A3:A4"/>
    <mergeCell ref="C3:C4"/>
    <mergeCell ref="D3:D4"/>
    <mergeCell ref="G3:J3"/>
    <mergeCell ref="B3:B4"/>
    <mergeCell ref="F3:F4"/>
    <mergeCell ref="E3:E4"/>
    <mergeCell ref="K3:K4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8"/>
  <sheetViews>
    <sheetView workbookViewId="0">
      <selection activeCell="E33" sqref="E33"/>
    </sheetView>
  </sheetViews>
  <sheetFormatPr baseColWidth="10" defaultColWidth="12.6640625" defaultRowHeight="15" customHeight="1"/>
  <cols>
    <col min="1" max="1" width="6.83203125" style="13" bestFit="1" customWidth="1"/>
    <col min="2" max="2" width="20.6640625" style="13" customWidth="1"/>
    <col min="3" max="3" width="29.5" style="13" customWidth="1"/>
    <col min="4" max="4" width="13.6640625" style="13" bestFit="1" customWidth="1"/>
    <col min="5" max="5" width="13.6640625" style="13" customWidth="1"/>
    <col min="6" max="6" width="31" style="13" bestFit="1" customWidth="1"/>
    <col min="7" max="10" width="5.6640625" style="13" bestFit="1" customWidth="1"/>
    <col min="11" max="11" width="10.5" style="13" bestFit="1" customWidth="1"/>
    <col min="12" max="12" width="8.6640625" style="13" bestFit="1" customWidth="1"/>
    <col min="13" max="13" width="23.83203125" style="13" customWidth="1"/>
    <col min="14" max="16384" width="12.6640625" style="13"/>
  </cols>
  <sheetData>
    <row r="1" spans="1:13" ht="28.5" customHeight="1">
      <c r="A1" s="43" t="s">
        <v>637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5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14" t="s">
        <v>11</v>
      </c>
      <c r="B6" s="15" t="s">
        <v>576</v>
      </c>
      <c r="C6" s="15" t="s">
        <v>577</v>
      </c>
      <c r="D6" s="15" t="s">
        <v>578</v>
      </c>
      <c r="E6" s="15" t="s">
        <v>652</v>
      </c>
      <c r="F6" s="15" t="s">
        <v>15</v>
      </c>
      <c r="G6" s="16" t="s">
        <v>16</v>
      </c>
      <c r="H6" s="16" t="s">
        <v>22</v>
      </c>
      <c r="I6" s="16" t="s">
        <v>42</v>
      </c>
      <c r="J6" s="14"/>
      <c r="K6" s="14" t="str">
        <f>"120,0"</f>
        <v>120,0</v>
      </c>
      <c r="L6" s="14" t="str">
        <f>"145,2720"</f>
        <v>145,2720</v>
      </c>
      <c r="M6" s="15" t="s">
        <v>579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4"/>
    </row>
    <row r="8" spans="1:13" ht="16">
      <c r="A8" s="33" t="s">
        <v>57</v>
      </c>
      <c r="B8" s="34"/>
      <c r="C8" s="34"/>
      <c r="D8" s="34"/>
      <c r="E8" s="34"/>
      <c r="F8" s="34"/>
      <c r="G8" s="34"/>
      <c r="H8" s="34"/>
      <c r="I8" s="34"/>
      <c r="J8" s="34"/>
      <c r="K8" s="3"/>
      <c r="L8" s="3"/>
      <c r="M8" s="4"/>
    </row>
    <row r="9" spans="1:13" ht="13">
      <c r="A9" s="14" t="s">
        <v>11</v>
      </c>
      <c r="B9" s="15" t="s">
        <v>580</v>
      </c>
      <c r="C9" s="15" t="s">
        <v>581</v>
      </c>
      <c r="D9" s="15" t="s">
        <v>582</v>
      </c>
      <c r="E9" s="15" t="s">
        <v>652</v>
      </c>
      <c r="F9" s="15" t="s">
        <v>15</v>
      </c>
      <c r="G9" s="16" t="s">
        <v>22</v>
      </c>
      <c r="H9" s="16" t="s">
        <v>42</v>
      </c>
      <c r="I9" s="17" t="s">
        <v>86</v>
      </c>
      <c r="J9" s="14"/>
      <c r="K9" s="14" t="str">
        <f>"120,0"</f>
        <v>120,0</v>
      </c>
      <c r="L9" s="14" t="str">
        <f>"114,4560"</f>
        <v>114,4560</v>
      </c>
      <c r="M9" s="15"/>
    </row>
    <row r="10" spans="1:13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3"/>
      <c r="L10" s="3"/>
      <c r="M10" s="4"/>
    </row>
    <row r="11" spans="1:13" ht="16">
      <c r="A11" s="33" t="s">
        <v>10</v>
      </c>
      <c r="B11" s="34"/>
      <c r="C11" s="34"/>
      <c r="D11" s="34"/>
      <c r="E11" s="34"/>
      <c r="F11" s="34"/>
      <c r="G11" s="34"/>
      <c r="H11" s="34"/>
      <c r="I11" s="34"/>
      <c r="J11" s="34"/>
      <c r="K11" s="3"/>
      <c r="L11" s="3"/>
      <c r="M11" s="4"/>
    </row>
    <row r="12" spans="1:13" ht="13">
      <c r="A12" s="14" t="s">
        <v>11</v>
      </c>
      <c r="B12" s="15" t="s">
        <v>358</v>
      </c>
      <c r="C12" s="15" t="s">
        <v>359</v>
      </c>
      <c r="D12" s="15" t="s">
        <v>583</v>
      </c>
      <c r="E12" s="15" t="s">
        <v>654</v>
      </c>
      <c r="F12" s="15" t="s">
        <v>361</v>
      </c>
      <c r="G12" s="16" t="s">
        <v>34</v>
      </c>
      <c r="H12" s="16" t="s">
        <v>16</v>
      </c>
      <c r="I12" s="16" t="s">
        <v>20</v>
      </c>
      <c r="J12" s="14"/>
      <c r="K12" s="14" t="str">
        <f>"105,0"</f>
        <v>105,0</v>
      </c>
      <c r="L12" s="14" t="str">
        <f>"113,4525"</f>
        <v>113,4525</v>
      </c>
      <c r="M12" s="15" t="s">
        <v>362</v>
      </c>
    </row>
    <row r="13" spans="1:13" ht="13">
      <c r="A13" s="4"/>
      <c r="B13" s="4" t="s">
        <v>35</v>
      </c>
      <c r="C13" s="4"/>
      <c r="D13" s="4"/>
      <c r="E13" s="4"/>
      <c r="F13" s="4"/>
      <c r="G13" s="3"/>
      <c r="H13" s="3"/>
      <c r="I13" s="3"/>
      <c r="J13" s="3"/>
      <c r="K13" s="3"/>
      <c r="L13" s="3"/>
      <c r="M13" s="4"/>
    </row>
    <row r="14" spans="1:13" ht="16">
      <c r="A14" s="33" t="s">
        <v>43</v>
      </c>
      <c r="B14" s="34"/>
      <c r="C14" s="34"/>
      <c r="D14" s="34"/>
      <c r="E14" s="34"/>
      <c r="F14" s="34"/>
      <c r="G14" s="34"/>
      <c r="H14" s="34"/>
      <c r="I14" s="34"/>
      <c r="J14" s="34"/>
      <c r="K14" s="3"/>
      <c r="L14" s="3"/>
      <c r="M14" s="4"/>
    </row>
    <row r="15" spans="1:13" ht="13">
      <c r="A15" s="14" t="s">
        <v>11</v>
      </c>
      <c r="B15" s="15" t="s">
        <v>584</v>
      </c>
      <c r="C15" s="15" t="s">
        <v>585</v>
      </c>
      <c r="D15" s="15" t="s">
        <v>586</v>
      </c>
      <c r="E15" s="15" t="s">
        <v>654</v>
      </c>
      <c r="F15" s="15" t="s">
        <v>361</v>
      </c>
      <c r="G15" s="16" t="s">
        <v>100</v>
      </c>
      <c r="H15" s="16" t="s">
        <v>86</v>
      </c>
      <c r="I15" s="16" t="s">
        <v>234</v>
      </c>
      <c r="J15" s="14"/>
      <c r="K15" s="14" t="str">
        <f>"135,0"</f>
        <v>135,0</v>
      </c>
      <c r="L15" s="14" t="str">
        <f>"118,2465"</f>
        <v>118,2465</v>
      </c>
      <c r="M15" s="15" t="s">
        <v>362</v>
      </c>
    </row>
    <row r="16" spans="1:13" ht="13">
      <c r="A16" s="4"/>
      <c r="B16" s="4" t="s">
        <v>35</v>
      </c>
      <c r="C16" s="4"/>
      <c r="D16" s="4"/>
      <c r="E16" s="4"/>
      <c r="F16" s="4"/>
      <c r="G16" s="3"/>
      <c r="H16" s="3"/>
      <c r="I16" s="3"/>
      <c r="J16" s="3"/>
      <c r="K16" s="3"/>
      <c r="L16" s="3"/>
      <c r="M16" s="4"/>
    </row>
    <row r="17" spans="1:13" ht="16">
      <c r="A17" s="33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3"/>
      <c r="L17" s="3"/>
      <c r="M17" s="4"/>
    </row>
    <row r="18" spans="1:13" ht="13">
      <c r="A18" s="5" t="s">
        <v>11</v>
      </c>
      <c r="B18" s="6" t="s">
        <v>587</v>
      </c>
      <c r="C18" s="6" t="s">
        <v>588</v>
      </c>
      <c r="D18" s="6" t="s">
        <v>135</v>
      </c>
      <c r="E18" s="6" t="s">
        <v>654</v>
      </c>
      <c r="F18" s="6" t="s">
        <v>361</v>
      </c>
      <c r="G18" s="7" t="s">
        <v>86</v>
      </c>
      <c r="H18" s="7" t="s">
        <v>234</v>
      </c>
      <c r="I18" s="7" t="s">
        <v>89</v>
      </c>
      <c r="J18" s="5"/>
      <c r="K18" s="5" t="str">
        <f>"140,0"</f>
        <v>140,0</v>
      </c>
      <c r="L18" s="5" t="str">
        <f>"108,9900"</f>
        <v>108,9900</v>
      </c>
      <c r="M18" s="6" t="s">
        <v>362</v>
      </c>
    </row>
    <row r="19" spans="1:13" ht="13">
      <c r="A19" s="9" t="s">
        <v>24</v>
      </c>
      <c r="B19" s="10" t="s">
        <v>589</v>
      </c>
      <c r="C19" s="10" t="s">
        <v>590</v>
      </c>
      <c r="D19" s="10" t="s">
        <v>591</v>
      </c>
      <c r="E19" s="10" t="s">
        <v>654</v>
      </c>
      <c r="F19" s="10" t="s">
        <v>361</v>
      </c>
      <c r="G19" s="11" t="s">
        <v>33</v>
      </c>
      <c r="H19" s="12" t="s">
        <v>34</v>
      </c>
      <c r="I19" s="12" t="s">
        <v>16</v>
      </c>
      <c r="J19" s="9"/>
      <c r="K19" s="9" t="str">
        <f>"100,0"</f>
        <v>100,0</v>
      </c>
      <c r="L19" s="9" t="str">
        <f>"83,7800"</f>
        <v>83,7800</v>
      </c>
      <c r="M19" s="10" t="s">
        <v>362</v>
      </c>
    </row>
    <row r="20" spans="1:13" ht="13">
      <c r="A20" s="4"/>
      <c r="B20" s="4" t="s">
        <v>35</v>
      </c>
      <c r="C20" s="4"/>
      <c r="D20" s="4"/>
      <c r="E20" s="4"/>
      <c r="F20" s="4"/>
      <c r="G20" s="3"/>
      <c r="H20" s="3"/>
      <c r="I20" s="3"/>
      <c r="J20" s="3"/>
      <c r="K20" s="3"/>
      <c r="L20" s="3"/>
      <c r="M20" s="4"/>
    </row>
    <row r="21" spans="1:13" ht="16">
      <c r="A21" s="33" t="s">
        <v>68</v>
      </c>
      <c r="B21" s="34"/>
      <c r="C21" s="34"/>
      <c r="D21" s="34"/>
      <c r="E21" s="34"/>
      <c r="F21" s="34"/>
      <c r="G21" s="34"/>
      <c r="H21" s="34"/>
      <c r="I21" s="34"/>
      <c r="J21" s="34"/>
      <c r="K21" s="3"/>
      <c r="L21" s="3"/>
      <c r="M21" s="4"/>
    </row>
    <row r="22" spans="1:13" ht="13">
      <c r="A22" s="5" t="s">
        <v>11</v>
      </c>
      <c r="B22" s="6" t="s">
        <v>399</v>
      </c>
      <c r="C22" s="6" t="s">
        <v>400</v>
      </c>
      <c r="D22" s="6" t="s">
        <v>401</v>
      </c>
      <c r="E22" s="6" t="s">
        <v>652</v>
      </c>
      <c r="F22" s="6" t="s">
        <v>396</v>
      </c>
      <c r="G22" s="7" t="s">
        <v>80</v>
      </c>
      <c r="H22" s="7" t="s">
        <v>81</v>
      </c>
      <c r="I22" s="7" t="s">
        <v>592</v>
      </c>
      <c r="J22" s="5"/>
      <c r="K22" s="5" t="str">
        <f>"237,5"</f>
        <v>237,5</v>
      </c>
      <c r="L22" s="5" t="str">
        <f>"161,0013"</f>
        <v>161,0013</v>
      </c>
      <c r="M22" s="6" t="s">
        <v>403</v>
      </c>
    </row>
    <row r="23" spans="1:13" ht="13">
      <c r="A23" s="9" t="s">
        <v>11</v>
      </c>
      <c r="B23" s="10" t="s">
        <v>593</v>
      </c>
      <c r="C23" s="10" t="s">
        <v>594</v>
      </c>
      <c r="D23" s="10" t="s">
        <v>595</v>
      </c>
      <c r="E23" s="10" t="s">
        <v>658</v>
      </c>
      <c r="F23" s="10" t="s">
        <v>15</v>
      </c>
      <c r="G23" s="12" t="s">
        <v>94</v>
      </c>
      <c r="H23" s="12" t="s">
        <v>125</v>
      </c>
      <c r="I23" s="11" t="s">
        <v>66</v>
      </c>
      <c r="J23" s="9"/>
      <c r="K23" s="9" t="str">
        <f>"195,0"</f>
        <v>195,0</v>
      </c>
      <c r="L23" s="9" t="str">
        <f>"139,5018"</f>
        <v>139,5018</v>
      </c>
      <c r="M23" s="10" t="s">
        <v>95</v>
      </c>
    </row>
    <row r="24" spans="1:13" ht="13">
      <c r="A24" s="4"/>
      <c r="B24" s="4" t="s">
        <v>35</v>
      </c>
      <c r="C24" s="4"/>
      <c r="D24" s="4"/>
      <c r="E24" s="4"/>
      <c r="F24" s="4"/>
      <c r="G24" s="3"/>
      <c r="H24" s="3"/>
      <c r="I24" s="3"/>
      <c r="J24" s="3"/>
      <c r="K24" s="3"/>
      <c r="L24" s="3"/>
      <c r="M24" s="4"/>
    </row>
    <row r="25" spans="1:13" ht="16">
      <c r="A25" s="33" t="s">
        <v>117</v>
      </c>
      <c r="B25" s="34"/>
      <c r="C25" s="34"/>
      <c r="D25" s="34"/>
      <c r="E25" s="34"/>
      <c r="F25" s="34"/>
      <c r="G25" s="34"/>
      <c r="H25" s="34"/>
      <c r="I25" s="34"/>
      <c r="J25" s="34"/>
      <c r="K25" s="3"/>
      <c r="L25" s="3"/>
      <c r="M25" s="4"/>
    </row>
    <row r="26" spans="1:13" ht="13">
      <c r="A26" s="14" t="s">
        <v>11</v>
      </c>
      <c r="B26" s="15" t="s">
        <v>420</v>
      </c>
      <c r="C26" s="15" t="s">
        <v>421</v>
      </c>
      <c r="D26" s="15" t="s">
        <v>422</v>
      </c>
      <c r="E26" s="15" t="s">
        <v>652</v>
      </c>
      <c r="F26" s="15" t="s">
        <v>423</v>
      </c>
      <c r="G26" s="16" t="s">
        <v>143</v>
      </c>
      <c r="H26" s="16" t="s">
        <v>144</v>
      </c>
      <c r="I26" s="16" t="s">
        <v>596</v>
      </c>
      <c r="J26" s="14"/>
      <c r="K26" s="14" t="str">
        <f>"255,0"</f>
        <v>255,0</v>
      </c>
      <c r="L26" s="14" t="str">
        <f>"164,6025"</f>
        <v>164,6025</v>
      </c>
      <c r="M26" s="15"/>
    </row>
    <row r="27" spans="1:13" ht="13">
      <c r="A27" s="4"/>
      <c r="B27" s="4" t="s">
        <v>35</v>
      </c>
      <c r="C27" s="4"/>
      <c r="D27" s="4"/>
      <c r="E27" s="4"/>
      <c r="F27" s="4"/>
      <c r="G27" s="3"/>
      <c r="H27" s="3"/>
      <c r="I27" s="3"/>
      <c r="J27" s="3"/>
      <c r="K27" s="3"/>
      <c r="L27" s="3"/>
      <c r="M27" s="4"/>
    </row>
    <row r="28" spans="1:13" ht="16">
      <c r="A28" s="33" t="s">
        <v>96</v>
      </c>
      <c r="B28" s="34"/>
      <c r="C28" s="34"/>
      <c r="D28" s="34"/>
      <c r="E28" s="34"/>
      <c r="F28" s="34"/>
      <c r="G28" s="34"/>
      <c r="H28" s="34"/>
      <c r="I28" s="34"/>
      <c r="J28" s="34"/>
      <c r="K28" s="3"/>
      <c r="L28" s="3"/>
      <c r="M28" s="4"/>
    </row>
    <row r="29" spans="1:13" ht="13">
      <c r="A29" s="14" t="s">
        <v>11</v>
      </c>
      <c r="B29" s="15" t="s">
        <v>433</v>
      </c>
      <c r="C29" s="15" t="s">
        <v>434</v>
      </c>
      <c r="D29" s="15" t="s">
        <v>435</v>
      </c>
      <c r="E29" s="15" t="s">
        <v>652</v>
      </c>
      <c r="F29" s="15" t="s">
        <v>396</v>
      </c>
      <c r="G29" s="16" t="s">
        <v>597</v>
      </c>
      <c r="H29" s="16" t="s">
        <v>598</v>
      </c>
      <c r="I29" s="16" t="s">
        <v>599</v>
      </c>
      <c r="J29" s="14"/>
      <c r="K29" s="14" t="str">
        <f>"312,5"</f>
        <v>312,5</v>
      </c>
      <c r="L29" s="14" t="str">
        <f>"192,4375"</f>
        <v>192,4375</v>
      </c>
      <c r="M29" s="15"/>
    </row>
    <row r="30" spans="1:13" ht="13">
      <c r="A30" s="4"/>
      <c r="B30" s="4" t="s">
        <v>35</v>
      </c>
      <c r="C30" s="4"/>
      <c r="D30" s="4"/>
      <c r="E30" s="4"/>
      <c r="F30" s="4"/>
      <c r="G30" s="3"/>
      <c r="H30" s="3"/>
      <c r="I30" s="3"/>
      <c r="J30" s="3"/>
      <c r="K30" s="3"/>
      <c r="L30" s="3"/>
      <c r="M30" s="4"/>
    </row>
    <row r="31" spans="1:13" ht="16">
      <c r="A31" s="33" t="s">
        <v>315</v>
      </c>
      <c r="B31" s="34"/>
      <c r="C31" s="34"/>
      <c r="D31" s="34"/>
      <c r="E31" s="34"/>
      <c r="F31" s="34"/>
      <c r="G31" s="34"/>
      <c r="H31" s="34"/>
      <c r="I31" s="34"/>
      <c r="J31" s="34"/>
      <c r="K31" s="3"/>
      <c r="L31" s="3"/>
      <c r="M31" s="4"/>
    </row>
    <row r="32" spans="1:13" ht="13">
      <c r="A32" s="14" t="s">
        <v>11</v>
      </c>
      <c r="B32" s="15" t="s">
        <v>600</v>
      </c>
      <c r="C32" s="15" t="s">
        <v>601</v>
      </c>
      <c r="D32" s="15" t="s">
        <v>602</v>
      </c>
      <c r="E32" s="15" t="s">
        <v>652</v>
      </c>
      <c r="F32" s="15" t="s">
        <v>15</v>
      </c>
      <c r="G32" s="17" t="s">
        <v>115</v>
      </c>
      <c r="H32" s="16" t="s">
        <v>115</v>
      </c>
      <c r="I32" s="16" t="s">
        <v>124</v>
      </c>
      <c r="J32" s="16" t="s">
        <v>124</v>
      </c>
      <c r="K32" s="14" t="str">
        <f>"280,0"</f>
        <v>280,0</v>
      </c>
      <c r="L32" s="14" t="str">
        <f>"165,2000"</f>
        <v>165,2000</v>
      </c>
      <c r="M32" s="15"/>
    </row>
    <row r="33" spans="1:13" ht="13">
      <c r="A33" s="4"/>
      <c r="B33" s="4" t="s">
        <v>35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4"/>
    </row>
    <row r="34" spans="1:13" ht="13">
      <c r="A34" s="4"/>
      <c r="B34" s="4" t="s">
        <v>35</v>
      </c>
      <c r="C34" s="4"/>
      <c r="D34" s="4"/>
      <c r="E34" s="4"/>
      <c r="F34" s="4"/>
      <c r="G34" s="3"/>
      <c r="H34" s="3"/>
      <c r="I34" s="3"/>
      <c r="J34" s="3"/>
      <c r="K34" s="3"/>
      <c r="L34" s="3"/>
      <c r="M34" s="4"/>
    </row>
    <row r="35" spans="1:13" ht="13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4"/>
    </row>
    <row r="36" spans="1:13" ht="13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4"/>
    </row>
    <row r="37" spans="1:13" ht="13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4"/>
    </row>
    <row r="54" spans="1:13" ht="13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4"/>
    </row>
    <row r="55" spans="1:13" ht="13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4"/>
    </row>
    <row r="56" spans="1:13" ht="13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4"/>
    </row>
    <row r="57" spans="1:13" ht="13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</row>
    <row r="58" spans="1:13" ht="13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4"/>
    </row>
    <row r="59" spans="1:13" ht="13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4"/>
    </row>
    <row r="60" spans="1:13" ht="13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4"/>
    </row>
    <row r="61" spans="1:13" ht="13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4"/>
    </row>
    <row r="62" spans="1:13" ht="13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4"/>
    </row>
    <row r="63" spans="1:13" ht="13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4"/>
    </row>
    <row r="64" spans="1:13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4"/>
    </row>
    <row r="65" spans="1:13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4"/>
    </row>
    <row r="66" spans="1:13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4"/>
    </row>
    <row r="67" spans="1:13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4"/>
    </row>
    <row r="68" spans="1:13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4"/>
    </row>
  </sheetData>
  <mergeCells count="20">
    <mergeCell ref="A31:J31"/>
    <mergeCell ref="A8:J8"/>
    <mergeCell ref="A11:J11"/>
    <mergeCell ref="A14:J14"/>
    <mergeCell ref="A17:J17"/>
    <mergeCell ref="A21:J21"/>
    <mergeCell ref="A28:J28"/>
    <mergeCell ref="A25:J25"/>
    <mergeCell ref="A5:J5"/>
    <mergeCell ref="L3:L4"/>
    <mergeCell ref="M3:M4"/>
    <mergeCell ref="A1:M2"/>
    <mergeCell ref="A3:A4"/>
    <mergeCell ref="C3:C4"/>
    <mergeCell ref="D3:D4"/>
    <mergeCell ref="G3:J3"/>
    <mergeCell ref="B3:B4"/>
    <mergeCell ref="F3:F4"/>
    <mergeCell ref="E3:E4"/>
    <mergeCell ref="K3:K4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60"/>
  <sheetViews>
    <sheetView tabSelected="1" workbookViewId="0">
      <selection activeCell="A8" sqref="A8:J8"/>
    </sheetView>
  </sheetViews>
  <sheetFormatPr baseColWidth="10" defaultColWidth="12.6640625" defaultRowHeight="15" customHeight="1"/>
  <cols>
    <col min="1" max="1" width="6.83203125" style="13" bestFit="1" customWidth="1"/>
    <col min="2" max="2" width="23.83203125" style="13" customWidth="1"/>
    <col min="3" max="3" width="31.33203125" style="13" customWidth="1"/>
    <col min="4" max="4" width="16.6640625" style="13" customWidth="1"/>
    <col min="5" max="5" width="13" style="13" customWidth="1"/>
    <col min="6" max="6" width="30" style="13" customWidth="1"/>
    <col min="7" max="10" width="5.5" style="13" customWidth="1"/>
    <col min="11" max="11" width="10.5" style="13" bestFit="1" customWidth="1"/>
    <col min="12" max="12" width="7.6640625" style="13" bestFit="1" customWidth="1"/>
    <col min="13" max="13" width="21.5" style="13" customWidth="1"/>
    <col min="14" max="16384" width="12.6640625" style="13"/>
  </cols>
  <sheetData>
    <row r="1" spans="1:13" ht="28.5" customHeight="1">
      <c r="A1" s="43" t="s">
        <v>638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603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14" t="s">
        <v>11</v>
      </c>
      <c r="B6" s="15" t="s">
        <v>485</v>
      </c>
      <c r="C6" s="15" t="s">
        <v>486</v>
      </c>
      <c r="D6" s="15" t="s">
        <v>360</v>
      </c>
      <c r="E6" s="15" t="s">
        <v>652</v>
      </c>
      <c r="F6" s="15" t="s">
        <v>624</v>
      </c>
      <c r="G6" s="16" t="s">
        <v>480</v>
      </c>
      <c r="H6" s="17" t="s">
        <v>48</v>
      </c>
      <c r="I6" s="17" t="s">
        <v>48</v>
      </c>
      <c r="J6" s="14"/>
      <c r="K6" s="14" t="str">
        <f>"20,0"</f>
        <v>20,0</v>
      </c>
      <c r="L6" s="14" t="str">
        <f>"22,4940"</f>
        <v>22,4940</v>
      </c>
      <c r="M6" s="15" t="s">
        <v>487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4"/>
    </row>
    <row r="8" spans="1:13" ht="16">
      <c r="A8" s="33" t="s">
        <v>36</v>
      </c>
      <c r="B8" s="34"/>
      <c r="C8" s="34"/>
      <c r="D8" s="34"/>
      <c r="E8" s="34"/>
      <c r="F8" s="34"/>
      <c r="G8" s="34"/>
      <c r="H8" s="34"/>
      <c r="I8" s="34"/>
      <c r="J8" s="34"/>
      <c r="K8" s="3"/>
      <c r="L8" s="3"/>
      <c r="M8" s="4"/>
    </row>
    <row r="9" spans="1:13" ht="13">
      <c r="A9" s="5" t="s">
        <v>11</v>
      </c>
      <c r="B9" s="6" t="s">
        <v>604</v>
      </c>
      <c r="C9" s="6" t="s">
        <v>646</v>
      </c>
      <c r="D9" s="6" t="s">
        <v>605</v>
      </c>
      <c r="E9" s="6" t="s">
        <v>659</v>
      </c>
      <c r="F9" s="6" t="s">
        <v>15</v>
      </c>
      <c r="G9" s="7" t="s">
        <v>480</v>
      </c>
      <c r="H9" s="7" t="s">
        <v>488</v>
      </c>
      <c r="I9" s="8" t="s">
        <v>48</v>
      </c>
      <c r="J9" s="5"/>
      <c r="K9" s="5" t="str">
        <f>"22,5"</f>
        <v>22,5</v>
      </c>
      <c r="L9" s="5" t="str">
        <f>"23,6070"</f>
        <v>23,6070</v>
      </c>
      <c r="M9" s="6" t="s">
        <v>606</v>
      </c>
    </row>
    <row r="10" spans="1:13" ht="13">
      <c r="A10" s="9" t="s">
        <v>11</v>
      </c>
      <c r="B10" s="10" t="s">
        <v>202</v>
      </c>
      <c r="C10" s="10" t="s">
        <v>203</v>
      </c>
      <c r="D10" s="10" t="s">
        <v>204</v>
      </c>
      <c r="E10" s="10" t="s">
        <v>658</v>
      </c>
      <c r="F10" s="10" t="s">
        <v>639</v>
      </c>
      <c r="G10" s="12" t="s">
        <v>607</v>
      </c>
      <c r="H10" s="12" t="s">
        <v>480</v>
      </c>
      <c r="I10" s="11" t="s">
        <v>488</v>
      </c>
      <c r="J10" s="9"/>
      <c r="K10" s="9" t="str">
        <f>"20,0"</f>
        <v>20,0</v>
      </c>
      <c r="L10" s="9" t="str">
        <f>"21,4812"</f>
        <v>21,4812</v>
      </c>
      <c r="M10" s="10" t="s">
        <v>206</v>
      </c>
    </row>
    <row r="11" spans="1:13" ht="13">
      <c r="A11" s="4"/>
      <c r="B11" s="4" t="s">
        <v>35</v>
      </c>
      <c r="C11" s="4"/>
      <c r="D11" s="4"/>
      <c r="E11" s="4"/>
      <c r="F11" s="4"/>
      <c r="G11" s="3"/>
      <c r="H11" s="3"/>
      <c r="I11" s="3"/>
      <c r="J11" s="3"/>
      <c r="K11" s="3"/>
      <c r="L11" s="3"/>
      <c r="M11" s="4"/>
    </row>
    <row r="12" spans="1:13" ht="16">
      <c r="A12" s="33" t="s">
        <v>43</v>
      </c>
      <c r="B12" s="34"/>
      <c r="C12" s="34"/>
      <c r="D12" s="34"/>
      <c r="E12" s="34"/>
      <c r="F12" s="34"/>
      <c r="G12" s="34"/>
      <c r="H12" s="34"/>
      <c r="I12" s="34"/>
      <c r="J12" s="34"/>
      <c r="K12" s="3"/>
      <c r="L12" s="3"/>
      <c r="M12" s="4"/>
    </row>
    <row r="13" spans="1:13" ht="13">
      <c r="A13" s="14" t="s">
        <v>11</v>
      </c>
      <c r="B13" s="15" t="s">
        <v>215</v>
      </c>
      <c r="C13" s="15" t="s">
        <v>216</v>
      </c>
      <c r="D13" s="15" t="s">
        <v>217</v>
      </c>
      <c r="E13" s="15" t="s">
        <v>652</v>
      </c>
      <c r="F13" s="15" t="s">
        <v>639</v>
      </c>
      <c r="G13" s="16" t="s">
        <v>480</v>
      </c>
      <c r="H13" s="16" t="s">
        <v>488</v>
      </c>
      <c r="I13" s="16" t="s">
        <v>48</v>
      </c>
      <c r="J13" s="14"/>
      <c r="K13" s="14" t="str">
        <f>"25,0"</f>
        <v>25,0</v>
      </c>
      <c r="L13" s="14" t="str">
        <f>"24,7900"</f>
        <v>24,7900</v>
      </c>
      <c r="M13" s="15" t="s">
        <v>206</v>
      </c>
    </row>
    <row r="14" spans="1:13" ht="13">
      <c r="A14" s="4"/>
      <c r="B14" s="4" t="s">
        <v>35</v>
      </c>
      <c r="C14" s="4"/>
      <c r="D14" s="4"/>
      <c r="E14" s="4"/>
      <c r="F14" s="4"/>
      <c r="G14" s="3"/>
      <c r="H14" s="3"/>
      <c r="I14" s="3"/>
      <c r="J14" s="3"/>
      <c r="K14" s="3"/>
      <c r="L14" s="3"/>
      <c r="M14" s="4"/>
    </row>
    <row r="15" spans="1:13" ht="16">
      <c r="A15" s="33" t="s">
        <v>51</v>
      </c>
      <c r="B15" s="34"/>
      <c r="C15" s="34"/>
      <c r="D15" s="34"/>
      <c r="E15" s="34"/>
      <c r="F15" s="34"/>
      <c r="G15" s="34"/>
      <c r="H15" s="34"/>
      <c r="I15" s="34"/>
      <c r="J15" s="34"/>
      <c r="K15" s="3"/>
      <c r="L15" s="3"/>
      <c r="M15" s="4"/>
    </row>
    <row r="16" spans="1:13" ht="13">
      <c r="A16" s="5" t="s">
        <v>11</v>
      </c>
      <c r="B16" s="6" t="s">
        <v>608</v>
      </c>
      <c r="C16" s="6" t="s">
        <v>647</v>
      </c>
      <c r="D16" s="6" t="s">
        <v>609</v>
      </c>
      <c r="E16" s="6" t="s">
        <v>653</v>
      </c>
      <c r="F16" s="6" t="s">
        <v>15</v>
      </c>
      <c r="G16" s="7" t="s">
        <v>19</v>
      </c>
      <c r="H16" s="7" t="s">
        <v>163</v>
      </c>
      <c r="I16" s="8" t="s">
        <v>47</v>
      </c>
      <c r="J16" s="5"/>
      <c r="K16" s="5" t="str">
        <f t="shared" ref="K16:K17" si="0">"60,0"</f>
        <v>60,0</v>
      </c>
      <c r="L16" s="5" t="str">
        <f t="shared" ref="L16:L17" si="1">"46,3032"</f>
        <v>46,3032</v>
      </c>
      <c r="M16" s="6"/>
    </row>
    <row r="17" spans="1:13" ht="13">
      <c r="A17" s="18" t="s">
        <v>11</v>
      </c>
      <c r="B17" s="19" t="s">
        <v>608</v>
      </c>
      <c r="C17" s="19" t="s">
        <v>610</v>
      </c>
      <c r="D17" s="19" t="s">
        <v>609</v>
      </c>
      <c r="E17" s="19" t="s">
        <v>652</v>
      </c>
      <c r="F17" s="19" t="s">
        <v>15</v>
      </c>
      <c r="G17" s="20" t="s">
        <v>19</v>
      </c>
      <c r="H17" s="20" t="s">
        <v>163</v>
      </c>
      <c r="I17" s="21" t="s">
        <v>47</v>
      </c>
      <c r="J17" s="18"/>
      <c r="K17" s="18" t="str">
        <f t="shared" si="0"/>
        <v>60,0</v>
      </c>
      <c r="L17" s="18" t="str">
        <f t="shared" si="1"/>
        <v>46,3032</v>
      </c>
      <c r="M17" s="19"/>
    </row>
    <row r="18" spans="1:13" ht="13">
      <c r="A18" s="9" t="s">
        <v>52</v>
      </c>
      <c r="B18" s="10" t="s">
        <v>611</v>
      </c>
      <c r="C18" s="10" t="s">
        <v>612</v>
      </c>
      <c r="D18" s="10" t="s">
        <v>613</v>
      </c>
      <c r="E18" s="10" t="s">
        <v>652</v>
      </c>
      <c r="F18" s="10" t="s">
        <v>15</v>
      </c>
      <c r="G18" s="11" t="s">
        <v>47</v>
      </c>
      <c r="H18" s="11" t="s">
        <v>47</v>
      </c>
      <c r="I18" s="11" t="s">
        <v>47</v>
      </c>
      <c r="J18" s="9"/>
      <c r="K18" s="9" t="str">
        <f>"0.00"</f>
        <v>0.00</v>
      </c>
      <c r="L18" s="9" t="str">
        <f>"0,0000"</f>
        <v>0,0000</v>
      </c>
      <c r="M18" s="10"/>
    </row>
    <row r="19" spans="1:13" ht="13">
      <c r="A19" s="4"/>
      <c r="B19" s="4" t="s">
        <v>35</v>
      </c>
      <c r="C19" s="4"/>
      <c r="D19" s="4"/>
      <c r="E19" s="4"/>
      <c r="F19" s="4"/>
      <c r="G19" s="3"/>
      <c r="H19" s="3"/>
      <c r="I19" s="3"/>
      <c r="J19" s="3"/>
      <c r="K19" s="3"/>
      <c r="L19" s="3"/>
      <c r="M19" s="4"/>
    </row>
    <row r="20" spans="1:13" ht="16">
      <c r="A20" s="33" t="s">
        <v>57</v>
      </c>
      <c r="B20" s="34"/>
      <c r="C20" s="34"/>
      <c r="D20" s="34"/>
      <c r="E20" s="34"/>
      <c r="F20" s="34"/>
      <c r="G20" s="34"/>
      <c r="H20" s="34"/>
      <c r="I20" s="34"/>
      <c r="J20" s="34"/>
      <c r="K20" s="3"/>
      <c r="L20" s="3"/>
      <c r="M20" s="4"/>
    </row>
    <row r="21" spans="1:13" ht="13">
      <c r="A21" s="14" t="s">
        <v>11</v>
      </c>
      <c r="B21" s="15" t="s">
        <v>246</v>
      </c>
      <c r="C21" s="15" t="s">
        <v>247</v>
      </c>
      <c r="D21" s="15" t="s">
        <v>237</v>
      </c>
      <c r="E21" s="15" t="s">
        <v>655</v>
      </c>
      <c r="F21" s="15" t="s">
        <v>639</v>
      </c>
      <c r="G21" s="16" t="s">
        <v>41</v>
      </c>
      <c r="H21" s="16" t="s">
        <v>32</v>
      </c>
      <c r="I21" s="17" t="s">
        <v>18</v>
      </c>
      <c r="J21" s="14"/>
      <c r="K21" s="14" t="str">
        <f>"50,0"</f>
        <v>50,0</v>
      </c>
      <c r="L21" s="14" t="str">
        <f>"39,1743"</f>
        <v>39,1743</v>
      </c>
      <c r="M21" s="15"/>
    </row>
    <row r="22" spans="1:13" ht="13">
      <c r="A22" s="4"/>
      <c r="B22" s="4" t="s">
        <v>35</v>
      </c>
      <c r="C22" s="4"/>
      <c r="D22" s="4"/>
      <c r="E22" s="4"/>
      <c r="F22" s="4"/>
      <c r="G22" s="3"/>
      <c r="H22" s="3"/>
      <c r="I22" s="3"/>
      <c r="J22" s="3"/>
      <c r="K22" s="3"/>
      <c r="L22" s="3"/>
      <c r="M22" s="4"/>
    </row>
    <row r="23" spans="1:13" ht="16">
      <c r="A23" s="33" t="s">
        <v>68</v>
      </c>
      <c r="B23" s="34"/>
      <c r="C23" s="34"/>
      <c r="D23" s="34"/>
      <c r="E23" s="34"/>
      <c r="F23" s="34"/>
      <c r="G23" s="34"/>
      <c r="H23" s="34"/>
      <c r="I23" s="34"/>
      <c r="J23" s="34"/>
      <c r="K23" s="3"/>
      <c r="L23" s="3"/>
      <c r="M23" s="4"/>
    </row>
    <row r="24" spans="1:13" ht="13">
      <c r="A24" s="14" t="s">
        <v>11</v>
      </c>
      <c r="B24" s="15" t="s">
        <v>268</v>
      </c>
      <c r="C24" s="15" t="s">
        <v>269</v>
      </c>
      <c r="D24" s="15" t="s">
        <v>614</v>
      </c>
      <c r="E24" s="15" t="s">
        <v>652</v>
      </c>
      <c r="F24" s="15" t="s">
        <v>271</v>
      </c>
      <c r="G24" s="16" t="s">
        <v>32</v>
      </c>
      <c r="H24" s="16" t="s">
        <v>19</v>
      </c>
      <c r="I24" s="17" t="s">
        <v>47</v>
      </c>
      <c r="J24" s="14"/>
      <c r="K24" s="14" t="str">
        <f>"57,5"</f>
        <v>57,5</v>
      </c>
      <c r="L24" s="14" t="str">
        <f>"38,2318"</f>
        <v>38,2318</v>
      </c>
      <c r="M24" s="15"/>
    </row>
    <row r="25" spans="1:13" ht="13">
      <c r="A25" s="4"/>
      <c r="B25" s="4" t="s">
        <v>35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4"/>
    </row>
    <row r="26" spans="1:13" ht="16">
      <c r="A26" s="33" t="s">
        <v>117</v>
      </c>
      <c r="B26" s="34"/>
      <c r="C26" s="34"/>
      <c r="D26" s="34"/>
      <c r="E26" s="34"/>
      <c r="F26" s="34"/>
      <c r="G26" s="34"/>
      <c r="H26" s="34"/>
      <c r="I26" s="34"/>
      <c r="J26" s="34"/>
      <c r="K26" s="3"/>
      <c r="L26" s="3"/>
      <c r="M26" s="4"/>
    </row>
    <row r="27" spans="1:13" ht="13">
      <c r="A27" s="5" t="s">
        <v>11</v>
      </c>
      <c r="B27" s="6" t="s">
        <v>298</v>
      </c>
      <c r="C27" s="6" t="s">
        <v>299</v>
      </c>
      <c r="D27" s="6" t="s">
        <v>300</v>
      </c>
      <c r="E27" s="6" t="s">
        <v>652</v>
      </c>
      <c r="F27" s="6" t="s">
        <v>15</v>
      </c>
      <c r="G27" s="7" t="s">
        <v>18</v>
      </c>
      <c r="H27" s="8" t="s">
        <v>163</v>
      </c>
      <c r="I27" s="8" t="s">
        <v>163</v>
      </c>
      <c r="J27" s="5"/>
      <c r="K27" s="5" t="str">
        <f>"55,0"</f>
        <v>55,0</v>
      </c>
      <c r="L27" s="5" t="str">
        <f>"33,7342"</f>
        <v>33,7342</v>
      </c>
      <c r="M27" s="6" t="s">
        <v>301</v>
      </c>
    </row>
    <row r="28" spans="1:13" ht="13">
      <c r="A28" s="9" t="s">
        <v>11</v>
      </c>
      <c r="B28" s="10" t="s">
        <v>424</v>
      </c>
      <c r="C28" s="10" t="s">
        <v>482</v>
      </c>
      <c r="D28" s="10" t="s">
        <v>483</v>
      </c>
      <c r="E28" s="10" t="s">
        <v>657</v>
      </c>
      <c r="F28" s="10" t="s">
        <v>427</v>
      </c>
      <c r="G28" s="12" t="s">
        <v>41</v>
      </c>
      <c r="H28" s="11" t="s">
        <v>31</v>
      </c>
      <c r="I28" s="11" t="s">
        <v>56</v>
      </c>
      <c r="J28" s="9"/>
      <c r="K28" s="9" t="str">
        <f>"40,0"</f>
        <v>40,0</v>
      </c>
      <c r="L28" s="9" t="str">
        <f>"33,5389"</f>
        <v>33,5389</v>
      </c>
      <c r="M28" s="10"/>
    </row>
    <row r="29" spans="1:13" ht="13">
      <c r="A29" s="4"/>
      <c r="B29" s="4" t="s">
        <v>35</v>
      </c>
      <c r="C29" s="4"/>
      <c r="D29" s="4"/>
      <c r="E29" s="4"/>
      <c r="F29" s="4"/>
      <c r="G29" s="3"/>
      <c r="H29" s="3"/>
      <c r="I29" s="3"/>
      <c r="J29" s="3"/>
      <c r="K29" s="3"/>
      <c r="L29" s="3"/>
      <c r="M29" s="4"/>
    </row>
    <row r="30" spans="1:13" ht="16">
      <c r="A30" s="33" t="s">
        <v>96</v>
      </c>
      <c r="B30" s="34"/>
      <c r="C30" s="34"/>
      <c r="D30" s="34"/>
      <c r="E30" s="34"/>
      <c r="F30" s="34"/>
      <c r="G30" s="34"/>
      <c r="H30" s="34"/>
      <c r="I30" s="34"/>
      <c r="J30" s="34"/>
      <c r="K30" s="3"/>
      <c r="L30" s="3"/>
      <c r="M30" s="4"/>
    </row>
    <row r="31" spans="1:13" ht="13">
      <c r="A31" s="14" t="s">
        <v>11</v>
      </c>
      <c r="B31" s="15" t="s">
        <v>615</v>
      </c>
      <c r="C31" s="15" t="s">
        <v>616</v>
      </c>
      <c r="D31" s="15" t="s">
        <v>617</v>
      </c>
      <c r="E31" s="15" t="s">
        <v>652</v>
      </c>
      <c r="F31" s="15" t="s">
        <v>271</v>
      </c>
      <c r="G31" s="16" t="s">
        <v>72</v>
      </c>
      <c r="H31" s="16" t="s">
        <v>40</v>
      </c>
      <c r="I31" s="17" t="s">
        <v>28</v>
      </c>
      <c r="J31" s="14"/>
      <c r="K31" s="14" t="str">
        <f>"70,0"</f>
        <v>70,0</v>
      </c>
      <c r="L31" s="14" t="str">
        <f>"41,1880"</f>
        <v>41,1880</v>
      </c>
      <c r="M31" s="15" t="s">
        <v>618</v>
      </c>
    </row>
    <row r="32" spans="1:13" ht="13">
      <c r="A32" s="4"/>
      <c r="B32" s="4" t="s">
        <v>35</v>
      </c>
      <c r="C32" s="4"/>
      <c r="D32" s="4"/>
      <c r="E32" s="4"/>
      <c r="F32" s="4"/>
      <c r="G32" s="3"/>
      <c r="H32" s="3"/>
      <c r="I32" s="3"/>
      <c r="J32" s="3"/>
      <c r="K32" s="3"/>
      <c r="L32" s="3"/>
      <c r="M32" s="4"/>
    </row>
    <row r="33" spans="1:13" ht="16">
      <c r="A33" s="33" t="s">
        <v>315</v>
      </c>
      <c r="B33" s="34"/>
      <c r="C33" s="34"/>
      <c r="D33" s="34"/>
      <c r="E33" s="34"/>
      <c r="F33" s="34"/>
      <c r="G33" s="34"/>
      <c r="H33" s="34"/>
      <c r="I33" s="34"/>
      <c r="J33" s="34"/>
      <c r="K33" s="3"/>
      <c r="L33" s="3"/>
      <c r="M33" s="4"/>
    </row>
    <row r="34" spans="1:13" ht="13">
      <c r="A34" s="5" t="s">
        <v>11</v>
      </c>
      <c r="B34" s="6" t="s">
        <v>619</v>
      </c>
      <c r="C34" s="6" t="s">
        <v>648</v>
      </c>
      <c r="D34" s="6" t="s">
        <v>620</v>
      </c>
      <c r="E34" s="6" t="s">
        <v>653</v>
      </c>
      <c r="F34" s="6" t="s">
        <v>15</v>
      </c>
      <c r="G34" s="7" t="s">
        <v>72</v>
      </c>
      <c r="H34" s="7" t="s">
        <v>40</v>
      </c>
      <c r="I34" s="8" t="s">
        <v>73</v>
      </c>
      <c r="J34" s="5"/>
      <c r="K34" s="5" t="str">
        <f>"70,0"</f>
        <v>70,0</v>
      </c>
      <c r="L34" s="5" t="str">
        <f>"39,7163"</f>
        <v>39,7163</v>
      </c>
      <c r="M34" s="6"/>
    </row>
    <row r="35" spans="1:13" ht="13">
      <c r="A35" s="9" t="s">
        <v>11</v>
      </c>
      <c r="B35" s="10" t="s">
        <v>621</v>
      </c>
      <c r="C35" s="10" t="s">
        <v>622</v>
      </c>
      <c r="D35" s="10" t="s">
        <v>623</v>
      </c>
      <c r="E35" s="10" t="s">
        <v>652</v>
      </c>
      <c r="F35" s="10" t="s">
        <v>15</v>
      </c>
      <c r="G35" s="12" t="s">
        <v>73</v>
      </c>
      <c r="H35" s="11" t="s">
        <v>481</v>
      </c>
      <c r="I35" s="11" t="s">
        <v>481</v>
      </c>
      <c r="J35" s="9"/>
      <c r="K35" s="9" t="str">
        <f>"75,0"</f>
        <v>75,0</v>
      </c>
      <c r="L35" s="9" t="str">
        <f>"42,5738"</f>
        <v>42,5738</v>
      </c>
      <c r="M35" s="10"/>
    </row>
    <row r="36" spans="1:13" ht="13">
      <c r="A36" s="4"/>
      <c r="B36" s="4" t="s">
        <v>35</v>
      </c>
      <c r="C36" s="4"/>
      <c r="D36" s="4"/>
      <c r="E36" s="4"/>
      <c r="F36" s="4"/>
      <c r="G36" s="3"/>
      <c r="H36" s="3"/>
      <c r="I36" s="3"/>
      <c r="J36" s="3"/>
      <c r="K36" s="3"/>
      <c r="L36" s="3"/>
      <c r="M36" s="4"/>
    </row>
    <row r="37" spans="1:13" ht="13">
      <c r="A37" s="4"/>
      <c r="B37" s="4" t="s">
        <v>35</v>
      </c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4"/>
    </row>
    <row r="54" spans="1:13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4"/>
    </row>
    <row r="55" spans="1:13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4"/>
    </row>
    <row r="56" spans="1:13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4"/>
    </row>
    <row r="57" spans="1:13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</row>
    <row r="58" spans="1:13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4"/>
    </row>
    <row r="59" spans="1:13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4"/>
    </row>
    <row r="60" spans="1:13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4"/>
    </row>
  </sheetData>
  <mergeCells count="20">
    <mergeCell ref="A30:J30"/>
    <mergeCell ref="A33:J33"/>
    <mergeCell ref="A8:J8"/>
    <mergeCell ref="A12:J12"/>
    <mergeCell ref="A15:J15"/>
    <mergeCell ref="A20:J20"/>
    <mergeCell ref="A23:J23"/>
    <mergeCell ref="A26:J26"/>
    <mergeCell ref="A5:J5"/>
    <mergeCell ref="L3:L4"/>
    <mergeCell ref="M3:M4"/>
    <mergeCell ref="A1:M2"/>
    <mergeCell ref="A3:A4"/>
    <mergeCell ref="C3:C4"/>
    <mergeCell ref="D3:D4"/>
    <mergeCell ref="G3:J3"/>
    <mergeCell ref="B3:B4"/>
    <mergeCell ref="F3:F4"/>
    <mergeCell ref="E3:E4"/>
    <mergeCell ref="K3:K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8"/>
  <sheetViews>
    <sheetView workbookViewId="0">
      <selection sqref="A1:U2"/>
    </sheetView>
  </sheetViews>
  <sheetFormatPr baseColWidth="10" defaultColWidth="12.6640625" defaultRowHeight="15" customHeight="1"/>
  <cols>
    <col min="1" max="1" width="8.1640625" style="1" bestFit="1" customWidth="1"/>
    <col min="2" max="2" width="20.5" style="1" customWidth="1"/>
    <col min="3" max="3" width="27.6640625" style="1" customWidth="1"/>
    <col min="4" max="4" width="14.1640625" style="1" customWidth="1"/>
    <col min="5" max="5" width="8" style="1" bestFit="1" customWidth="1"/>
    <col min="6" max="6" width="28.83203125" style="1" customWidth="1"/>
    <col min="7" max="18" width="5.6640625" style="1" customWidth="1"/>
    <col min="19" max="19" width="8.6640625" style="1" bestFit="1" customWidth="1"/>
    <col min="20" max="20" width="10.33203125" style="1" bestFit="1" customWidth="1"/>
    <col min="21" max="21" width="18.33203125" style="1" customWidth="1"/>
    <col min="22" max="16384" width="12.6640625" style="1"/>
  </cols>
  <sheetData>
    <row r="1" spans="1:21" ht="28.5" customHeight="1">
      <c r="A1" s="43" t="s">
        <v>626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4"/>
    </row>
    <row r="2" spans="1:21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3</v>
      </c>
      <c r="H3" s="40"/>
      <c r="I3" s="40"/>
      <c r="J3" s="41"/>
      <c r="K3" s="39" t="s">
        <v>4</v>
      </c>
      <c r="L3" s="40"/>
      <c r="M3" s="40"/>
      <c r="N3" s="41"/>
      <c r="O3" s="39" t="s">
        <v>5</v>
      </c>
      <c r="P3" s="40"/>
      <c r="Q3" s="40"/>
      <c r="R3" s="41"/>
      <c r="S3" s="37" t="s">
        <v>6</v>
      </c>
      <c r="T3" s="37" t="s">
        <v>7</v>
      </c>
      <c r="U3" s="51" t="s">
        <v>8</v>
      </c>
    </row>
    <row r="4" spans="1:21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2">
        <v>1</v>
      </c>
      <c r="L4" s="2">
        <v>2</v>
      </c>
      <c r="M4" s="2">
        <v>3</v>
      </c>
      <c r="N4" s="2" t="s">
        <v>9</v>
      </c>
      <c r="O4" s="2">
        <v>1</v>
      </c>
      <c r="P4" s="2">
        <v>2</v>
      </c>
      <c r="Q4" s="2">
        <v>3</v>
      </c>
      <c r="R4" s="2" t="s">
        <v>9</v>
      </c>
      <c r="S4" s="38"/>
      <c r="T4" s="38"/>
      <c r="U4" s="52"/>
    </row>
    <row r="5" spans="1:21" ht="16">
      <c r="A5" s="35" t="s">
        <v>57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"/>
      <c r="T5" s="3"/>
      <c r="U5" s="4"/>
    </row>
    <row r="6" spans="1:21" ht="13" customHeight="1">
      <c r="A6" s="14" t="s">
        <v>11</v>
      </c>
      <c r="B6" s="15" t="s">
        <v>105</v>
      </c>
      <c r="C6" s="15" t="s">
        <v>106</v>
      </c>
      <c r="D6" s="15" t="s">
        <v>107</v>
      </c>
      <c r="E6" s="15" t="s">
        <v>654</v>
      </c>
      <c r="F6" s="15" t="s">
        <v>15</v>
      </c>
      <c r="G6" s="16" t="s">
        <v>28</v>
      </c>
      <c r="H6" s="16" t="s">
        <v>33</v>
      </c>
      <c r="I6" s="17" t="s">
        <v>34</v>
      </c>
      <c r="J6" s="14"/>
      <c r="K6" s="16" t="s">
        <v>41</v>
      </c>
      <c r="L6" s="16" t="s">
        <v>30</v>
      </c>
      <c r="M6" s="14"/>
      <c r="N6" s="14"/>
      <c r="O6" s="16" t="s">
        <v>28</v>
      </c>
      <c r="P6" s="16" t="s">
        <v>33</v>
      </c>
      <c r="Q6" s="14"/>
      <c r="R6" s="14"/>
      <c r="S6" s="14" t="str">
        <f>"225,0"</f>
        <v>225,0</v>
      </c>
      <c r="T6" s="14" t="str">
        <f>"172,8675"</f>
        <v>172,8675</v>
      </c>
      <c r="U6" s="15" t="s">
        <v>101</v>
      </c>
    </row>
    <row r="7" spans="1:21" ht="13" customHeight="1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6">
      <c r="A8" s="33" t="s">
        <v>68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"/>
      <c r="T8" s="3"/>
      <c r="U8" s="4"/>
    </row>
    <row r="9" spans="1:21" ht="13">
      <c r="A9" s="5" t="s">
        <v>11</v>
      </c>
      <c r="B9" s="6" t="s">
        <v>108</v>
      </c>
      <c r="C9" s="6" t="s">
        <v>109</v>
      </c>
      <c r="D9" s="6" t="s">
        <v>110</v>
      </c>
      <c r="E9" s="6" t="s">
        <v>654</v>
      </c>
      <c r="F9" s="6" t="s">
        <v>15</v>
      </c>
      <c r="G9" s="7" t="s">
        <v>22</v>
      </c>
      <c r="H9" s="7" t="s">
        <v>42</v>
      </c>
      <c r="I9" s="5"/>
      <c r="J9" s="5"/>
      <c r="K9" s="7" t="s">
        <v>28</v>
      </c>
      <c r="L9" s="8" t="s">
        <v>33</v>
      </c>
      <c r="M9" s="8" t="s">
        <v>33</v>
      </c>
      <c r="N9" s="5"/>
      <c r="O9" s="7" t="s">
        <v>86</v>
      </c>
      <c r="P9" s="7" t="s">
        <v>88</v>
      </c>
      <c r="Q9" s="8" t="s">
        <v>61</v>
      </c>
      <c r="R9" s="5"/>
      <c r="S9" s="5" t="str">
        <f>"350,0"</f>
        <v>350,0</v>
      </c>
      <c r="T9" s="5" t="str">
        <f>"238,3850"</f>
        <v>238,3850</v>
      </c>
      <c r="U9" s="6" t="s">
        <v>101</v>
      </c>
    </row>
    <row r="10" spans="1:21" ht="13">
      <c r="A10" s="9" t="s">
        <v>11</v>
      </c>
      <c r="B10" s="10" t="s">
        <v>111</v>
      </c>
      <c r="C10" s="10" t="s">
        <v>112</v>
      </c>
      <c r="D10" s="10" t="s">
        <v>113</v>
      </c>
      <c r="E10" s="10" t="s">
        <v>652</v>
      </c>
      <c r="F10" s="10" t="s">
        <v>15</v>
      </c>
      <c r="G10" s="12" t="s">
        <v>81</v>
      </c>
      <c r="H10" s="12" t="s">
        <v>114</v>
      </c>
      <c r="I10" s="11" t="s">
        <v>115</v>
      </c>
      <c r="J10" s="9"/>
      <c r="K10" s="12" t="s">
        <v>62</v>
      </c>
      <c r="L10" s="12" t="s">
        <v>65</v>
      </c>
      <c r="M10" s="11" t="s">
        <v>94</v>
      </c>
      <c r="N10" s="9"/>
      <c r="O10" s="12" t="s">
        <v>80</v>
      </c>
      <c r="P10" s="11" t="s">
        <v>116</v>
      </c>
      <c r="Q10" s="9"/>
      <c r="R10" s="9"/>
      <c r="S10" s="9" t="str">
        <f>"650,0"</f>
        <v>650,0</v>
      </c>
      <c r="T10" s="9" t="str">
        <f>"437,7100"</f>
        <v>437,7100</v>
      </c>
      <c r="U10" s="10" t="s">
        <v>101</v>
      </c>
    </row>
    <row r="11" spans="1:21" ht="13">
      <c r="A11" s="4"/>
      <c r="B11" s="4" t="s">
        <v>35</v>
      </c>
      <c r="C11" s="4"/>
      <c r="D11" s="4"/>
      <c r="E11" s="4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1" ht="16">
      <c r="A12" s="33" t="s">
        <v>117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"/>
      <c r="T12" s="3"/>
      <c r="U12" s="4"/>
    </row>
    <row r="13" spans="1:21" ht="13">
      <c r="A13" s="14" t="s">
        <v>11</v>
      </c>
      <c r="B13" s="15" t="s">
        <v>118</v>
      </c>
      <c r="C13" s="15" t="s">
        <v>119</v>
      </c>
      <c r="D13" s="15" t="s">
        <v>120</v>
      </c>
      <c r="E13" s="15" t="s">
        <v>652</v>
      </c>
      <c r="F13" s="15" t="s">
        <v>639</v>
      </c>
      <c r="G13" s="17" t="s">
        <v>63</v>
      </c>
      <c r="H13" s="17" t="s">
        <v>63</v>
      </c>
      <c r="I13" s="16" t="s">
        <v>63</v>
      </c>
      <c r="J13" s="14"/>
      <c r="K13" s="16" t="s">
        <v>42</v>
      </c>
      <c r="L13" s="16" t="s">
        <v>100</v>
      </c>
      <c r="M13" s="16" t="s">
        <v>86</v>
      </c>
      <c r="N13" s="14"/>
      <c r="O13" s="16" t="s">
        <v>66</v>
      </c>
      <c r="P13" s="17" t="s">
        <v>67</v>
      </c>
      <c r="Q13" s="16" t="s">
        <v>67</v>
      </c>
      <c r="R13" s="14"/>
      <c r="S13" s="14" t="str">
        <f>"525,0"</f>
        <v>525,0</v>
      </c>
      <c r="T13" s="14" t="str">
        <f>"336,8925"</f>
        <v>336,8925</v>
      </c>
      <c r="U13" s="15"/>
    </row>
    <row r="14" spans="1:21" ht="13">
      <c r="A14" s="4"/>
      <c r="B14" s="4" t="s">
        <v>35</v>
      </c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6">
      <c r="A15" s="33" t="s">
        <v>96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"/>
      <c r="T15" s="3"/>
      <c r="U15" s="4"/>
    </row>
    <row r="16" spans="1:21" ht="13">
      <c r="A16" s="5" t="s">
        <v>11</v>
      </c>
      <c r="B16" s="6" t="s">
        <v>121</v>
      </c>
      <c r="C16" s="6" t="s">
        <v>122</v>
      </c>
      <c r="D16" s="6" t="s">
        <v>123</v>
      </c>
      <c r="E16" s="6" t="s">
        <v>652</v>
      </c>
      <c r="F16" s="6" t="s">
        <v>639</v>
      </c>
      <c r="G16" s="7" t="s">
        <v>115</v>
      </c>
      <c r="H16" s="8" t="s">
        <v>124</v>
      </c>
      <c r="I16" s="8" t="s">
        <v>124</v>
      </c>
      <c r="J16" s="5"/>
      <c r="K16" s="7" t="s">
        <v>62</v>
      </c>
      <c r="L16" s="7" t="s">
        <v>63</v>
      </c>
      <c r="M16" s="8" t="s">
        <v>125</v>
      </c>
      <c r="N16" s="5"/>
      <c r="O16" s="7" t="s">
        <v>124</v>
      </c>
      <c r="P16" s="8" t="s">
        <v>126</v>
      </c>
      <c r="Q16" s="5"/>
      <c r="R16" s="5"/>
      <c r="S16" s="5" t="str">
        <f>"725,0"</f>
        <v>725,0</v>
      </c>
      <c r="T16" s="5" t="str">
        <f>"444,7150"</f>
        <v>444,7150</v>
      </c>
      <c r="U16" s="6"/>
    </row>
    <row r="17" spans="1:21" ht="13">
      <c r="A17" s="9" t="s">
        <v>24</v>
      </c>
      <c r="B17" s="10" t="s">
        <v>127</v>
      </c>
      <c r="C17" s="10" t="s">
        <v>128</v>
      </c>
      <c r="D17" s="10" t="s">
        <v>129</v>
      </c>
      <c r="E17" s="10" t="s">
        <v>652</v>
      </c>
      <c r="F17" s="10" t="s">
        <v>130</v>
      </c>
      <c r="G17" s="12" t="s">
        <v>61</v>
      </c>
      <c r="H17" s="12" t="s">
        <v>62</v>
      </c>
      <c r="I17" s="12" t="s">
        <v>65</v>
      </c>
      <c r="J17" s="9"/>
      <c r="K17" s="12" t="s">
        <v>61</v>
      </c>
      <c r="L17" s="12" t="s">
        <v>62</v>
      </c>
      <c r="M17" s="12" t="s">
        <v>131</v>
      </c>
      <c r="N17" s="9"/>
      <c r="O17" s="12" t="s">
        <v>61</v>
      </c>
      <c r="P17" s="12" t="s">
        <v>62</v>
      </c>
      <c r="Q17" s="12" t="s">
        <v>65</v>
      </c>
      <c r="R17" s="9"/>
      <c r="S17" s="9" t="str">
        <f>"532,5"</f>
        <v>532,5</v>
      </c>
      <c r="T17" s="9" t="str">
        <f>"327,7537"</f>
        <v>327,7537</v>
      </c>
      <c r="U17" s="10" t="s">
        <v>132</v>
      </c>
    </row>
    <row r="18" spans="1:21" ht="12.75" customHeight="1">
      <c r="A18" s="4"/>
      <c r="B18" s="4" t="s">
        <v>35</v>
      </c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</row>
    <row r="19" spans="1:21" ht="12.75" customHeight="1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21" ht="12.75" customHeight="1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ht="12.75" customHeight="1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21" ht="12.75" customHeight="1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</row>
    <row r="23" spans="1:21" ht="12.75" customHeight="1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</row>
    <row r="24" spans="1:21" ht="12.75" customHeight="1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ht="12.75" customHeight="1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2.75" customHeight="1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</row>
    <row r="27" spans="1:21" ht="12.75" customHeight="1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</row>
    <row r="28" spans="1:21" ht="12.75" customHeight="1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ht="12.75" customHeight="1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2.75" customHeight="1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 ht="12.75" customHeight="1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2.75" customHeight="1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"/>
    </row>
    <row r="33" spans="1:21" ht="12.75" customHeight="1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ht="12.75" customHeight="1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ht="12.75" customHeight="1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ht="12.75" customHeight="1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2.75" customHeight="1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ht="12.75" customHeight="1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ht="12.75" customHeight="1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</row>
    <row r="40" spans="1:21" ht="12.75" customHeight="1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</row>
    <row r="41" spans="1:21" ht="12.75" customHeight="1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</row>
    <row r="42" spans="1:21" ht="12.75" customHeight="1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</row>
    <row r="43" spans="1:21" ht="12.75" customHeight="1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</row>
    <row r="44" spans="1:21" ht="12.75" customHeight="1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21" ht="12.75" customHeight="1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</row>
    <row r="46" spans="1:21" ht="12.75" customHeight="1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</row>
    <row r="47" spans="1:21" ht="12.75" customHeight="1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2.75" customHeight="1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</row>
    <row r="49" spans="1:21" ht="12.75" customHeight="1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</row>
    <row r="50" spans="1:21" ht="12.75" customHeight="1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</row>
    <row r="51" spans="1:21" ht="12.75" customHeight="1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</row>
    <row r="52" spans="1:21" ht="12.75" customHeight="1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</row>
    <row r="53" spans="1:21" ht="12.75" customHeight="1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</row>
    <row r="54" spans="1:21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</row>
    <row r="55" spans="1:21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4"/>
    </row>
    <row r="56" spans="1:21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4"/>
    </row>
    <row r="57" spans="1:21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4"/>
    </row>
    <row r="58" spans="1:21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4"/>
    </row>
    <row r="59" spans="1:21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4"/>
    </row>
    <row r="60" spans="1:21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4"/>
    </row>
    <row r="61" spans="1:21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4"/>
    </row>
    <row r="62" spans="1:21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4"/>
    </row>
    <row r="63" spans="1:21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4"/>
    </row>
    <row r="64" spans="1:21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4"/>
    </row>
    <row r="65" spans="1:21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</row>
    <row r="66" spans="1:21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4"/>
    </row>
    <row r="67" spans="1:21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4"/>
    </row>
    <row r="68" spans="1:21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4"/>
    </row>
    <row r="69" spans="1:21" ht="12.75" customHeight="1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4"/>
    </row>
    <row r="70" spans="1:21" ht="12.75" customHeight="1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4"/>
    </row>
    <row r="71" spans="1:21" ht="12.75" customHeight="1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4"/>
    </row>
    <row r="72" spans="1:21" ht="12.75" customHeight="1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4"/>
    </row>
    <row r="73" spans="1:21" ht="12.75" customHeight="1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4"/>
    </row>
    <row r="74" spans="1:21" ht="12.75" customHeight="1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4"/>
    </row>
    <row r="75" spans="1:21" ht="12.75" customHeight="1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4"/>
    </row>
    <row r="76" spans="1:21" ht="12.75" customHeight="1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4"/>
    </row>
    <row r="77" spans="1:21" ht="12.75" customHeight="1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4"/>
    </row>
    <row r="78" spans="1:21" ht="12.75" customHeight="1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4"/>
    </row>
  </sheetData>
  <mergeCells count="17">
    <mergeCell ref="A8:R8"/>
    <mergeCell ref="A12:R12"/>
    <mergeCell ref="A15:R15"/>
    <mergeCell ref="B3:B4"/>
    <mergeCell ref="S3:S4"/>
    <mergeCell ref="A5:R5"/>
    <mergeCell ref="F3:F4"/>
    <mergeCell ref="G3:J3"/>
    <mergeCell ref="U3:U4"/>
    <mergeCell ref="A1:U2"/>
    <mergeCell ref="A3:A4"/>
    <mergeCell ref="C3:C4"/>
    <mergeCell ref="D3:D4"/>
    <mergeCell ref="E3:E4"/>
    <mergeCell ref="K3:N3"/>
    <mergeCell ref="O3:R3"/>
    <mergeCell ref="T3:T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0"/>
  <sheetViews>
    <sheetView workbookViewId="0">
      <selection sqref="A1:U2"/>
    </sheetView>
  </sheetViews>
  <sheetFormatPr baseColWidth="10" defaultColWidth="12.6640625" defaultRowHeight="15" customHeight="1"/>
  <cols>
    <col min="1" max="1" width="8.1640625" style="1" bestFit="1" customWidth="1"/>
    <col min="2" max="2" width="22.33203125" style="1" customWidth="1"/>
    <col min="3" max="3" width="29.5" style="1" customWidth="1"/>
    <col min="4" max="4" width="16.6640625" style="1" bestFit="1" customWidth="1"/>
    <col min="5" max="5" width="8" style="1" bestFit="1" customWidth="1"/>
    <col min="6" max="6" width="27.83203125" style="1" bestFit="1" customWidth="1"/>
    <col min="7" max="18" width="5.5" style="1" customWidth="1"/>
    <col min="19" max="19" width="8.6640625" style="1" bestFit="1" customWidth="1"/>
    <col min="20" max="20" width="10.33203125" style="1" bestFit="1" customWidth="1"/>
    <col min="21" max="21" width="17.83203125" style="1" customWidth="1"/>
    <col min="22" max="16384" width="12.6640625" style="1"/>
  </cols>
  <sheetData>
    <row r="1" spans="1:21" ht="28.5" customHeight="1">
      <c r="A1" s="43" t="s">
        <v>627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4"/>
    </row>
    <row r="2" spans="1:21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3</v>
      </c>
      <c r="H3" s="40"/>
      <c r="I3" s="40"/>
      <c r="J3" s="41"/>
      <c r="K3" s="39" t="s">
        <v>4</v>
      </c>
      <c r="L3" s="40"/>
      <c r="M3" s="40"/>
      <c r="N3" s="41"/>
      <c r="O3" s="39" t="s">
        <v>5</v>
      </c>
      <c r="P3" s="40"/>
      <c r="Q3" s="40"/>
      <c r="R3" s="41"/>
      <c r="S3" s="37" t="s">
        <v>6</v>
      </c>
      <c r="T3" s="37" t="s">
        <v>7</v>
      </c>
      <c r="U3" s="51" t="s">
        <v>8</v>
      </c>
    </row>
    <row r="4" spans="1:21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2">
        <v>1</v>
      </c>
      <c r="L4" s="2">
        <v>2</v>
      </c>
      <c r="M4" s="2">
        <v>3</v>
      </c>
      <c r="N4" s="2" t="s">
        <v>9</v>
      </c>
      <c r="O4" s="2">
        <v>1</v>
      </c>
      <c r="P4" s="2">
        <v>2</v>
      </c>
      <c r="Q4" s="2">
        <v>3</v>
      </c>
      <c r="R4" s="2" t="s">
        <v>9</v>
      </c>
      <c r="S4" s="38"/>
      <c r="T4" s="38"/>
      <c r="U4" s="52"/>
    </row>
    <row r="5" spans="1:21" ht="16">
      <c r="A5" s="35" t="s">
        <v>51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"/>
      <c r="T5" s="3"/>
      <c r="U5" s="4"/>
    </row>
    <row r="6" spans="1:21" ht="13">
      <c r="A6" s="14" t="s">
        <v>11</v>
      </c>
      <c r="B6" s="15" t="s">
        <v>133</v>
      </c>
      <c r="C6" s="15" t="s">
        <v>134</v>
      </c>
      <c r="D6" s="15" t="s">
        <v>135</v>
      </c>
      <c r="E6" s="15" t="s">
        <v>656</v>
      </c>
      <c r="F6" s="15" t="s">
        <v>136</v>
      </c>
      <c r="G6" s="16" t="s">
        <v>64</v>
      </c>
      <c r="H6" s="16" t="s">
        <v>137</v>
      </c>
      <c r="I6" s="17" t="s">
        <v>138</v>
      </c>
      <c r="J6" s="14"/>
      <c r="K6" s="17" t="s">
        <v>30</v>
      </c>
      <c r="L6" s="16" t="s">
        <v>30</v>
      </c>
      <c r="M6" s="17" t="s">
        <v>31</v>
      </c>
      <c r="N6" s="14"/>
      <c r="O6" s="16" t="s">
        <v>33</v>
      </c>
      <c r="P6" s="16" t="s">
        <v>16</v>
      </c>
      <c r="Q6" s="16" t="s">
        <v>20</v>
      </c>
      <c r="R6" s="14"/>
      <c r="S6" s="14" t="str">
        <f>"272,5"</f>
        <v>272,5</v>
      </c>
      <c r="T6" s="14" t="str">
        <f>"280,5115"</f>
        <v>280,5115</v>
      </c>
      <c r="U6" s="15" t="s">
        <v>139</v>
      </c>
    </row>
    <row r="7" spans="1:21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6">
      <c r="A8" s="33" t="s">
        <v>96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"/>
      <c r="T8" s="3"/>
      <c r="U8" s="4"/>
    </row>
    <row r="9" spans="1:21" ht="13" customHeight="1">
      <c r="A9" s="5" t="s">
        <v>11</v>
      </c>
      <c r="B9" s="6" t="s">
        <v>140</v>
      </c>
      <c r="C9" s="6" t="s">
        <v>141</v>
      </c>
      <c r="D9" s="6" t="s">
        <v>142</v>
      </c>
      <c r="E9" s="6" t="s">
        <v>652</v>
      </c>
      <c r="F9" s="6" t="s">
        <v>15</v>
      </c>
      <c r="G9" s="7" t="s">
        <v>80</v>
      </c>
      <c r="H9" s="7" t="s">
        <v>143</v>
      </c>
      <c r="I9" s="7" t="s">
        <v>144</v>
      </c>
      <c r="J9" s="5"/>
      <c r="K9" s="7" t="s">
        <v>88</v>
      </c>
      <c r="L9" s="8" t="s">
        <v>61</v>
      </c>
      <c r="M9" s="7" t="s">
        <v>61</v>
      </c>
      <c r="N9" s="5"/>
      <c r="O9" s="8" t="s">
        <v>81</v>
      </c>
      <c r="P9" s="7" t="s">
        <v>143</v>
      </c>
      <c r="Q9" s="8" t="s">
        <v>116</v>
      </c>
      <c r="R9" s="5"/>
      <c r="S9" s="5" t="str">
        <f>"640,0"</f>
        <v>640,0</v>
      </c>
      <c r="T9" s="5" t="str">
        <f>"390,1440"</f>
        <v>390,1440</v>
      </c>
      <c r="U9" s="6"/>
    </row>
    <row r="10" spans="1:21" ht="13" customHeight="1">
      <c r="A10" s="18" t="s">
        <v>24</v>
      </c>
      <c r="B10" s="19" t="s">
        <v>145</v>
      </c>
      <c r="C10" s="19" t="s">
        <v>146</v>
      </c>
      <c r="D10" s="19" t="s">
        <v>147</v>
      </c>
      <c r="E10" s="19" t="s">
        <v>652</v>
      </c>
      <c r="F10" s="19" t="s">
        <v>15</v>
      </c>
      <c r="G10" s="20" t="s">
        <v>94</v>
      </c>
      <c r="H10" s="20" t="s">
        <v>148</v>
      </c>
      <c r="I10" s="18"/>
      <c r="J10" s="18"/>
      <c r="K10" s="20" t="s">
        <v>61</v>
      </c>
      <c r="L10" s="20" t="s">
        <v>149</v>
      </c>
      <c r="M10" s="21" t="s">
        <v>62</v>
      </c>
      <c r="N10" s="18"/>
      <c r="O10" s="20" t="s">
        <v>66</v>
      </c>
      <c r="P10" s="20" t="s">
        <v>67</v>
      </c>
      <c r="Q10" s="18"/>
      <c r="R10" s="18"/>
      <c r="S10" s="18" t="str">
        <f>"580,0"</f>
        <v>580,0</v>
      </c>
      <c r="T10" s="18" t="str">
        <f>"354,5540"</f>
        <v>354,5540</v>
      </c>
      <c r="U10" s="19"/>
    </row>
    <row r="11" spans="1:21" ht="13" customHeight="1">
      <c r="A11" s="18" t="s">
        <v>150</v>
      </c>
      <c r="B11" s="19" t="s">
        <v>151</v>
      </c>
      <c r="C11" s="19" t="s">
        <v>152</v>
      </c>
      <c r="D11" s="19" t="s">
        <v>147</v>
      </c>
      <c r="E11" s="19" t="s">
        <v>652</v>
      </c>
      <c r="F11" s="19" t="s">
        <v>15</v>
      </c>
      <c r="G11" s="20" t="s">
        <v>94</v>
      </c>
      <c r="H11" s="21" t="s">
        <v>66</v>
      </c>
      <c r="I11" s="21" t="s">
        <v>66</v>
      </c>
      <c r="J11" s="18"/>
      <c r="K11" s="20" t="s">
        <v>64</v>
      </c>
      <c r="L11" s="21" t="s">
        <v>137</v>
      </c>
      <c r="M11" s="20" t="s">
        <v>100</v>
      </c>
      <c r="N11" s="18"/>
      <c r="O11" s="21" t="s">
        <v>94</v>
      </c>
      <c r="P11" s="20" t="s">
        <v>94</v>
      </c>
      <c r="Q11" s="21" t="s">
        <v>66</v>
      </c>
      <c r="R11" s="18"/>
      <c r="S11" s="18" t="str">
        <f>"505,0"</f>
        <v>505,0</v>
      </c>
      <c r="T11" s="18" t="str">
        <f>"308,7065"</f>
        <v>308,7065</v>
      </c>
      <c r="U11" s="19" t="s">
        <v>281</v>
      </c>
    </row>
    <row r="12" spans="1:21" ht="13" customHeight="1">
      <c r="A12" s="9" t="s">
        <v>11</v>
      </c>
      <c r="B12" s="10" t="s">
        <v>145</v>
      </c>
      <c r="C12" s="10" t="s">
        <v>153</v>
      </c>
      <c r="D12" s="10" t="s">
        <v>147</v>
      </c>
      <c r="E12" s="10" t="s">
        <v>655</v>
      </c>
      <c r="F12" s="10" t="s">
        <v>15</v>
      </c>
      <c r="G12" s="12" t="s">
        <v>94</v>
      </c>
      <c r="H12" s="12" t="s">
        <v>148</v>
      </c>
      <c r="I12" s="9"/>
      <c r="J12" s="9"/>
      <c r="K12" s="12" t="s">
        <v>61</v>
      </c>
      <c r="L12" s="12" t="s">
        <v>149</v>
      </c>
      <c r="M12" s="11" t="s">
        <v>62</v>
      </c>
      <c r="N12" s="9"/>
      <c r="O12" s="12" t="s">
        <v>66</v>
      </c>
      <c r="P12" s="12" t="s">
        <v>67</v>
      </c>
      <c r="Q12" s="9"/>
      <c r="R12" s="9"/>
      <c r="S12" s="9" t="str">
        <f>"580,0"</f>
        <v>580,0</v>
      </c>
      <c r="T12" s="9" t="str">
        <f>"435,3923"</f>
        <v>435,3923</v>
      </c>
      <c r="U12" s="10"/>
    </row>
    <row r="13" spans="1:21" ht="12.75" customHeight="1">
      <c r="A13" s="4"/>
      <c r="B13" s="4" t="s">
        <v>35</v>
      </c>
      <c r="C13" s="4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 ht="12.75" customHeight="1">
      <c r="A14" s="4"/>
      <c r="B14" s="4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2.75" customHeight="1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</row>
    <row r="16" spans="1:21" ht="12.75" customHeight="1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21" ht="12.75" customHeight="1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</row>
    <row r="18" spans="1:21" ht="12.75" customHeight="1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</row>
    <row r="19" spans="1:21" ht="12.75" customHeight="1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21" ht="12.75" customHeight="1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ht="12.75" customHeight="1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21" ht="12.75" customHeight="1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</row>
    <row r="23" spans="1:21" ht="12.75" customHeight="1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</row>
    <row r="24" spans="1:21" ht="12.75" customHeight="1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ht="12.75" customHeight="1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2.75" customHeight="1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</row>
    <row r="27" spans="1:21" ht="12.75" customHeight="1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</row>
    <row r="28" spans="1:21" ht="12.75" customHeight="1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ht="12.75" customHeight="1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2.75" customHeight="1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 ht="12.75" customHeight="1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2.75" customHeight="1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"/>
    </row>
    <row r="33" spans="1:21" ht="12.75" customHeight="1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ht="12.75" customHeight="1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ht="12.75" customHeight="1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ht="12.75" customHeight="1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2.75" customHeight="1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ht="12.75" customHeight="1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ht="12.75" customHeight="1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</row>
    <row r="40" spans="1:21" ht="12.75" customHeight="1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</row>
    <row r="41" spans="1:21" ht="12.75" customHeight="1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</row>
    <row r="42" spans="1:21" ht="12.75" customHeight="1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</row>
    <row r="43" spans="1:21" ht="12.75" customHeight="1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</row>
    <row r="44" spans="1:21" ht="12.75" customHeight="1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21" ht="12.75" customHeight="1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</row>
    <row r="46" spans="1:21" ht="12.75" customHeight="1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</row>
    <row r="47" spans="1:21" ht="12.75" customHeight="1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2.75" customHeight="1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</row>
    <row r="49" spans="1:21" ht="12.75" customHeight="1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</row>
    <row r="50" spans="1:21" ht="12.75" customHeight="1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</row>
    <row r="51" spans="1:21" ht="12.75" customHeight="1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</row>
    <row r="52" spans="1:21" ht="12.75" customHeight="1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</row>
    <row r="53" spans="1:21" ht="12.75" customHeight="1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</row>
    <row r="54" spans="1:21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</row>
    <row r="55" spans="1:21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4"/>
    </row>
    <row r="56" spans="1:21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4"/>
    </row>
    <row r="57" spans="1:21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4"/>
    </row>
    <row r="58" spans="1:21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4"/>
    </row>
    <row r="59" spans="1:21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4"/>
    </row>
    <row r="60" spans="1:21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4"/>
    </row>
    <row r="61" spans="1:21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4"/>
    </row>
    <row r="62" spans="1:21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4"/>
    </row>
    <row r="63" spans="1:21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4"/>
    </row>
    <row r="64" spans="1:21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4"/>
    </row>
    <row r="65" spans="1:21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</row>
    <row r="66" spans="1:21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4"/>
    </row>
    <row r="67" spans="1:21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4"/>
    </row>
    <row r="68" spans="1:21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4"/>
    </row>
    <row r="69" spans="1:21" ht="12.75" customHeight="1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4"/>
    </row>
    <row r="70" spans="1:21" ht="12.75" customHeight="1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4"/>
    </row>
  </sheetData>
  <mergeCells count="15">
    <mergeCell ref="T3:T4"/>
    <mergeCell ref="U3:U4"/>
    <mergeCell ref="A5:R5"/>
    <mergeCell ref="A1:U2"/>
    <mergeCell ref="A3:A4"/>
    <mergeCell ref="O3:R3"/>
    <mergeCell ref="F3:F4"/>
    <mergeCell ref="G3:J3"/>
    <mergeCell ref="K3:N3"/>
    <mergeCell ref="A8:R8"/>
    <mergeCell ref="S3:S4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3"/>
  <sheetViews>
    <sheetView workbookViewId="0">
      <selection sqref="A1:U2"/>
    </sheetView>
  </sheetViews>
  <sheetFormatPr baseColWidth="10" defaultColWidth="12.6640625" defaultRowHeight="15" customHeight="1"/>
  <cols>
    <col min="1" max="1" width="8.1640625" style="1" bestFit="1" customWidth="1"/>
    <col min="2" max="2" width="19.83203125" style="1" customWidth="1"/>
    <col min="3" max="3" width="25.5" style="1" customWidth="1"/>
    <col min="4" max="4" width="16.6640625" style="1" bestFit="1" customWidth="1"/>
    <col min="5" max="5" width="11.33203125" style="1" customWidth="1"/>
    <col min="6" max="6" width="27.33203125" style="1" customWidth="1"/>
    <col min="7" max="18" width="5.5" style="1" customWidth="1"/>
    <col min="19" max="19" width="8.6640625" style="1" bestFit="1" customWidth="1"/>
    <col min="20" max="20" width="10.33203125" style="1" bestFit="1" customWidth="1"/>
    <col min="21" max="21" width="17.33203125" style="1" customWidth="1"/>
    <col min="22" max="16384" width="12.6640625" style="1"/>
  </cols>
  <sheetData>
    <row r="1" spans="1:21" ht="28.5" customHeight="1">
      <c r="A1" s="43" t="s">
        <v>628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44"/>
    </row>
    <row r="2" spans="1:21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3</v>
      </c>
      <c r="H3" s="40"/>
      <c r="I3" s="40"/>
      <c r="J3" s="41"/>
      <c r="K3" s="39" t="s">
        <v>4</v>
      </c>
      <c r="L3" s="40"/>
      <c r="M3" s="40"/>
      <c r="N3" s="41"/>
      <c r="O3" s="39" t="s">
        <v>5</v>
      </c>
      <c r="P3" s="40"/>
      <c r="Q3" s="40"/>
      <c r="R3" s="41"/>
      <c r="S3" s="37" t="s">
        <v>6</v>
      </c>
      <c r="T3" s="37" t="s">
        <v>7</v>
      </c>
      <c r="U3" s="51" t="s">
        <v>8</v>
      </c>
    </row>
    <row r="4" spans="1:21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2">
        <v>1</v>
      </c>
      <c r="L4" s="2">
        <v>2</v>
      </c>
      <c r="M4" s="2">
        <v>3</v>
      </c>
      <c r="N4" s="2" t="s">
        <v>9</v>
      </c>
      <c r="O4" s="2">
        <v>1</v>
      </c>
      <c r="P4" s="2">
        <v>2</v>
      </c>
      <c r="Q4" s="2">
        <v>3</v>
      </c>
      <c r="R4" s="2" t="s">
        <v>9</v>
      </c>
      <c r="S4" s="38"/>
      <c r="T4" s="38"/>
      <c r="U4" s="52"/>
    </row>
    <row r="5" spans="1:21" ht="16">
      <c r="A5" s="35" t="s">
        <v>57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"/>
      <c r="T5" s="3"/>
      <c r="U5" s="4"/>
    </row>
    <row r="6" spans="1:21" ht="13">
      <c r="A6" s="14" t="s">
        <v>11</v>
      </c>
      <c r="B6" s="15" t="s">
        <v>154</v>
      </c>
      <c r="C6" s="15" t="s">
        <v>155</v>
      </c>
      <c r="D6" s="15" t="s">
        <v>156</v>
      </c>
      <c r="E6" s="15" t="s">
        <v>652</v>
      </c>
      <c r="F6" s="15" t="s">
        <v>157</v>
      </c>
      <c r="G6" s="16" t="s">
        <v>88</v>
      </c>
      <c r="H6" s="16" t="s">
        <v>61</v>
      </c>
      <c r="I6" s="16" t="s">
        <v>62</v>
      </c>
      <c r="J6" s="14"/>
      <c r="K6" s="16" t="s">
        <v>21</v>
      </c>
      <c r="L6" s="16" t="s">
        <v>158</v>
      </c>
      <c r="M6" s="17" t="s">
        <v>79</v>
      </c>
      <c r="N6" s="14"/>
      <c r="O6" s="16" t="s">
        <v>88</v>
      </c>
      <c r="P6" s="16" t="s">
        <v>61</v>
      </c>
      <c r="Q6" s="16" t="s">
        <v>62</v>
      </c>
      <c r="R6" s="14"/>
      <c r="S6" s="14" t="str">
        <f>"452,5"</f>
        <v>452,5</v>
      </c>
      <c r="T6" s="14" t="str">
        <f>"326,7503"</f>
        <v>326,7503</v>
      </c>
      <c r="U6" s="15"/>
    </row>
    <row r="7" spans="1:21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6">
      <c r="A8" s="33" t="s">
        <v>159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"/>
      <c r="T8" s="3"/>
      <c r="U8" s="4"/>
    </row>
    <row r="9" spans="1:21" ht="13">
      <c r="A9" s="14" t="s">
        <v>11</v>
      </c>
      <c r="B9" s="15" t="s">
        <v>160</v>
      </c>
      <c r="C9" s="15" t="s">
        <v>161</v>
      </c>
      <c r="D9" s="15" t="s">
        <v>162</v>
      </c>
      <c r="E9" s="15" t="s">
        <v>652</v>
      </c>
      <c r="F9" s="15" t="s">
        <v>130</v>
      </c>
      <c r="G9" s="16" t="s">
        <v>16</v>
      </c>
      <c r="H9" s="16" t="s">
        <v>66</v>
      </c>
      <c r="I9" s="17" t="s">
        <v>126</v>
      </c>
      <c r="J9" s="14"/>
      <c r="K9" s="16" t="s">
        <v>163</v>
      </c>
      <c r="L9" s="14"/>
      <c r="M9" s="14"/>
      <c r="N9" s="14"/>
      <c r="O9" s="16" t="s">
        <v>16</v>
      </c>
      <c r="P9" s="14"/>
      <c r="Q9" s="14"/>
      <c r="R9" s="14"/>
      <c r="S9" s="14" t="str">
        <f>"360,0"</f>
        <v>360,0</v>
      </c>
      <c r="T9" s="14" t="str">
        <f>"206,1720"</f>
        <v>206,1720</v>
      </c>
      <c r="U9" s="15"/>
    </row>
    <row r="10" spans="1:21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1:21" ht="16">
      <c r="A11" s="33" t="s">
        <v>164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"/>
      <c r="T11" s="3"/>
      <c r="U11" s="4"/>
    </row>
    <row r="12" spans="1:21" ht="13">
      <c r="A12" s="14" t="s">
        <v>11</v>
      </c>
      <c r="B12" s="15" t="s">
        <v>165</v>
      </c>
      <c r="C12" s="15" t="s">
        <v>166</v>
      </c>
      <c r="D12" s="15" t="s">
        <v>167</v>
      </c>
      <c r="E12" s="15" t="s">
        <v>652</v>
      </c>
      <c r="F12" s="15" t="s">
        <v>15</v>
      </c>
      <c r="G12" s="16" t="s">
        <v>168</v>
      </c>
      <c r="H12" s="16" t="s">
        <v>169</v>
      </c>
      <c r="I12" s="16" t="s">
        <v>170</v>
      </c>
      <c r="J12" s="14"/>
      <c r="K12" s="16" t="s">
        <v>62</v>
      </c>
      <c r="L12" s="16" t="s">
        <v>63</v>
      </c>
      <c r="M12" s="16" t="s">
        <v>125</v>
      </c>
      <c r="N12" s="14"/>
      <c r="O12" s="16" t="s">
        <v>171</v>
      </c>
      <c r="P12" s="16" t="s">
        <v>172</v>
      </c>
      <c r="Q12" s="16" t="s">
        <v>173</v>
      </c>
      <c r="R12" s="14"/>
      <c r="S12" s="14" t="str">
        <f>"885,0"</f>
        <v>885,0</v>
      </c>
      <c r="T12" s="14" t="str">
        <f>"500,8215"</f>
        <v>500,8215</v>
      </c>
      <c r="U12" s="15"/>
    </row>
    <row r="13" spans="1:21" ht="13">
      <c r="A13" s="4"/>
      <c r="B13" s="4" t="s">
        <v>35</v>
      </c>
      <c r="C13" s="4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 ht="12.75" customHeight="1">
      <c r="A14" s="4"/>
      <c r="B14" s="4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2.75" customHeight="1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</row>
    <row r="16" spans="1:21" ht="12.75" customHeight="1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21" ht="12.75" customHeight="1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</row>
    <row r="18" spans="1:21" ht="12.75" customHeight="1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</row>
    <row r="19" spans="1:21" ht="12.75" customHeight="1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21" ht="12.75" customHeight="1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ht="12.75" customHeight="1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21" ht="12.75" customHeight="1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</row>
    <row r="23" spans="1:21" ht="12.75" customHeight="1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</row>
    <row r="24" spans="1:21" ht="12.75" customHeight="1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ht="12.75" customHeight="1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2.75" customHeight="1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</row>
    <row r="27" spans="1:21" ht="12.75" customHeight="1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</row>
    <row r="28" spans="1:21" ht="12.75" customHeight="1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ht="12.75" customHeight="1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 ht="12.75" customHeight="1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 ht="12.75" customHeight="1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 ht="12.75" customHeight="1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"/>
    </row>
    <row r="33" spans="1:21" ht="12.75" customHeight="1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ht="12.75" customHeight="1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 ht="12.75" customHeight="1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ht="12.75" customHeight="1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2.75" customHeight="1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ht="12.75" customHeight="1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ht="12.75" customHeight="1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</row>
    <row r="40" spans="1:21" ht="12.75" customHeight="1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</row>
    <row r="41" spans="1:21" ht="12.75" customHeight="1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</row>
    <row r="42" spans="1:21" ht="12.75" customHeight="1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</row>
    <row r="43" spans="1:21" ht="12.75" customHeight="1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</row>
    <row r="44" spans="1:21" ht="12.75" customHeight="1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21" ht="12.75" customHeight="1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</row>
    <row r="46" spans="1:21" ht="12.75" customHeight="1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</row>
    <row r="47" spans="1:21" ht="12.75" customHeight="1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2.75" customHeight="1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</row>
    <row r="49" spans="1:21" ht="12.75" customHeight="1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</row>
    <row r="50" spans="1:21" ht="12.75" customHeight="1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</row>
    <row r="51" spans="1:21" ht="12.75" customHeight="1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</row>
    <row r="52" spans="1:21" ht="12.75" customHeight="1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</row>
    <row r="53" spans="1:21" ht="12.75" customHeight="1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</row>
    <row r="54" spans="1:21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</row>
    <row r="55" spans="1:21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4"/>
    </row>
    <row r="56" spans="1:21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4"/>
    </row>
    <row r="57" spans="1:21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4"/>
    </row>
    <row r="58" spans="1:21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4"/>
    </row>
    <row r="59" spans="1:21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4"/>
    </row>
    <row r="60" spans="1:21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4"/>
    </row>
    <row r="61" spans="1:21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4"/>
    </row>
    <row r="62" spans="1:21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4"/>
    </row>
    <row r="63" spans="1:21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4"/>
    </row>
    <row r="64" spans="1:21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4"/>
    </row>
    <row r="65" spans="1:21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</row>
    <row r="66" spans="1:21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4"/>
    </row>
    <row r="67" spans="1:21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4"/>
    </row>
    <row r="68" spans="1:21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4"/>
    </row>
    <row r="69" spans="1:21" ht="12.75" customHeight="1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4"/>
    </row>
    <row r="70" spans="1:21" ht="12.75" customHeight="1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4"/>
    </row>
    <row r="71" spans="1:21" ht="12.75" customHeight="1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4"/>
    </row>
    <row r="72" spans="1:21" ht="12.75" customHeight="1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4"/>
    </row>
    <row r="73" spans="1:21" ht="12.75" customHeight="1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4"/>
    </row>
    <row r="74" spans="1:21" ht="12.75" customHeight="1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4"/>
    </row>
    <row r="75" spans="1:21" ht="12.75" customHeight="1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4"/>
    </row>
    <row r="76" spans="1:21" ht="12.75" customHeight="1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4"/>
    </row>
    <row r="77" spans="1:21" ht="12.75" customHeight="1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4"/>
    </row>
    <row r="78" spans="1:21" ht="12.75" customHeight="1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4"/>
    </row>
    <row r="79" spans="1:21" ht="12.75" customHeight="1">
      <c r="A79" s="4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"/>
    </row>
    <row r="80" spans="1:21" ht="12.75" customHeight="1">
      <c r="A80" s="4"/>
      <c r="B80" s="4"/>
      <c r="C80" s="4"/>
      <c r="D80" s="4"/>
      <c r="E80" s="4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4"/>
    </row>
    <row r="81" spans="1:21" ht="12.75" customHeight="1">
      <c r="A81" s="4"/>
      <c r="B81" s="4"/>
      <c r="C81" s="4"/>
      <c r="D81" s="4"/>
      <c r="E81" s="4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4"/>
    </row>
    <row r="82" spans="1:21" ht="12.75" customHeight="1">
      <c r="A82" s="4"/>
      <c r="B82" s="4"/>
      <c r="C82" s="4"/>
      <c r="D82" s="4"/>
      <c r="E82" s="4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4"/>
    </row>
    <row r="83" spans="1:21" ht="12.75" customHeight="1">
      <c r="A83" s="4"/>
      <c r="B83" s="4"/>
      <c r="C83" s="4"/>
      <c r="D83" s="4"/>
      <c r="E83" s="4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</row>
  </sheetData>
  <mergeCells count="16">
    <mergeCell ref="A1:U2"/>
    <mergeCell ref="A3:A4"/>
    <mergeCell ref="D3:D4"/>
    <mergeCell ref="O3:R3"/>
    <mergeCell ref="B3:B4"/>
    <mergeCell ref="C3:C4"/>
    <mergeCell ref="T3:T4"/>
    <mergeCell ref="U3:U4"/>
    <mergeCell ref="E3:E4"/>
    <mergeCell ref="G3:J3"/>
    <mergeCell ref="F3:F4"/>
    <mergeCell ref="K3:N3"/>
    <mergeCell ref="A5:R5"/>
    <mergeCell ref="A8:R8"/>
    <mergeCell ref="A11:R11"/>
    <mergeCell ref="S3:S4"/>
  </mergeCells>
  <pageMargins left="0.19685039370078741" right="0.47244094488188981" top="0.43307086614173229" bottom="0.47244094488188981" header="0" footer="0"/>
  <pageSetup orientation="landscape"/>
  <headerFooter>
    <oddFooter>&amp;R&amp;D&amp;T&amp;P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9"/>
  <sheetViews>
    <sheetView workbookViewId="0">
      <selection sqref="A1:Q2"/>
    </sheetView>
  </sheetViews>
  <sheetFormatPr baseColWidth="10" defaultColWidth="12.6640625" defaultRowHeight="15" customHeight="1"/>
  <cols>
    <col min="1" max="1" width="8.1640625" style="1" bestFit="1" customWidth="1"/>
    <col min="2" max="2" width="21.5" style="1" customWidth="1"/>
    <col min="3" max="3" width="29.1640625" style="1" customWidth="1"/>
    <col min="4" max="4" width="16.6640625" style="1" bestFit="1" customWidth="1"/>
    <col min="5" max="5" width="11.83203125" style="1" customWidth="1"/>
    <col min="6" max="6" width="30.33203125" style="1" bestFit="1" customWidth="1"/>
    <col min="7" max="14" width="5.5" style="1" customWidth="1"/>
    <col min="15" max="15" width="8.6640625" style="1" bestFit="1" customWidth="1"/>
    <col min="16" max="16" width="10.33203125" style="1" bestFit="1" customWidth="1"/>
    <col min="17" max="17" width="22.1640625" style="1" customWidth="1"/>
    <col min="18" max="16384" width="12.6640625" style="1"/>
  </cols>
  <sheetData>
    <row r="1" spans="1:17" ht="28.5" customHeight="1">
      <c r="A1" s="43" t="s">
        <v>629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44"/>
    </row>
    <row r="2" spans="1:17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39" t="s">
        <v>5</v>
      </c>
      <c r="L3" s="40"/>
      <c r="M3" s="40"/>
      <c r="N3" s="41"/>
      <c r="O3" s="37" t="s">
        <v>6</v>
      </c>
      <c r="P3" s="37" t="s">
        <v>7</v>
      </c>
      <c r="Q3" s="51" t="s">
        <v>8</v>
      </c>
    </row>
    <row r="4" spans="1:17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2">
        <v>1</v>
      </c>
      <c r="L4" s="2">
        <v>2</v>
      </c>
      <c r="M4" s="2">
        <v>3</v>
      </c>
      <c r="N4" s="2" t="s">
        <v>9</v>
      </c>
      <c r="O4" s="38"/>
      <c r="P4" s="38"/>
      <c r="Q4" s="52"/>
    </row>
    <row r="5" spans="1:17" ht="16">
      <c r="A5" s="35" t="s">
        <v>51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"/>
      <c r="P5" s="3"/>
      <c r="Q5" s="4"/>
    </row>
    <row r="6" spans="1:17" ht="13">
      <c r="A6" s="14" t="s">
        <v>11</v>
      </c>
      <c r="B6" s="15" t="s">
        <v>53</v>
      </c>
      <c r="C6" s="15" t="s">
        <v>54</v>
      </c>
      <c r="D6" s="15" t="s">
        <v>174</v>
      </c>
      <c r="E6" s="15" t="s">
        <v>653</v>
      </c>
      <c r="F6" s="15" t="s">
        <v>624</v>
      </c>
      <c r="G6" s="17" t="s">
        <v>32</v>
      </c>
      <c r="H6" s="16" t="s">
        <v>32</v>
      </c>
      <c r="I6" s="17" t="s">
        <v>18</v>
      </c>
      <c r="J6" s="14"/>
      <c r="K6" s="17" t="s">
        <v>33</v>
      </c>
      <c r="L6" s="16" t="s">
        <v>33</v>
      </c>
      <c r="M6" s="16" t="s">
        <v>34</v>
      </c>
      <c r="N6" s="14"/>
      <c r="O6" s="14" t="str">
        <f>"145,0"</f>
        <v>145,0</v>
      </c>
      <c r="P6" s="14" t="str">
        <f>"158,6155"</f>
        <v>158,6155</v>
      </c>
      <c r="Q6" s="15"/>
    </row>
    <row r="7" spans="1:17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7" ht="16">
      <c r="A8" s="33" t="s">
        <v>96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"/>
      <c r="P8" s="3"/>
      <c r="Q8" s="4"/>
    </row>
    <row r="9" spans="1:17" ht="13">
      <c r="A9" s="14" t="s">
        <v>11</v>
      </c>
      <c r="B9" s="15" t="s">
        <v>175</v>
      </c>
      <c r="C9" s="15" t="s">
        <v>176</v>
      </c>
      <c r="D9" s="15" t="s">
        <v>177</v>
      </c>
      <c r="E9" s="15" t="s">
        <v>657</v>
      </c>
      <c r="F9" s="15" t="s">
        <v>178</v>
      </c>
      <c r="G9" s="16" t="s">
        <v>64</v>
      </c>
      <c r="H9" s="16" t="s">
        <v>42</v>
      </c>
      <c r="I9" s="17" t="s">
        <v>100</v>
      </c>
      <c r="J9" s="14"/>
      <c r="K9" s="16" t="s">
        <v>94</v>
      </c>
      <c r="L9" s="16" t="s">
        <v>179</v>
      </c>
      <c r="M9" s="16" t="s">
        <v>180</v>
      </c>
      <c r="N9" s="14"/>
      <c r="O9" s="14" t="str">
        <f>"322,5"</f>
        <v>322,5</v>
      </c>
      <c r="P9" s="14" t="str">
        <f>"297,1721"</f>
        <v>297,1721</v>
      </c>
      <c r="Q9" s="15"/>
    </row>
    <row r="10" spans="1:17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</row>
    <row r="11" spans="1:17" ht="13">
      <c r="A11" s="4"/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</row>
    <row r="12" spans="1:17" ht="13">
      <c r="A12" s="4"/>
      <c r="B12" s="4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</row>
    <row r="13" spans="1:17" ht="13">
      <c r="A13" s="4"/>
      <c r="B13" s="4"/>
      <c r="C13" s="4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</row>
    <row r="14" spans="1:17" ht="13">
      <c r="A14" s="4"/>
      <c r="B14" s="4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</row>
    <row r="15" spans="1:17" ht="13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</row>
    <row r="16" spans="1:17" ht="13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</row>
    <row r="17" spans="1:17" ht="13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1:17" ht="12.75" customHeight="1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</row>
    <row r="19" spans="1:17" ht="12.75" customHeight="1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</row>
    <row r="20" spans="1:17" ht="12.75" customHeight="1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</row>
    <row r="21" spans="1:17" ht="12.75" customHeight="1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</row>
    <row r="22" spans="1:17" ht="12.75" customHeight="1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</row>
    <row r="23" spans="1:17" ht="12.75" customHeight="1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</row>
    <row r="24" spans="1:17" ht="12.75" customHeight="1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</row>
    <row r="25" spans="1:17" ht="12.75" customHeight="1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</row>
    <row r="26" spans="1:17" ht="12.75" customHeight="1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</row>
    <row r="27" spans="1:17" ht="12.75" customHeight="1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</row>
    <row r="28" spans="1:17" ht="12.75" customHeight="1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</row>
    <row r="29" spans="1:17" ht="12.75" customHeight="1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</row>
    <row r="30" spans="1:17" ht="12.75" customHeight="1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</row>
    <row r="31" spans="1:17" ht="12.75" customHeight="1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</row>
    <row r="32" spans="1:17" ht="12.75" customHeight="1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</row>
    <row r="33" spans="1:17" ht="12.75" customHeight="1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</row>
    <row r="34" spans="1:17" ht="12.75" customHeight="1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</row>
    <row r="35" spans="1:17" ht="12.75" customHeight="1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</row>
    <row r="36" spans="1:17" ht="12.75" customHeight="1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</row>
    <row r="37" spans="1:17" ht="12.75" customHeight="1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</row>
    <row r="38" spans="1:17" ht="12.75" customHeight="1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</row>
    <row r="39" spans="1:17" ht="12.75" customHeight="1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</row>
    <row r="40" spans="1:17" ht="12.75" customHeight="1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</row>
    <row r="41" spans="1:17" ht="12.75" customHeight="1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</row>
    <row r="42" spans="1:17" ht="12.75" customHeight="1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</row>
    <row r="43" spans="1:17" ht="12.75" customHeight="1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</row>
    <row r="44" spans="1:17" ht="12.75" customHeight="1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</row>
    <row r="45" spans="1:17" ht="12.75" customHeight="1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</row>
    <row r="46" spans="1:17" ht="12.75" customHeight="1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</row>
    <row r="47" spans="1:17" ht="12.75" customHeight="1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</row>
    <row r="48" spans="1:17" ht="12.75" customHeight="1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</row>
    <row r="49" spans="1:17" ht="12.75" customHeight="1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</row>
    <row r="50" spans="1:17" ht="12.75" customHeight="1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</row>
    <row r="51" spans="1:17" ht="12.75" customHeight="1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</row>
    <row r="52" spans="1:17" ht="12.75" customHeight="1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</row>
    <row r="53" spans="1:17" ht="12.75" customHeight="1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</row>
    <row r="54" spans="1:17" ht="12.75" customHeight="1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</row>
    <row r="55" spans="1:17" ht="12.75" customHeight="1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</row>
    <row r="56" spans="1:17" ht="12.75" customHeight="1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</row>
    <row r="57" spans="1:17" ht="12.75" customHeight="1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</row>
    <row r="58" spans="1:17" ht="12.75" customHeight="1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</row>
    <row r="59" spans="1:17" ht="12.75" customHeight="1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</row>
    <row r="60" spans="1:17" ht="12.75" customHeight="1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</row>
    <row r="61" spans="1:17" ht="12.75" customHeight="1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</row>
    <row r="62" spans="1:17" ht="12.75" customHeight="1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</row>
    <row r="63" spans="1:17" ht="12.75" customHeight="1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</row>
    <row r="64" spans="1:17" ht="12.75" customHeight="1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</row>
    <row r="65" spans="1:17" ht="12.75" customHeight="1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</row>
    <row r="66" spans="1:17" ht="12.75" customHeight="1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</row>
    <row r="67" spans="1:17" ht="12.75" customHeight="1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</row>
    <row r="68" spans="1:17" ht="12.75" customHeight="1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</row>
    <row r="69" spans="1:17" ht="12.75" customHeight="1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</row>
    <row r="70" spans="1:17" ht="12.75" customHeight="1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</row>
    <row r="71" spans="1:17" ht="12.75" customHeight="1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</row>
    <row r="72" spans="1:17" ht="12.75" customHeight="1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</row>
    <row r="73" spans="1:17" ht="12.75" customHeight="1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</row>
    <row r="74" spans="1:17" ht="12.75" customHeight="1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</row>
    <row r="75" spans="1:17" ht="12.75" customHeight="1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</row>
    <row r="76" spans="1:17" ht="12.75" customHeight="1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</row>
    <row r="77" spans="1:17" ht="12.75" customHeight="1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</row>
    <row r="78" spans="1:17" ht="12.75" customHeight="1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</row>
    <row r="79" spans="1:17" ht="12.75" customHeight="1">
      <c r="A79" s="4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</sheetData>
  <mergeCells count="14">
    <mergeCell ref="P3:P4"/>
    <mergeCell ref="Q3:Q4"/>
    <mergeCell ref="A5:N5"/>
    <mergeCell ref="A1:Q2"/>
    <mergeCell ref="A3:A4"/>
    <mergeCell ref="F3:F4"/>
    <mergeCell ref="G3:J3"/>
    <mergeCell ref="K3:N3"/>
    <mergeCell ref="A8:N8"/>
    <mergeCell ref="O3:O4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3"/>
  <sheetViews>
    <sheetView workbookViewId="0">
      <selection activeCell="E62" sqref="E62"/>
    </sheetView>
  </sheetViews>
  <sheetFormatPr baseColWidth="10" defaultColWidth="12.6640625" defaultRowHeight="15" customHeight="1"/>
  <cols>
    <col min="1" max="1" width="8.1640625" style="1" bestFit="1" customWidth="1"/>
    <col min="2" max="2" width="23.33203125" style="1" bestFit="1" customWidth="1"/>
    <col min="3" max="3" width="26.6640625" style="1" customWidth="1"/>
    <col min="4" max="4" width="17.1640625" style="1" customWidth="1"/>
    <col min="5" max="5" width="14.6640625" style="1" customWidth="1"/>
    <col min="6" max="6" width="29.83203125" style="1" customWidth="1"/>
    <col min="7" max="10" width="5.5" style="1" customWidth="1"/>
    <col min="11" max="11" width="11.5" style="27" customWidth="1"/>
    <col min="12" max="12" width="10.33203125" style="1" bestFit="1" customWidth="1"/>
    <col min="13" max="13" width="23.6640625" style="1" customWidth="1"/>
    <col min="14" max="16384" width="12.6640625" style="1"/>
  </cols>
  <sheetData>
    <row r="1" spans="1:13" ht="28.5" customHeight="1">
      <c r="A1" s="43" t="s">
        <v>630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53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54"/>
      <c r="L4" s="38"/>
      <c r="M4" s="52"/>
    </row>
    <row r="5" spans="1:13" ht="16">
      <c r="A5" s="35" t="s">
        <v>182</v>
      </c>
      <c r="B5" s="36"/>
      <c r="C5" s="36"/>
      <c r="D5" s="36"/>
      <c r="E5" s="36"/>
      <c r="F5" s="36"/>
      <c r="G5" s="36"/>
      <c r="H5" s="36"/>
      <c r="I5" s="36"/>
      <c r="J5" s="36"/>
      <c r="K5" s="22"/>
      <c r="L5" s="3"/>
      <c r="M5" s="4"/>
    </row>
    <row r="6" spans="1:13" ht="13">
      <c r="A6" s="5" t="s">
        <v>11</v>
      </c>
      <c r="B6" s="6" t="s">
        <v>183</v>
      </c>
      <c r="C6" s="6" t="s">
        <v>184</v>
      </c>
      <c r="D6" s="6" t="s">
        <v>185</v>
      </c>
      <c r="E6" s="6" t="s">
        <v>652</v>
      </c>
      <c r="F6" s="6" t="s">
        <v>15</v>
      </c>
      <c r="G6" s="7" t="s">
        <v>19</v>
      </c>
      <c r="H6" s="7" t="s">
        <v>163</v>
      </c>
      <c r="I6" s="8" t="s">
        <v>47</v>
      </c>
      <c r="J6" s="5"/>
      <c r="K6" s="23" t="str">
        <f>"60,0"</f>
        <v>60,0</v>
      </c>
      <c r="L6" s="5" t="str">
        <f>"80,2020"</f>
        <v>80,2020</v>
      </c>
      <c r="M6" s="6" t="s">
        <v>385</v>
      </c>
    </row>
    <row r="7" spans="1:13" ht="13">
      <c r="A7" s="18" t="s">
        <v>24</v>
      </c>
      <c r="B7" s="19" t="s">
        <v>186</v>
      </c>
      <c r="C7" s="19" t="s">
        <v>187</v>
      </c>
      <c r="D7" s="19" t="s">
        <v>188</v>
      </c>
      <c r="E7" s="19" t="s">
        <v>652</v>
      </c>
      <c r="F7" s="19" t="s">
        <v>189</v>
      </c>
      <c r="G7" s="20" t="s">
        <v>31</v>
      </c>
      <c r="H7" s="21" t="s">
        <v>56</v>
      </c>
      <c r="I7" s="21" t="s">
        <v>56</v>
      </c>
      <c r="J7" s="18"/>
      <c r="K7" s="26" t="str">
        <f>"47,5"</f>
        <v>47,5</v>
      </c>
      <c r="L7" s="18" t="str">
        <f>"62,9090"</f>
        <v>62,9090</v>
      </c>
      <c r="M7" s="19" t="s">
        <v>190</v>
      </c>
    </row>
    <row r="8" spans="1:13" ht="13">
      <c r="A8" s="9" t="s">
        <v>11</v>
      </c>
      <c r="B8" s="10" t="s">
        <v>191</v>
      </c>
      <c r="C8" s="10" t="s">
        <v>192</v>
      </c>
      <c r="D8" s="10" t="s">
        <v>193</v>
      </c>
      <c r="E8" s="10" t="s">
        <v>658</v>
      </c>
      <c r="F8" s="10" t="s">
        <v>15</v>
      </c>
      <c r="G8" s="12" t="s">
        <v>18</v>
      </c>
      <c r="H8" s="11" t="s">
        <v>19</v>
      </c>
      <c r="I8" s="11" t="s">
        <v>19</v>
      </c>
      <c r="J8" s="9"/>
      <c r="K8" s="24" t="str">
        <f>"55,0"</f>
        <v>55,0</v>
      </c>
      <c r="L8" s="9" t="str">
        <f>"74,2020"</f>
        <v>74,2020</v>
      </c>
      <c r="M8" s="10" t="s">
        <v>342</v>
      </c>
    </row>
    <row r="9" spans="1:13" ht="13">
      <c r="A9" s="4"/>
      <c r="B9" s="4" t="s">
        <v>35</v>
      </c>
      <c r="C9" s="4"/>
      <c r="D9" s="4"/>
      <c r="E9" s="4"/>
      <c r="F9" s="4"/>
      <c r="G9" s="3"/>
      <c r="H9" s="3"/>
      <c r="I9" s="3"/>
      <c r="J9" s="3"/>
      <c r="K9" s="22"/>
      <c r="L9" s="3"/>
      <c r="M9" s="4"/>
    </row>
    <row r="10" spans="1:13" ht="16">
      <c r="A10" s="33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22"/>
      <c r="L10" s="3"/>
      <c r="M10" s="4"/>
    </row>
    <row r="11" spans="1:13" ht="13">
      <c r="A11" s="5" t="s">
        <v>11</v>
      </c>
      <c r="B11" s="6" t="s">
        <v>194</v>
      </c>
      <c r="C11" s="6" t="s">
        <v>195</v>
      </c>
      <c r="D11" s="6" t="s">
        <v>196</v>
      </c>
      <c r="E11" s="6" t="s">
        <v>652</v>
      </c>
      <c r="F11" s="6" t="s">
        <v>15</v>
      </c>
      <c r="G11" s="7" t="s">
        <v>56</v>
      </c>
      <c r="H11" s="8" t="s">
        <v>18</v>
      </c>
      <c r="I11" s="8" t="s">
        <v>18</v>
      </c>
      <c r="J11" s="5"/>
      <c r="K11" s="23" t="str">
        <f>"52,5"</f>
        <v>52,5</v>
      </c>
      <c r="L11" s="5" t="str">
        <f>"66,5333"</f>
        <v>66,5333</v>
      </c>
      <c r="M11" s="6" t="s">
        <v>197</v>
      </c>
    </row>
    <row r="12" spans="1:13" ht="13">
      <c r="A12" s="9" t="s">
        <v>24</v>
      </c>
      <c r="B12" s="10" t="s">
        <v>198</v>
      </c>
      <c r="C12" s="10" t="s">
        <v>199</v>
      </c>
      <c r="D12" s="10" t="s">
        <v>200</v>
      </c>
      <c r="E12" s="10" t="s">
        <v>652</v>
      </c>
      <c r="F12" s="10" t="s">
        <v>15</v>
      </c>
      <c r="G12" s="12" t="s">
        <v>30</v>
      </c>
      <c r="H12" s="12" t="s">
        <v>31</v>
      </c>
      <c r="I12" s="11" t="s">
        <v>56</v>
      </c>
      <c r="J12" s="9"/>
      <c r="K12" s="24" t="str">
        <f>"47,5"</f>
        <v>47,5</v>
      </c>
      <c r="L12" s="9" t="str">
        <f>"59,8357"</f>
        <v>59,8357</v>
      </c>
      <c r="M12" s="10" t="s">
        <v>201</v>
      </c>
    </row>
    <row r="13" spans="1:13" ht="13">
      <c r="A13" s="4"/>
      <c r="B13" s="4" t="s">
        <v>35</v>
      </c>
      <c r="C13" s="4"/>
      <c r="D13" s="4"/>
      <c r="E13" s="4"/>
      <c r="F13" s="4"/>
      <c r="G13" s="3"/>
      <c r="H13" s="3"/>
      <c r="I13" s="3"/>
      <c r="J13" s="3"/>
      <c r="K13" s="22"/>
      <c r="L13" s="3"/>
      <c r="M13" s="4"/>
    </row>
    <row r="14" spans="1:13" ht="16">
      <c r="A14" s="33" t="s">
        <v>36</v>
      </c>
      <c r="B14" s="34"/>
      <c r="C14" s="34"/>
      <c r="D14" s="34"/>
      <c r="E14" s="34"/>
      <c r="F14" s="34"/>
      <c r="G14" s="34"/>
      <c r="H14" s="34"/>
      <c r="I14" s="34"/>
      <c r="J14" s="34"/>
      <c r="K14" s="22"/>
      <c r="L14" s="3"/>
      <c r="M14" s="4"/>
    </row>
    <row r="15" spans="1:13" ht="13">
      <c r="A15" s="14" t="s">
        <v>11</v>
      </c>
      <c r="B15" s="15" t="s">
        <v>202</v>
      </c>
      <c r="C15" s="15" t="s">
        <v>203</v>
      </c>
      <c r="D15" s="15" t="s">
        <v>204</v>
      </c>
      <c r="E15" s="15" t="s">
        <v>658</v>
      </c>
      <c r="F15" s="15" t="s">
        <v>639</v>
      </c>
      <c r="G15" s="16" t="s">
        <v>50</v>
      </c>
      <c r="H15" s="16" t="s">
        <v>205</v>
      </c>
      <c r="I15" s="17" t="s">
        <v>30</v>
      </c>
      <c r="J15" s="14"/>
      <c r="K15" s="25" t="str">
        <f>"42,5"</f>
        <v>42,5</v>
      </c>
      <c r="L15" s="14" t="str">
        <f>"51,1365"</f>
        <v>51,1365</v>
      </c>
      <c r="M15" s="15" t="s">
        <v>206</v>
      </c>
    </row>
    <row r="16" spans="1:13" ht="13">
      <c r="A16" s="4"/>
      <c r="B16" s="4" t="s">
        <v>35</v>
      </c>
      <c r="C16" s="4"/>
      <c r="D16" s="4"/>
      <c r="E16" s="4"/>
      <c r="F16" s="4"/>
      <c r="G16" s="3"/>
      <c r="H16" s="3"/>
      <c r="I16" s="3"/>
      <c r="J16" s="3"/>
      <c r="K16" s="22"/>
      <c r="L16" s="3"/>
      <c r="M16" s="4"/>
    </row>
    <row r="17" spans="1:13" ht="16">
      <c r="A17" s="33" t="s">
        <v>43</v>
      </c>
      <c r="B17" s="34"/>
      <c r="C17" s="34"/>
      <c r="D17" s="34"/>
      <c r="E17" s="34"/>
      <c r="F17" s="34"/>
      <c r="G17" s="34"/>
      <c r="H17" s="34"/>
      <c r="I17" s="34"/>
      <c r="J17" s="34"/>
      <c r="K17" s="22"/>
      <c r="L17" s="3"/>
      <c r="M17" s="4"/>
    </row>
    <row r="18" spans="1:13" ht="13">
      <c r="A18" s="5" t="s">
        <v>11</v>
      </c>
      <c r="B18" s="6" t="s">
        <v>207</v>
      </c>
      <c r="C18" s="6" t="s">
        <v>208</v>
      </c>
      <c r="D18" s="6" t="s">
        <v>209</v>
      </c>
      <c r="E18" s="6" t="s">
        <v>653</v>
      </c>
      <c r="F18" s="6" t="s">
        <v>15</v>
      </c>
      <c r="G18" s="7" t="s">
        <v>163</v>
      </c>
      <c r="H18" s="8" t="s">
        <v>72</v>
      </c>
      <c r="I18" s="8" t="s">
        <v>72</v>
      </c>
      <c r="J18" s="5"/>
      <c r="K18" s="23" t="str">
        <f t="shared" ref="K18:K19" si="0">"60,0"</f>
        <v>60,0</v>
      </c>
      <c r="L18" s="5" t="str">
        <f>"68,2260"</f>
        <v>68,2260</v>
      </c>
      <c r="M18" s="6" t="s">
        <v>210</v>
      </c>
    </row>
    <row r="19" spans="1:13" ht="13">
      <c r="A19" s="18" t="s">
        <v>11</v>
      </c>
      <c r="B19" s="19" t="s">
        <v>211</v>
      </c>
      <c r="C19" s="19" t="s">
        <v>212</v>
      </c>
      <c r="D19" s="19" t="s">
        <v>213</v>
      </c>
      <c r="E19" s="19" t="s">
        <v>652</v>
      </c>
      <c r="F19" s="19" t="s">
        <v>624</v>
      </c>
      <c r="G19" s="20" t="s">
        <v>163</v>
      </c>
      <c r="H19" s="21" t="s">
        <v>47</v>
      </c>
      <c r="I19" s="21" t="s">
        <v>47</v>
      </c>
      <c r="J19" s="18"/>
      <c r="K19" s="26" t="str">
        <f t="shared" si="0"/>
        <v>60,0</v>
      </c>
      <c r="L19" s="18" t="str">
        <f>"67,3260"</f>
        <v>67,3260</v>
      </c>
      <c r="M19" s="19" t="s">
        <v>214</v>
      </c>
    </row>
    <row r="20" spans="1:13" ht="13">
      <c r="A20" s="9" t="s">
        <v>24</v>
      </c>
      <c r="B20" s="10" t="s">
        <v>215</v>
      </c>
      <c r="C20" s="10" t="s">
        <v>216</v>
      </c>
      <c r="D20" s="10" t="s">
        <v>217</v>
      </c>
      <c r="E20" s="10" t="s">
        <v>652</v>
      </c>
      <c r="F20" s="10" t="s">
        <v>639</v>
      </c>
      <c r="G20" s="12" t="s">
        <v>50</v>
      </c>
      <c r="H20" s="11" t="s">
        <v>205</v>
      </c>
      <c r="I20" s="11" t="s">
        <v>205</v>
      </c>
      <c r="J20" s="9"/>
      <c r="K20" s="24" t="str">
        <f>"37,5"</f>
        <v>37,5</v>
      </c>
      <c r="L20" s="9" t="str">
        <f>"41,9700"</f>
        <v>41,9700</v>
      </c>
      <c r="M20" s="10" t="s">
        <v>206</v>
      </c>
    </row>
    <row r="21" spans="1:13" ht="13">
      <c r="A21" s="4"/>
      <c r="B21" s="4" t="s">
        <v>35</v>
      </c>
      <c r="C21" s="4"/>
      <c r="D21" s="4"/>
      <c r="E21" s="4"/>
      <c r="F21" s="4"/>
      <c r="G21" s="3"/>
      <c r="H21" s="3"/>
      <c r="I21" s="3"/>
      <c r="J21" s="3"/>
      <c r="K21" s="22"/>
      <c r="L21" s="3"/>
      <c r="M21" s="4"/>
    </row>
    <row r="22" spans="1:13" ht="16">
      <c r="A22" s="33" t="s">
        <v>51</v>
      </c>
      <c r="B22" s="34"/>
      <c r="C22" s="34"/>
      <c r="D22" s="34"/>
      <c r="E22" s="34"/>
      <c r="F22" s="34"/>
      <c r="G22" s="34"/>
      <c r="H22" s="34"/>
      <c r="I22" s="34"/>
      <c r="J22" s="34"/>
      <c r="K22" s="22"/>
      <c r="L22" s="3"/>
      <c r="M22" s="4"/>
    </row>
    <row r="23" spans="1:13" ht="13">
      <c r="A23" s="5" t="s">
        <v>11</v>
      </c>
      <c r="B23" s="6" t="s">
        <v>218</v>
      </c>
      <c r="C23" s="6" t="s">
        <v>219</v>
      </c>
      <c r="D23" s="6" t="s">
        <v>220</v>
      </c>
      <c r="E23" s="6" t="s">
        <v>654</v>
      </c>
      <c r="F23" s="6" t="s">
        <v>15</v>
      </c>
      <c r="G23" s="7" t="s">
        <v>34</v>
      </c>
      <c r="H23" s="7" t="s">
        <v>17</v>
      </c>
      <c r="I23" s="8" t="s">
        <v>20</v>
      </c>
      <c r="J23" s="5"/>
      <c r="K23" s="23" t="str">
        <f>"102,5"</f>
        <v>102,5</v>
      </c>
      <c r="L23" s="5" t="str">
        <f>"80,5855"</f>
        <v>80,5855</v>
      </c>
      <c r="M23" s="6" t="s">
        <v>221</v>
      </c>
    </row>
    <row r="24" spans="1:13" ht="13">
      <c r="A24" s="18" t="s">
        <v>24</v>
      </c>
      <c r="B24" s="19" t="s">
        <v>222</v>
      </c>
      <c r="C24" s="19" t="s">
        <v>223</v>
      </c>
      <c r="D24" s="19" t="s">
        <v>224</v>
      </c>
      <c r="E24" s="19" t="s">
        <v>654</v>
      </c>
      <c r="F24" s="19" t="s">
        <v>423</v>
      </c>
      <c r="G24" s="20" t="s">
        <v>163</v>
      </c>
      <c r="H24" s="20" t="s">
        <v>40</v>
      </c>
      <c r="I24" s="20" t="s">
        <v>73</v>
      </c>
      <c r="J24" s="18"/>
      <c r="K24" s="26" t="str">
        <f>"75,0"</f>
        <v>75,0</v>
      </c>
      <c r="L24" s="18" t="str">
        <f>"60,0300"</f>
        <v>60,0300</v>
      </c>
      <c r="M24" s="19" t="s">
        <v>225</v>
      </c>
    </row>
    <row r="25" spans="1:13" ht="13">
      <c r="A25" s="9" t="s">
        <v>11</v>
      </c>
      <c r="B25" s="10" t="s">
        <v>218</v>
      </c>
      <c r="C25" s="10" t="s">
        <v>226</v>
      </c>
      <c r="D25" s="10" t="s">
        <v>220</v>
      </c>
      <c r="E25" s="10" t="s">
        <v>652</v>
      </c>
      <c r="F25" s="10" t="s">
        <v>15</v>
      </c>
      <c r="G25" s="12" t="s">
        <v>34</v>
      </c>
      <c r="H25" s="12" t="s">
        <v>17</v>
      </c>
      <c r="I25" s="11" t="s">
        <v>20</v>
      </c>
      <c r="J25" s="9"/>
      <c r="K25" s="24" t="str">
        <f>"102,5"</f>
        <v>102,5</v>
      </c>
      <c r="L25" s="9" t="str">
        <f>"80,5855"</f>
        <v>80,5855</v>
      </c>
      <c r="M25" s="10" t="s">
        <v>221</v>
      </c>
    </row>
    <row r="26" spans="1:13" ht="13">
      <c r="A26" s="4"/>
      <c r="B26" s="4" t="s">
        <v>35</v>
      </c>
      <c r="C26" s="4"/>
      <c r="D26" s="4"/>
      <c r="E26" s="4"/>
      <c r="F26" s="4"/>
      <c r="G26" s="3"/>
      <c r="H26" s="3"/>
      <c r="I26" s="3"/>
      <c r="J26" s="3"/>
      <c r="K26" s="22"/>
      <c r="L26" s="3"/>
      <c r="M26" s="4"/>
    </row>
    <row r="27" spans="1:13" ht="16">
      <c r="A27" s="33" t="s">
        <v>57</v>
      </c>
      <c r="B27" s="34"/>
      <c r="C27" s="34"/>
      <c r="D27" s="34"/>
      <c r="E27" s="34"/>
      <c r="F27" s="34"/>
      <c r="G27" s="34"/>
      <c r="H27" s="34"/>
      <c r="I27" s="34"/>
      <c r="J27" s="34"/>
      <c r="K27" s="22"/>
      <c r="L27" s="3"/>
      <c r="M27" s="4"/>
    </row>
    <row r="28" spans="1:13" ht="13">
      <c r="A28" s="5" t="s">
        <v>11</v>
      </c>
      <c r="B28" s="6" t="s">
        <v>227</v>
      </c>
      <c r="C28" s="6" t="s">
        <v>228</v>
      </c>
      <c r="D28" s="6" t="s">
        <v>229</v>
      </c>
      <c r="E28" s="6" t="s">
        <v>653</v>
      </c>
      <c r="F28" s="6" t="s">
        <v>15</v>
      </c>
      <c r="G28" s="7" t="s">
        <v>22</v>
      </c>
      <c r="H28" s="7" t="s">
        <v>79</v>
      </c>
      <c r="I28" s="8" t="s">
        <v>42</v>
      </c>
      <c r="J28" s="5"/>
      <c r="K28" s="23" t="str">
        <f>"117,5"</f>
        <v>117,5</v>
      </c>
      <c r="L28" s="5" t="str">
        <f>"85,5165"</f>
        <v>85,5165</v>
      </c>
      <c r="M28" s="6" t="s">
        <v>230</v>
      </c>
    </row>
    <row r="29" spans="1:13" ht="13">
      <c r="A29" s="18" t="s">
        <v>11</v>
      </c>
      <c r="B29" s="19" t="s">
        <v>231</v>
      </c>
      <c r="C29" s="19" t="s">
        <v>232</v>
      </c>
      <c r="D29" s="19" t="s">
        <v>233</v>
      </c>
      <c r="E29" s="19" t="s">
        <v>652</v>
      </c>
      <c r="F29" s="19" t="s">
        <v>15</v>
      </c>
      <c r="G29" s="20" t="s">
        <v>86</v>
      </c>
      <c r="H29" s="20" t="s">
        <v>234</v>
      </c>
      <c r="I29" s="20" t="s">
        <v>89</v>
      </c>
      <c r="J29" s="18"/>
      <c r="K29" s="26" t="str">
        <f>"140,0"</f>
        <v>140,0</v>
      </c>
      <c r="L29" s="18" t="str">
        <f>"99,8480"</f>
        <v>99,8480</v>
      </c>
      <c r="M29" s="19"/>
    </row>
    <row r="30" spans="1:13" ht="13">
      <c r="A30" s="18" t="s">
        <v>24</v>
      </c>
      <c r="B30" s="19" t="s">
        <v>235</v>
      </c>
      <c r="C30" s="19" t="s">
        <v>236</v>
      </c>
      <c r="D30" s="19" t="s">
        <v>237</v>
      </c>
      <c r="E30" s="19" t="s">
        <v>652</v>
      </c>
      <c r="F30" s="19" t="s">
        <v>238</v>
      </c>
      <c r="G30" s="20" t="s">
        <v>86</v>
      </c>
      <c r="H30" s="20" t="s">
        <v>234</v>
      </c>
      <c r="I30" s="21" t="s">
        <v>87</v>
      </c>
      <c r="J30" s="18"/>
      <c r="K30" s="26" t="str">
        <f>"135,0"</f>
        <v>135,0</v>
      </c>
      <c r="L30" s="18" t="str">
        <f>"96,8355"</f>
        <v>96,8355</v>
      </c>
      <c r="M30" s="19"/>
    </row>
    <row r="31" spans="1:13" ht="13">
      <c r="A31" s="18" t="s">
        <v>150</v>
      </c>
      <c r="B31" s="19" t="s">
        <v>239</v>
      </c>
      <c r="C31" s="19" t="s">
        <v>240</v>
      </c>
      <c r="D31" s="19" t="s">
        <v>229</v>
      </c>
      <c r="E31" s="19" t="s">
        <v>652</v>
      </c>
      <c r="F31" s="19" t="s">
        <v>15</v>
      </c>
      <c r="G31" s="20" t="s">
        <v>86</v>
      </c>
      <c r="H31" s="20" t="s">
        <v>74</v>
      </c>
      <c r="I31" s="21" t="s">
        <v>234</v>
      </c>
      <c r="J31" s="18"/>
      <c r="K31" s="26" t="str">
        <f>"132,5"</f>
        <v>132,5</v>
      </c>
      <c r="L31" s="18" t="str">
        <f>"96,4335"</f>
        <v>96,4335</v>
      </c>
      <c r="M31" s="19" t="s">
        <v>23</v>
      </c>
    </row>
    <row r="32" spans="1:13" ht="13">
      <c r="A32" s="18" t="s">
        <v>241</v>
      </c>
      <c r="B32" s="19" t="s">
        <v>242</v>
      </c>
      <c r="C32" s="19" t="s">
        <v>243</v>
      </c>
      <c r="D32" s="19" t="s">
        <v>244</v>
      </c>
      <c r="E32" s="19" t="s">
        <v>652</v>
      </c>
      <c r="F32" s="19" t="s">
        <v>15</v>
      </c>
      <c r="G32" s="21" t="s">
        <v>86</v>
      </c>
      <c r="H32" s="20" t="s">
        <v>86</v>
      </c>
      <c r="I32" s="21" t="s">
        <v>234</v>
      </c>
      <c r="J32" s="18"/>
      <c r="K32" s="26" t="str">
        <f>"130,0"</f>
        <v>130,0</v>
      </c>
      <c r="L32" s="18" t="str">
        <f>"94,1460"</f>
        <v>94,1460</v>
      </c>
      <c r="M32" s="19" t="s">
        <v>245</v>
      </c>
    </row>
    <row r="33" spans="1:13" ht="13">
      <c r="A33" s="9" t="s">
        <v>11</v>
      </c>
      <c r="B33" s="10" t="s">
        <v>246</v>
      </c>
      <c r="C33" s="10" t="s">
        <v>247</v>
      </c>
      <c r="D33" s="10" t="s">
        <v>237</v>
      </c>
      <c r="E33" s="10" t="s">
        <v>655</v>
      </c>
      <c r="F33" s="10" t="s">
        <v>639</v>
      </c>
      <c r="G33" s="12" t="s">
        <v>100</v>
      </c>
      <c r="H33" s="12" t="s">
        <v>86</v>
      </c>
      <c r="I33" s="12" t="s">
        <v>74</v>
      </c>
      <c r="J33" s="9"/>
      <c r="K33" s="24" t="str">
        <f>"132,5"</f>
        <v>132,5</v>
      </c>
      <c r="L33" s="9" t="str">
        <f>"109,2986"</f>
        <v>109,2986</v>
      </c>
      <c r="M33" s="10"/>
    </row>
    <row r="34" spans="1:13" ht="13">
      <c r="A34" s="4"/>
      <c r="B34" s="4" t="s">
        <v>35</v>
      </c>
      <c r="C34" s="4"/>
      <c r="D34" s="4"/>
      <c r="E34" s="4"/>
      <c r="F34" s="4"/>
      <c r="G34" s="3"/>
      <c r="H34" s="3"/>
      <c r="I34" s="3"/>
      <c r="J34" s="3"/>
      <c r="K34" s="22"/>
      <c r="L34" s="3"/>
      <c r="M34" s="4"/>
    </row>
    <row r="35" spans="1:13" ht="16">
      <c r="A35" s="33" t="s">
        <v>68</v>
      </c>
      <c r="B35" s="34"/>
      <c r="C35" s="34"/>
      <c r="D35" s="34"/>
      <c r="E35" s="34"/>
      <c r="F35" s="34"/>
      <c r="G35" s="34"/>
      <c r="H35" s="34"/>
      <c r="I35" s="34"/>
      <c r="J35" s="34"/>
      <c r="K35" s="22"/>
      <c r="L35" s="3"/>
      <c r="M35" s="4"/>
    </row>
    <row r="36" spans="1:13" ht="13">
      <c r="A36" s="5" t="s">
        <v>11</v>
      </c>
      <c r="B36" s="6" t="s">
        <v>248</v>
      </c>
      <c r="C36" s="6" t="s">
        <v>249</v>
      </c>
      <c r="D36" s="6" t="s">
        <v>250</v>
      </c>
      <c r="E36" s="6" t="s">
        <v>652</v>
      </c>
      <c r="F36" s="6" t="s">
        <v>157</v>
      </c>
      <c r="G36" s="7" t="s">
        <v>88</v>
      </c>
      <c r="H36" s="7" t="s">
        <v>251</v>
      </c>
      <c r="I36" s="7" t="s">
        <v>252</v>
      </c>
      <c r="J36" s="5"/>
      <c r="K36" s="23" t="str">
        <f>"155,0"</f>
        <v>155,0</v>
      </c>
      <c r="L36" s="5" t="str">
        <f>"105,6480"</f>
        <v>105,6480</v>
      </c>
      <c r="M36" s="6"/>
    </row>
    <row r="37" spans="1:13" ht="13">
      <c r="A37" s="18" t="s">
        <v>24</v>
      </c>
      <c r="B37" s="19" t="s">
        <v>253</v>
      </c>
      <c r="C37" s="19" t="s">
        <v>254</v>
      </c>
      <c r="D37" s="19" t="s">
        <v>255</v>
      </c>
      <c r="E37" s="19" t="s">
        <v>652</v>
      </c>
      <c r="F37" s="19" t="s">
        <v>15</v>
      </c>
      <c r="G37" s="20" t="s">
        <v>89</v>
      </c>
      <c r="H37" s="20" t="s">
        <v>256</v>
      </c>
      <c r="I37" s="20" t="s">
        <v>251</v>
      </c>
      <c r="J37" s="18"/>
      <c r="K37" s="26" t="str">
        <f>"152,5"</f>
        <v>152,5</v>
      </c>
      <c r="L37" s="18" t="str">
        <f>"103,2273"</f>
        <v>103,2273</v>
      </c>
      <c r="M37" s="19"/>
    </row>
    <row r="38" spans="1:13" ht="13">
      <c r="A38" s="18" t="s">
        <v>150</v>
      </c>
      <c r="B38" s="19" t="s">
        <v>257</v>
      </c>
      <c r="C38" s="19" t="s">
        <v>258</v>
      </c>
      <c r="D38" s="19" t="s">
        <v>259</v>
      </c>
      <c r="E38" s="19" t="s">
        <v>652</v>
      </c>
      <c r="F38" s="19" t="s">
        <v>15</v>
      </c>
      <c r="G38" s="20" t="s">
        <v>89</v>
      </c>
      <c r="H38" s="20" t="s">
        <v>75</v>
      </c>
      <c r="I38" s="21" t="s">
        <v>88</v>
      </c>
      <c r="J38" s="18"/>
      <c r="K38" s="26" t="str">
        <f t="shared" ref="K38:K39" si="1">"145,0"</f>
        <v>145,0</v>
      </c>
      <c r="L38" s="18" t="str">
        <f>"98,6870"</f>
        <v>98,6870</v>
      </c>
      <c r="M38" s="19"/>
    </row>
    <row r="39" spans="1:13" ht="13">
      <c r="A39" s="18" t="s">
        <v>241</v>
      </c>
      <c r="B39" s="19" t="s">
        <v>260</v>
      </c>
      <c r="C39" s="19" t="s">
        <v>261</v>
      </c>
      <c r="D39" s="19" t="s">
        <v>262</v>
      </c>
      <c r="E39" s="19" t="s">
        <v>652</v>
      </c>
      <c r="F39" s="19" t="s">
        <v>15</v>
      </c>
      <c r="G39" s="20" t="s">
        <v>234</v>
      </c>
      <c r="H39" s="20" t="s">
        <v>75</v>
      </c>
      <c r="I39" s="21" t="s">
        <v>256</v>
      </c>
      <c r="J39" s="18"/>
      <c r="K39" s="26" t="str">
        <f t="shared" si="1"/>
        <v>145,0</v>
      </c>
      <c r="L39" s="18" t="str">
        <f>"97,7880"</f>
        <v>97,7880</v>
      </c>
      <c r="M39" s="19" t="s">
        <v>95</v>
      </c>
    </row>
    <row r="40" spans="1:13" ht="13">
      <c r="A40" s="18" t="s">
        <v>263</v>
      </c>
      <c r="B40" s="19" t="s">
        <v>264</v>
      </c>
      <c r="C40" s="19" t="s">
        <v>265</v>
      </c>
      <c r="D40" s="19" t="s">
        <v>266</v>
      </c>
      <c r="E40" s="19" t="s">
        <v>652</v>
      </c>
      <c r="F40" s="19" t="s">
        <v>639</v>
      </c>
      <c r="G40" s="20" t="s">
        <v>86</v>
      </c>
      <c r="H40" s="20" t="s">
        <v>89</v>
      </c>
      <c r="I40" s="21" t="s">
        <v>88</v>
      </c>
      <c r="J40" s="18"/>
      <c r="K40" s="26" t="str">
        <f>"140,0"</f>
        <v>140,0</v>
      </c>
      <c r="L40" s="18" t="str">
        <f>"95,0600"</f>
        <v>95,0600</v>
      </c>
      <c r="M40" s="19"/>
    </row>
    <row r="41" spans="1:13" ht="13">
      <c r="A41" s="9" t="s">
        <v>267</v>
      </c>
      <c r="B41" s="10" t="s">
        <v>268</v>
      </c>
      <c r="C41" s="10" t="s">
        <v>269</v>
      </c>
      <c r="D41" s="10" t="s">
        <v>270</v>
      </c>
      <c r="E41" s="10" t="s">
        <v>652</v>
      </c>
      <c r="F41" s="10" t="s">
        <v>271</v>
      </c>
      <c r="G41" s="12" t="s">
        <v>20</v>
      </c>
      <c r="H41" s="12" t="s">
        <v>64</v>
      </c>
      <c r="I41" s="12" t="s">
        <v>138</v>
      </c>
      <c r="J41" s="9"/>
      <c r="K41" s="24" t="str">
        <f>"127,5"</f>
        <v>127,5</v>
      </c>
      <c r="L41" s="9" t="str">
        <f>"87,8858"</f>
        <v>87,8858</v>
      </c>
      <c r="M41" s="10"/>
    </row>
    <row r="42" spans="1:13" ht="13">
      <c r="A42" s="4"/>
      <c r="B42" s="4" t="s">
        <v>35</v>
      </c>
      <c r="C42" s="4"/>
      <c r="D42" s="4"/>
      <c r="E42" s="4"/>
      <c r="F42" s="4"/>
      <c r="G42" s="3"/>
      <c r="H42" s="3"/>
      <c r="I42" s="3"/>
      <c r="J42" s="3"/>
      <c r="K42" s="22"/>
      <c r="L42" s="3"/>
      <c r="M42" s="4"/>
    </row>
    <row r="43" spans="1:13" ht="16">
      <c r="A43" s="33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22"/>
      <c r="L43" s="3"/>
      <c r="M43" s="4"/>
    </row>
    <row r="44" spans="1:13" ht="13">
      <c r="A44" s="5" t="s">
        <v>11</v>
      </c>
      <c r="B44" s="6" t="s">
        <v>272</v>
      </c>
      <c r="C44" s="6" t="s">
        <v>273</v>
      </c>
      <c r="D44" s="6" t="s">
        <v>274</v>
      </c>
      <c r="E44" s="6" t="s">
        <v>654</v>
      </c>
      <c r="F44" s="6" t="s">
        <v>178</v>
      </c>
      <c r="G44" s="7" t="s">
        <v>16</v>
      </c>
      <c r="H44" s="7" t="s">
        <v>20</v>
      </c>
      <c r="I44" s="8" t="s">
        <v>22</v>
      </c>
      <c r="J44" s="5"/>
      <c r="K44" s="23" t="str">
        <f>"105,0"</f>
        <v>105,0</v>
      </c>
      <c r="L44" s="5" t="str">
        <f>"67,6200"</f>
        <v>67,6200</v>
      </c>
      <c r="M44" s="6" t="s">
        <v>23</v>
      </c>
    </row>
    <row r="45" spans="1:13" ht="13">
      <c r="A45" s="18" t="s">
        <v>11</v>
      </c>
      <c r="B45" s="19" t="s">
        <v>275</v>
      </c>
      <c r="C45" s="19" t="s">
        <v>276</v>
      </c>
      <c r="D45" s="19" t="s">
        <v>277</v>
      </c>
      <c r="E45" s="19" t="s">
        <v>653</v>
      </c>
      <c r="F45" s="19" t="s">
        <v>15</v>
      </c>
      <c r="G45" s="20" t="s">
        <v>75</v>
      </c>
      <c r="H45" s="20" t="s">
        <v>251</v>
      </c>
      <c r="I45" s="21" t="s">
        <v>252</v>
      </c>
      <c r="J45" s="18"/>
      <c r="K45" s="26" t="str">
        <f>"152,5"</f>
        <v>152,5</v>
      </c>
      <c r="L45" s="18" t="str">
        <f>"97,9202"</f>
        <v>97,9202</v>
      </c>
      <c r="M45" s="19"/>
    </row>
    <row r="46" spans="1:13" ht="13">
      <c r="A46" s="18" t="s">
        <v>11</v>
      </c>
      <c r="B46" s="19" t="s">
        <v>278</v>
      </c>
      <c r="C46" s="19" t="s">
        <v>279</v>
      </c>
      <c r="D46" s="19" t="s">
        <v>280</v>
      </c>
      <c r="E46" s="19" t="s">
        <v>652</v>
      </c>
      <c r="F46" s="19" t="s">
        <v>15</v>
      </c>
      <c r="G46" s="20" t="s">
        <v>88</v>
      </c>
      <c r="H46" s="20" t="s">
        <v>61</v>
      </c>
      <c r="I46" s="21" t="s">
        <v>149</v>
      </c>
      <c r="J46" s="18"/>
      <c r="K46" s="26" t="str">
        <f>"160,0"</f>
        <v>160,0</v>
      </c>
      <c r="L46" s="18" t="str">
        <f>"102,9120"</f>
        <v>102,9120</v>
      </c>
      <c r="M46" s="19" t="s">
        <v>281</v>
      </c>
    </row>
    <row r="47" spans="1:13" ht="13">
      <c r="A47" s="18" t="s">
        <v>24</v>
      </c>
      <c r="B47" s="19" t="s">
        <v>282</v>
      </c>
      <c r="C47" s="19" t="s">
        <v>283</v>
      </c>
      <c r="D47" s="19" t="s">
        <v>284</v>
      </c>
      <c r="E47" s="19" t="s">
        <v>652</v>
      </c>
      <c r="F47" s="19" t="s">
        <v>15</v>
      </c>
      <c r="G47" s="20" t="s">
        <v>251</v>
      </c>
      <c r="H47" s="21" t="s">
        <v>285</v>
      </c>
      <c r="I47" s="20" t="s">
        <v>285</v>
      </c>
      <c r="J47" s="18"/>
      <c r="K47" s="26" t="str">
        <f>"157,5"</f>
        <v>157,5</v>
      </c>
      <c r="L47" s="18" t="str">
        <f>"102,2963"</f>
        <v>102,2963</v>
      </c>
      <c r="M47" s="19"/>
    </row>
    <row r="48" spans="1:13" ht="13">
      <c r="A48" s="18" t="s">
        <v>150</v>
      </c>
      <c r="B48" s="19" t="s">
        <v>286</v>
      </c>
      <c r="C48" s="19" t="s">
        <v>287</v>
      </c>
      <c r="D48" s="19" t="s">
        <v>288</v>
      </c>
      <c r="E48" s="19" t="s">
        <v>652</v>
      </c>
      <c r="F48" s="19" t="s">
        <v>289</v>
      </c>
      <c r="G48" s="20" t="s">
        <v>89</v>
      </c>
      <c r="H48" s="21" t="s">
        <v>75</v>
      </c>
      <c r="I48" s="21" t="s">
        <v>75</v>
      </c>
      <c r="J48" s="18"/>
      <c r="K48" s="26" t="str">
        <f>"140,0"</f>
        <v>140,0</v>
      </c>
      <c r="L48" s="18" t="str">
        <f>"89,6840"</f>
        <v>89,6840</v>
      </c>
      <c r="M48" s="19"/>
    </row>
    <row r="49" spans="1:13" ht="13">
      <c r="A49" s="18" t="s">
        <v>241</v>
      </c>
      <c r="B49" s="19" t="s">
        <v>290</v>
      </c>
      <c r="C49" s="19" t="s">
        <v>291</v>
      </c>
      <c r="D49" s="19" t="s">
        <v>292</v>
      </c>
      <c r="E49" s="19" t="s">
        <v>652</v>
      </c>
      <c r="F49" s="19" t="s">
        <v>624</v>
      </c>
      <c r="G49" s="20" t="s">
        <v>100</v>
      </c>
      <c r="H49" s="20" t="s">
        <v>293</v>
      </c>
      <c r="I49" s="21" t="s">
        <v>87</v>
      </c>
      <c r="J49" s="18"/>
      <c r="K49" s="26" t="str">
        <f>"132,0"</f>
        <v>132,0</v>
      </c>
      <c r="L49" s="18" t="str">
        <f>"85,5756"</f>
        <v>85,5756</v>
      </c>
      <c r="M49" s="19"/>
    </row>
    <row r="50" spans="1:13" ht="13">
      <c r="A50" s="18" t="s">
        <v>263</v>
      </c>
      <c r="B50" s="19" t="s">
        <v>294</v>
      </c>
      <c r="C50" s="19" t="s">
        <v>295</v>
      </c>
      <c r="D50" s="19" t="s">
        <v>296</v>
      </c>
      <c r="E50" s="19" t="s">
        <v>652</v>
      </c>
      <c r="F50" s="19" t="s">
        <v>15</v>
      </c>
      <c r="G50" s="20" t="s">
        <v>86</v>
      </c>
      <c r="H50" s="21" t="s">
        <v>234</v>
      </c>
      <c r="I50" s="21" t="s">
        <v>234</v>
      </c>
      <c r="J50" s="18"/>
      <c r="K50" s="26" t="str">
        <f t="shared" ref="K50:K51" si="2">"130,0"</f>
        <v>130,0</v>
      </c>
      <c r="L50" s="18" t="str">
        <f>"84,1230"</f>
        <v>84,1230</v>
      </c>
      <c r="M50" s="19" t="s">
        <v>297</v>
      </c>
    </row>
    <row r="51" spans="1:13" ht="13">
      <c r="A51" s="9" t="s">
        <v>267</v>
      </c>
      <c r="B51" s="10" t="s">
        <v>298</v>
      </c>
      <c r="C51" s="10" t="s">
        <v>299</v>
      </c>
      <c r="D51" s="10" t="s">
        <v>300</v>
      </c>
      <c r="E51" s="10" t="s">
        <v>652</v>
      </c>
      <c r="F51" s="10" t="s">
        <v>15</v>
      </c>
      <c r="G51" s="12" t="s">
        <v>86</v>
      </c>
      <c r="H51" s="11" t="s">
        <v>234</v>
      </c>
      <c r="I51" s="9"/>
      <c r="J51" s="9"/>
      <c r="K51" s="24" t="str">
        <f t="shared" si="2"/>
        <v>130,0</v>
      </c>
      <c r="L51" s="9" t="str">
        <f>"83,1740"</f>
        <v>83,1740</v>
      </c>
      <c r="M51" s="10" t="s">
        <v>301</v>
      </c>
    </row>
    <row r="52" spans="1:13" ht="13">
      <c r="A52" s="4"/>
      <c r="B52" s="4" t="s">
        <v>35</v>
      </c>
      <c r="C52" s="4"/>
      <c r="D52" s="4"/>
      <c r="E52" s="4"/>
      <c r="F52" s="4"/>
      <c r="G52" s="3"/>
      <c r="H52" s="3"/>
      <c r="I52" s="3"/>
      <c r="J52" s="3"/>
      <c r="K52" s="22"/>
      <c r="L52" s="3"/>
      <c r="M52" s="4"/>
    </row>
    <row r="53" spans="1:13" ht="16">
      <c r="A53" s="33" t="s">
        <v>96</v>
      </c>
      <c r="B53" s="34"/>
      <c r="C53" s="34"/>
      <c r="D53" s="34"/>
      <c r="E53" s="34"/>
      <c r="F53" s="34"/>
      <c r="G53" s="34"/>
      <c r="H53" s="34"/>
      <c r="I53" s="34"/>
      <c r="J53" s="34"/>
      <c r="K53" s="22"/>
      <c r="L53" s="3"/>
      <c r="M53" s="4"/>
    </row>
    <row r="54" spans="1:13" ht="13">
      <c r="A54" s="5" t="s">
        <v>11</v>
      </c>
      <c r="B54" s="6" t="s">
        <v>302</v>
      </c>
      <c r="C54" s="6" t="s">
        <v>303</v>
      </c>
      <c r="D54" s="6" t="s">
        <v>304</v>
      </c>
      <c r="E54" s="6" t="s">
        <v>652</v>
      </c>
      <c r="F54" s="6" t="s">
        <v>85</v>
      </c>
      <c r="G54" s="7" t="s">
        <v>252</v>
      </c>
      <c r="H54" s="7" t="s">
        <v>305</v>
      </c>
      <c r="I54" s="8" t="s">
        <v>149</v>
      </c>
      <c r="J54" s="5"/>
      <c r="K54" s="23" t="str">
        <f>"162,5"</f>
        <v>162,5</v>
      </c>
      <c r="L54" s="5" t="str">
        <f>"99,1738"</f>
        <v>99,1738</v>
      </c>
      <c r="M54" s="6" t="s">
        <v>90</v>
      </c>
    </row>
    <row r="55" spans="1:13" ht="13">
      <c r="A55" s="18" t="s">
        <v>52</v>
      </c>
      <c r="B55" s="19" t="s">
        <v>306</v>
      </c>
      <c r="C55" s="19" t="s">
        <v>307</v>
      </c>
      <c r="D55" s="19" t="s">
        <v>308</v>
      </c>
      <c r="E55" s="19" t="s">
        <v>652</v>
      </c>
      <c r="F55" s="19" t="s">
        <v>271</v>
      </c>
      <c r="G55" s="21" t="s">
        <v>88</v>
      </c>
      <c r="H55" s="21" t="s">
        <v>305</v>
      </c>
      <c r="I55" s="21" t="s">
        <v>305</v>
      </c>
      <c r="J55" s="18"/>
      <c r="K55" s="26">
        <v>0</v>
      </c>
      <c r="L55" s="18" t="str">
        <f t="shared" ref="L55:L56" si="3">"0,0000"</f>
        <v>0,0000</v>
      </c>
      <c r="M55" s="19" t="s">
        <v>641</v>
      </c>
    </row>
    <row r="56" spans="1:13" ht="13">
      <c r="A56" s="18" t="s">
        <v>52</v>
      </c>
      <c r="B56" s="19" t="s">
        <v>309</v>
      </c>
      <c r="C56" s="19" t="s">
        <v>310</v>
      </c>
      <c r="D56" s="19" t="s">
        <v>311</v>
      </c>
      <c r="E56" s="19" t="s">
        <v>652</v>
      </c>
      <c r="F56" s="19" t="s">
        <v>15</v>
      </c>
      <c r="G56" s="21" t="s">
        <v>86</v>
      </c>
      <c r="H56" s="21" t="s">
        <v>86</v>
      </c>
      <c r="I56" s="21" t="s">
        <v>86</v>
      </c>
      <c r="J56" s="18"/>
      <c r="K56" s="26">
        <v>0</v>
      </c>
      <c r="L56" s="18" t="str">
        <f t="shared" si="3"/>
        <v>0,0000</v>
      </c>
      <c r="M56" s="19" t="s">
        <v>301</v>
      </c>
    </row>
    <row r="57" spans="1:13" ht="13">
      <c r="A57" s="9" t="s">
        <v>11</v>
      </c>
      <c r="B57" s="10" t="s">
        <v>312</v>
      </c>
      <c r="C57" s="10" t="s">
        <v>313</v>
      </c>
      <c r="D57" s="10" t="s">
        <v>314</v>
      </c>
      <c r="E57" s="10" t="s">
        <v>658</v>
      </c>
      <c r="F57" s="10" t="s">
        <v>178</v>
      </c>
      <c r="G57" s="12" t="s">
        <v>75</v>
      </c>
      <c r="H57" s="12" t="s">
        <v>256</v>
      </c>
      <c r="I57" s="11" t="s">
        <v>88</v>
      </c>
      <c r="J57" s="9"/>
      <c r="K57" s="24" t="str">
        <f>"147,5"</f>
        <v>147,5</v>
      </c>
      <c r="L57" s="9" t="str">
        <f>"96,0302"</f>
        <v>96,0302</v>
      </c>
      <c r="M57" s="10" t="s">
        <v>23</v>
      </c>
    </row>
    <row r="58" spans="1:13" ht="13">
      <c r="A58" s="4"/>
      <c r="B58" s="4" t="s">
        <v>35</v>
      </c>
      <c r="C58" s="4"/>
      <c r="D58" s="4"/>
      <c r="E58" s="4"/>
      <c r="F58" s="4"/>
      <c r="G58" s="3"/>
      <c r="H58" s="3"/>
      <c r="I58" s="3"/>
      <c r="J58" s="3"/>
      <c r="K58" s="22"/>
      <c r="L58" s="3"/>
      <c r="M58" s="4"/>
    </row>
    <row r="59" spans="1:13" ht="16">
      <c r="A59" s="33" t="s">
        <v>315</v>
      </c>
      <c r="B59" s="34"/>
      <c r="C59" s="34"/>
      <c r="D59" s="34"/>
      <c r="E59" s="34"/>
      <c r="F59" s="34"/>
      <c r="G59" s="34"/>
      <c r="H59" s="34"/>
      <c r="I59" s="34"/>
      <c r="J59" s="34"/>
      <c r="K59" s="22"/>
      <c r="L59" s="3"/>
      <c r="M59" s="4"/>
    </row>
    <row r="60" spans="1:13" ht="13">
      <c r="A60" s="5" t="s">
        <v>11</v>
      </c>
      <c r="B60" s="6" t="s">
        <v>316</v>
      </c>
      <c r="C60" s="6" t="s">
        <v>317</v>
      </c>
      <c r="D60" s="6" t="s">
        <v>318</v>
      </c>
      <c r="E60" s="6" t="s">
        <v>652</v>
      </c>
      <c r="F60" s="6" t="s">
        <v>15</v>
      </c>
      <c r="G60" s="7" t="s">
        <v>61</v>
      </c>
      <c r="H60" s="8" t="s">
        <v>319</v>
      </c>
      <c r="I60" s="8" t="s">
        <v>319</v>
      </c>
      <c r="J60" s="5"/>
      <c r="K60" s="23" t="str">
        <f>"160,0"</f>
        <v>160,0</v>
      </c>
      <c r="L60" s="5" t="str">
        <f>"95,2000"</f>
        <v>95,2000</v>
      </c>
      <c r="M60" s="6" t="s">
        <v>301</v>
      </c>
    </row>
    <row r="61" spans="1:13" ht="13">
      <c r="A61" s="9" t="s">
        <v>24</v>
      </c>
      <c r="B61" s="10" t="s">
        <v>320</v>
      </c>
      <c r="C61" s="10" t="s">
        <v>321</v>
      </c>
      <c r="D61" s="10" t="s">
        <v>322</v>
      </c>
      <c r="E61" s="10" t="s">
        <v>652</v>
      </c>
      <c r="F61" s="10" t="s">
        <v>289</v>
      </c>
      <c r="G61" s="12" t="s">
        <v>234</v>
      </c>
      <c r="H61" s="12" t="s">
        <v>75</v>
      </c>
      <c r="I61" s="12" t="s">
        <v>88</v>
      </c>
      <c r="J61" s="9"/>
      <c r="K61" s="24" t="str">
        <f>"150,0"</f>
        <v>150,0</v>
      </c>
      <c r="L61" s="9" t="str">
        <f>"89,8800"</f>
        <v>89,8800</v>
      </c>
      <c r="M61" s="10" t="s">
        <v>642</v>
      </c>
    </row>
    <row r="62" spans="1:13" ht="13">
      <c r="A62" s="4"/>
      <c r="B62" s="4" t="s">
        <v>35</v>
      </c>
      <c r="C62" s="4"/>
      <c r="D62" s="4"/>
      <c r="E62" s="4"/>
      <c r="F62" s="4"/>
      <c r="G62" s="3"/>
      <c r="H62" s="3"/>
      <c r="I62" s="3"/>
      <c r="J62" s="3"/>
      <c r="K62" s="22"/>
      <c r="L62" s="3"/>
      <c r="M62" s="4"/>
    </row>
    <row r="63" spans="1:13" ht="13">
      <c r="A63" s="4"/>
      <c r="B63" s="4" t="s">
        <v>35</v>
      </c>
      <c r="G63" s="3"/>
      <c r="H63" s="3"/>
      <c r="I63" s="3"/>
      <c r="J63" s="3"/>
      <c r="K63" s="22"/>
      <c r="L63" s="3"/>
      <c r="M63" s="4"/>
    </row>
    <row r="64" spans="1:13" ht="13">
      <c r="A64" s="4"/>
      <c r="B64" s="4" t="s">
        <v>35</v>
      </c>
      <c r="G64" s="3"/>
      <c r="H64" s="3"/>
      <c r="I64" s="3"/>
      <c r="J64" s="3"/>
      <c r="K64" s="22"/>
      <c r="L64" s="3"/>
      <c r="M64" s="4"/>
    </row>
    <row r="65" spans="1:13" ht="13" customHeight="1">
      <c r="A65" s="4"/>
      <c r="B65" s="28" t="s">
        <v>323</v>
      </c>
      <c r="C65" s="28"/>
      <c r="D65" s="4"/>
      <c r="E65" s="4"/>
      <c r="G65" s="3"/>
      <c r="H65" s="3"/>
      <c r="I65" s="3"/>
      <c r="J65" s="3"/>
      <c r="K65" s="22"/>
      <c r="L65" s="3"/>
      <c r="M65" s="4"/>
    </row>
    <row r="66" spans="1:13" ht="13" customHeight="1">
      <c r="A66" s="4"/>
      <c r="B66" s="29" t="s">
        <v>324</v>
      </c>
      <c r="C66" s="29"/>
      <c r="D66" s="4"/>
      <c r="E66" s="4"/>
      <c r="G66" s="3"/>
      <c r="H66" s="3"/>
      <c r="I66" s="3"/>
      <c r="J66" s="3"/>
      <c r="K66" s="22"/>
      <c r="L66" s="3"/>
      <c r="M66" s="4"/>
    </row>
    <row r="67" spans="1:13" ht="13" customHeight="1">
      <c r="A67" s="4"/>
      <c r="B67" s="30"/>
      <c r="C67" s="31" t="s">
        <v>325</v>
      </c>
      <c r="D67" s="4"/>
      <c r="E67" s="4"/>
      <c r="G67" s="3"/>
      <c r="H67" s="3"/>
      <c r="I67" s="3"/>
      <c r="J67" s="3"/>
      <c r="K67" s="22"/>
      <c r="L67" s="3"/>
      <c r="M67" s="4"/>
    </row>
    <row r="68" spans="1:13" ht="13" customHeight="1">
      <c r="A68" s="4"/>
      <c r="B68" s="32" t="s">
        <v>326</v>
      </c>
      <c r="C68" s="32" t="s">
        <v>327</v>
      </c>
      <c r="D68" s="32" t="s">
        <v>640</v>
      </c>
      <c r="E68" s="32" t="s">
        <v>328</v>
      </c>
      <c r="G68" s="3"/>
      <c r="H68" s="3"/>
      <c r="I68" s="3"/>
      <c r="J68" s="3"/>
      <c r="K68" s="22"/>
      <c r="L68" s="3"/>
      <c r="M68" s="4"/>
    </row>
    <row r="69" spans="1:13" ht="13" customHeight="1">
      <c r="A69" s="4"/>
      <c r="B69" s="4" t="s">
        <v>248</v>
      </c>
      <c r="C69" s="4" t="s">
        <v>325</v>
      </c>
      <c r="D69" s="3" t="s">
        <v>329</v>
      </c>
      <c r="E69" s="3" t="s">
        <v>252</v>
      </c>
      <c r="G69" s="3"/>
      <c r="H69" s="3"/>
      <c r="I69" s="3"/>
      <c r="J69" s="3"/>
      <c r="K69" s="22"/>
      <c r="L69" s="3"/>
      <c r="M69" s="4"/>
    </row>
    <row r="70" spans="1:13" ht="13" customHeight="1">
      <c r="A70" s="4"/>
      <c r="B70" s="4" t="s">
        <v>253</v>
      </c>
      <c r="C70" s="4" t="s">
        <v>325</v>
      </c>
      <c r="D70" s="3" t="s">
        <v>329</v>
      </c>
      <c r="E70" s="3" t="s">
        <v>251</v>
      </c>
      <c r="F70" s="4"/>
      <c r="G70" s="3"/>
      <c r="H70" s="3"/>
      <c r="I70" s="3"/>
      <c r="J70" s="3"/>
      <c r="K70" s="22"/>
      <c r="L70" s="3"/>
      <c r="M70" s="4"/>
    </row>
    <row r="71" spans="1:13" ht="13" customHeight="1">
      <c r="B71" s="4" t="s">
        <v>278</v>
      </c>
      <c r="C71" s="4" t="s">
        <v>325</v>
      </c>
      <c r="D71" s="3" t="s">
        <v>330</v>
      </c>
      <c r="E71" s="3" t="s">
        <v>61</v>
      </c>
    </row>
    <row r="72" spans="1:13" ht="13" customHeight="1"/>
    <row r="73" spans="1:13" ht="13" customHeight="1"/>
  </sheetData>
  <mergeCells count="21">
    <mergeCell ref="L3:L4"/>
    <mergeCell ref="M3:M4"/>
    <mergeCell ref="A5:J5"/>
    <mergeCell ref="A1:M2"/>
    <mergeCell ref="A3:A4"/>
    <mergeCell ref="G3:J3"/>
    <mergeCell ref="B3:B4"/>
    <mergeCell ref="A22:J22"/>
    <mergeCell ref="A27:J27"/>
    <mergeCell ref="K3:K4"/>
    <mergeCell ref="C3:C4"/>
    <mergeCell ref="D3:D4"/>
    <mergeCell ref="E3:E4"/>
    <mergeCell ref="F3:F4"/>
    <mergeCell ref="A43:J43"/>
    <mergeCell ref="A53:J53"/>
    <mergeCell ref="A59:J59"/>
    <mergeCell ref="A10:J10"/>
    <mergeCell ref="A14:J14"/>
    <mergeCell ref="A17:J17"/>
    <mergeCell ref="A35:J3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3"/>
  <sheetViews>
    <sheetView topLeftCell="A47" workbookViewId="0">
      <selection activeCell="E74" sqref="E74"/>
    </sheetView>
  </sheetViews>
  <sheetFormatPr baseColWidth="10" defaultColWidth="12.6640625" defaultRowHeight="15" customHeight="1"/>
  <cols>
    <col min="1" max="1" width="8.1640625" style="1" bestFit="1" customWidth="1"/>
    <col min="2" max="2" width="21.1640625" style="1" bestFit="1" customWidth="1"/>
    <col min="3" max="3" width="31.83203125" style="1" customWidth="1"/>
    <col min="4" max="4" width="23.1640625" style="1" bestFit="1" customWidth="1"/>
    <col min="5" max="5" width="11.1640625" style="1" bestFit="1" customWidth="1"/>
    <col min="6" max="6" width="31" style="1" bestFit="1" customWidth="1"/>
    <col min="7" max="10" width="5.5" style="1" customWidth="1"/>
    <col min="11" max="11" width="12.6640625" style="27" bestFit="1" customWidth="1"/>
    <col min="12" max="12" width="10.33203125" style="1" bestFit="1" customWidth="1"/>
    <col min="13" max="13" width="23.83203125" style="1" bestFit="1" customWidth="1"/>
    <col min="14" max="16384" width="12.6640625" style="1"/>
  </cols>
  <sheetData>
    <row r="1" spans="1:13" ht="28.5" customHeight="1">
      <c r="A1" s="43" t="s">
        <v>631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53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54"/>
      <c r="L4" s="38"/>
      <c r="M4" s="52"/>
    </row>
    <row r="5" spans="1:13" ht="16">
      <c r="A5" s="35" t="s">
        <v>331</v>
      </c>
      <c r="B5" s="36"/>
      <c r="C5" s="36"/>
      <c r="D5" s="36"/>
      <c r="E5" s="36"/>
      <c r="F5" s="36"/>
      <c r="G5" s="36"/>
      <c r="H5" s="36"/>
      <c r="I5" s="36"/>
      <c r="J5" s="36"/>
      <c r="K5" s="22"/>
      <c r="L5" s="3"/>
      <c r="M5" s="4"/>
    </row>
    <row r="6" spans="1:13" ht="13">
      <c r="A6" s="14" t="s">
        <v>11</v>
      </c>
      <c r="B6" s="15" t="s">
        <v>332</v>
      </c>
      <c r="C6" s="15" t="s">
        <v>333</v>
      </c>
      <c r="D6" s="15" t="s">
        <v>334</v>
      </c>
      <c r="E6" s="15" t="s">
        <v>654</v>
      </c>
      <c r="F6" s="15" t="s">
        <v>15</v>
      </c>
      <c r="G6" s="16" t="s">
        <v>30</v>
      </c>
      <c r="H6" s="17" t="s">
        <v>31</v>
      </c>
      <c r="I6" s="17" t="s">
        <v>31</v>
      </c>
      <c r="J6" s="14"/>
      <c r="K6" s="25" t="str">
        <f>"45,0"</f>
        <v>45,0</v>
      </c>
      <c r="L6" s="14" t="str">
        <f>"63,9405"</f>
        <v>63,9405</v>
      </c>
      <c r="M6" s="15" t="s">
        <v>335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22"/>
      <c r="L7" s="3"/>
      <c r="M7" s="4"/>
    </row>
    <row r="8" spans="1:13" ht="16">
      <c r="A8" s="33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22"/>
      <c r="L8" s="3"/>
      <c r="M8" s="4"/>
    </row>
    <row r="9" spans="1:13" ht="13">
      <c r="A9" s="14" t="s">
        <v>11</v>
      </c>
      <c r="B9" s="15" t="s">
        <v>336</v>
      </c>
      <c r="C9" s="15" t="s">
        <v>337</v>
      </c>
      <c r="D9" s="15" t="s">
        <v>338</v>
      </c>
      <c r="E9" s="15" t="s">
        <v>654</v>
      </c>
      <c r="F9" s="15" t="s">
        <v>178</v>
      </c>
      <c r="G9" s="16" t="s">
        <v>41</v>
      </c>
      <c r="H9" s="16" t="s">
        <v>205</v>
      </c>
      <c r="I9" s="17" t="s">
        <v>30</v>
      </c>
      <c r="J9" s="14"/>
      <c r="K9" s="25" t="str">
        <f>"42,5"</f>
        <v>42,5</v>
      </c>
      <c r="L9" s="14" t="str">
        <f>"53,1420"</f>
        <v>53,1420</v>
      </c>
      <c r="M9" s="15" t="s">
        <v>23</v>
      </c>
    </row>
    <row r="10" spans="1:13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22"/>
      <c r="L10" s="3"/>
      <c r="M10" s="4"/>
    </row>
    <row r="11" spans="1:13" ht="16">
      <c r="A11" s="33" t="s">
        <v>36</v>
      </c>
      <c r="B11" s="34"/>
      <c r="C11" s="34"/>
      <c r="D11" s="34"/>
      <c r="E11" s="34"/>
      <c r="F11" s="34"/>
      <c r="G11" s="34"/>
      <c r="H11" s="34"/>
      <c r="I11" s="34"/>
      <c r="J11" s="34"/>
      <c r="K11" s="22"/>
      <c r="L11" s="3"/>
      <c r="M11" s="4"/>
    </row>
    <row r="12" spans="1:13" ht="13">
      <c r="A12" s="14" t="s">
        <v>11</v>
      </c>
      <c r="B12" s="15" t="s">
        <v>339</v>
      </c>
      <c r="C12" s="15" t="s">
        <v>340</v>
      </c>
      <c r="D12" s="15" t="s">
        <v>341</v>
      </c>
      <c r="E12" s="15" t="s">
        <v>652</v>
      </c>
      <c r="F12" s="15" t="s">
        <v>15</v>
      </c>
      <c r="G12" s="16" t="s">
        <v>30</v>
      </c>
      <c r="H12" s="16" t="s">
        <v>31</v>
      </c>
      <c r="I12" s="17" t="s">
        <v>32</v>
      </c>
      <c r="J12" s="14"/>
      <c r="K12" s="25" t="str">
        <f>"47,5"</f>
        <v>47,5</v>
      </c>
      <c r="L12" s="14" t="str">
        <f>"56,2828"</f>
        <v>56,2828</v>
      </c>
      <c r="M12" s="15" t="s">
        <v>342</v>
      </c>
    </row>
    <row r="13" spans="1:13" ht="13">
      <c r="A13" s="4"/>
      <c r="B13" s="4" t="s">
        <v>35</v>
      </c>
      <c r="C13" s="4"/>
      <c r="D13" s="4"/>
      <c r="E13" s="4"/>
      <c r="F13" s="4"/>
      <c r="G13" s="3"/>
      <c r="H13" s="3"/>
      <c r="I13" s="3"/>
      <c r="J13" s="3"/>
      <c r="K13" s="22"/>
      <c r="L13" s="3"/>
      <c r="M13" s="4"/>
    </row>
    <row r="14" spans="1:13" ht="16">
      <c r="A14" s="33" t="s">
        <v>43</v>
      </c>
      <c r="B14" s="34"/>
      <c r="C14" s="34"/>
      <c r="D14" s="34"/>
      <c r="E14" s="34"/>
      <c r="F14" s="34"/>
      <c r="G14" s="34"/>
      <c r="H14" s="34"/>
      <c r="I14" s="34"/>
      <c r="J14" s="34"/>
      <c r="K14" s="22"/>
      <c r="L14" s="3"/>
      <c r="M14" s="4"/>
    </row>
    <row r="15" spans="1:13" ht="13">
      <c r="A15" s="14" t="s">
        <v>11</v>
      </c>
      <c r="B15" s="15" t="s">
        <v>343</v>
      </c>
      <c r="C15" s="15" t="s">
        <v>344</v>
      </c>
      <c r="D15" s="15" t="s">
        <v>217</v>
      </c>
      <c r="E15" s="15" t="s">
        <v>658</v>
      </c>
      <c r="F15" s="15" t="s">
        <v>15</v>
      </c>
      <c r="G15" s="16" t="s">
        <v>205</v>
      </c>
      <c r="H15" s="16" t="s">
        <v>30</v>
      </c>
      <c r="I15" s="17" t="s">
        <v>31</v>
      </c>
      <c r="J15" s="14"/>
      <c r="K15" s="25" t="str">
        <f>"45,0"</f>
        <v>45,0</v>
      </c>
      <c r="L15" s="14" t="str">
        <f>"51,0691"</f>
        <v>51,0691</v>
      </c>
      <c r="M15" s="15" t="s">
        <v>281</v>
      </c>
    </row>
    <row r="16" spans="1:13" ht="13">
      <c r="A16" s="4"/>
      <c r="B16" s="4" t="s">
        <v>35</v>
      </c>
      <c r="C16" s="4"/>
      <c r="D16" s="4"/>
      <c r="E16" s="4"/>
      <c r="F16" s="4"/>
      <c r="G16" s="3"/>
      <c r="H16" s="3"/>
      <c r="I16" s="3"/>
      <c r="J16" s="3"/>
      <c r="K16" s="22"/>
      <c r="L16" s="3"/>
      <c r="M16" s="4"/>
    </row>
    <row r="17" spans="1:13" ht="16">
      <c r="A17" s="33" t="s">
        <v>51</v>
      </c>
      <c r="B17" s="34"/>
      <c r="C17" s="34"/>
      <c r="D17" s="34"/>
      <c r="E17" s="34"/>
      <c r="F17" s="34"/>
      <c r="G17" s="34"/>
      <c r="H17" s="34"/>
      <c r="I17" s="34"/>
      <c r="J17" s="34"/>
      <c r="K17" s="22"/>
      <c r="L17" s="3"/>
      <c r="M17" s="4"/>
    </row>
    <row r="18" spans="1:13" ht="13">
      <c r="A18" s="5" t="s">
        <v>11</v>
      </c>
      <c r="B18" s="6" t="s">
        <v>345</v>
      </c>
      <c r="C18" s="6" t="s">
        <v>346</v>
      </c>
      <c r="D18" s="6" t="s">
        <v>347</v>
      </c>
      <c r="E18" s="6" t="s">
        <v>654</v>
      </c>
      <c r="F18" s="6" t="s">
        <v>348</v>
      </c>
      <c r="G18" s="7" t="s">
        <v>28</v>
      </c>
      <c r="H18" s="7" t="s">
        <v>349</v>
      </c>
      <c r="I18" s="7" t="s">
        <v>29</v>
      </c>
      <c r="J18" s="5"/>
      <c r="K18" s="23" t="str">
        <f t="shared" ref="K18:K19" si="0">"85,0"</f>
        <v>85,0</v>
      </c>
      <c r="L18" s="5" t="str">
        <f t="shared" ref="L18:L19" si="1">"91,1795"</f>
        <v>91,1795</v>
      </c>
      <c r="M18" s="6" t="s">
        <v>350</v>
      </c>
    </row>
    <row r="19" spans="1:13" ht="13">
      <c r="A19" s="18" t="s">
        <v>11</v>
      </c>
      <c r="B19" s="19" t="s">
        <v>345</v>
      </c>
      <c r="C19" s="19" t="s">
        <v>351</v>
      </c>
      <c r="D19" s="19" t="s">
        <v>347</v>
      </c>
      <c r="E19" s="19" t="s">
        <v>652</v>
      </c>
      <c r="F19" s="19" t="s">
        <v>348</v>
      </c>
      <c r="G19" s="20" t="s">
        <v>28</v>
      </c>
      <c r="H19" s="20" t="s">
        <v>349</v>
      </c>
      <c r="I19" s="20" t="s">
        <v>29</v>
      </c>
      <c r="J19" s="18"/>
      <c r="K19" s="26" t="str">
        <f t="shared" si="0"/>
        <v>85,0</v>
      </c>
      <c r="L19" s="18" t="str">
        <f t="shared" si="1"/>
        <v>91,1795</v>
      </c>
      <c r="M19" s="19" t="s">
        <v>350</v>
      </c>
    </row>
    <row r="20" spans="1:13" ht="13">
      <c r="A20" s="9" t="s">
        <v>24</v>
      </c>
      <c r="B20" s="10" t="s">
        <v>352</v>
      </c>
      <c r="C20" s="10" t="s">
        <v>353</v>
      </c>
      <c r="D20" s="10" t="s">
        <v>354</v>
      </c>
      <c r="E20" s="10" t="s">
        <v>652</v>
      </c>
      <c r="F20" s="10" t="s">
        <v>15</v>
      </c>
      <c r="G20" s="11" t="s">
        <v>41</v>
      </c>
      <c r="H20" s="12" t="s">
        <v>41</v>
      </c>
      <c r="I20" s="11" t="s">
        <v>205</v>
      </c>
      <c r="J20" s="9"/>
      <c r="K20" s="24" t="str">
        <f>"40,0"</f>
        <v>40,0</v>
      </c>
      <c r="L20" s="9" t="str">
        <f>"42,3040"</f>
        <v>42,3040</v>
      </c>
      <c r="M20" s="10" t="s">
        <v>245</v>
      </c>
    </row>
    <row r="21" spans="1:13" ht="13">
      <c r="A21" s="4"/>
      <c r="B21" s="4" t="s">
        <v>35</v>
      </c>
      <c r="C21" s="4"/>
      <c r="D21" s="4"/>
      <c r="E21" s="4"/>
      <c r="F21" s="4"/>
      <c r="G21" s="3"/>
      <c r="H21" s="3"/>
      <c r="I21" s="3"/>
      <c r="J21" s="3"/>
      <c r="K21" s="22"/>
      <c r="L21" s="3"/>
      <c r="M21" s="4"/>
    </row>
    <row r="22" spans="1:13" ht="16">
      <c r="A22" s="33" t="s">
        <v>57</v>
      </c>
      <c r="B22" s="34"/>
      <c r="C22" s="34"/>
      <c r="D22" s="34"/>
      <c r="E22" s="34"/>
      <c r="F22" s="34"/>
      <c r="G22" s="34"/>
      <c r="H22" s="34"/>
      <c r="I22" s="34"/>
      <c r="J22" s="34"/>
      <c r="K22" s="22"/>
      <c r="L22" s="3"/>
      <c r="M22" s="4"/>
    </row>
    <row r="23" spans="1:13" ht="13">
      <c r="A23" s="14" t="s">
        <v>11</v>
      </c>
      <c r="B23" s="15" t="s">
        <v>355</v>
      </c>
      <c r="C23" s="15" t="s">
        <v>356</v>
      </c>
      <c r="D23" s="15" t="s">
        <v>357</v>
      </c>
      <c r="E23" s="15" t="s">
        <v>658</v>
      </c>
      <c r="F23" s="15" t="s">
        <v>15</v>
      </c>
      <c r="G23" s="16" t="s">
        <v>30</v>
      </c>
      <c r="H23" s="16" t="s">
        <v>31</v>
      </c>
      <c r="I23" s="17" t="s">
        <v>32</v>
      </c>
      <c r="J23" s="14"/>
      <c r="K23" s="25" t="str">
        <f>"47,5"</f>
        <v>47,5</v>
      </c>
      <c r="L23" s="14" t="str">
        <f>"47,9266"</f>
        <v>47,9266</v>
      </c>
      <c r="M23" s="15" t="s">
        <v>301</v>
      </c>
    </row>
    <row r="24" spans="1:13" ht="13">
      <c r="A24" s="4"/>
      <c r="B24" s="4" t="s">
        <v>35</v>
      </c>
      <c r="C24" s="4"/>
      <c r="D24" s="4"/>
      <c r="E24" s="4"/>
      <c r="F24" s="4"/>
      <c r="G24" s="3"/>
      <c r="H24" s="3"/>
      <c r="I24" s="3"/>
      <c r="J24" s="3"/>
      <c r="K24" s="22"/>
      <c r="L24" s="3"/>
      <c r="M24" s="4"/>
    </row>
    <row r="25" spans="1:13" ht="16">
      <c r="A25" s="33" t="s">
        <v>10</v>
      </c>
      <c r="B25" s="34"/>
      <c r="C25" s="34"/>
      <c r="D25" s="34"/>
      <c r="E25" s="34"/>
      <c r="F25" s="34"/>
      <c r="G25" s="34"/>
      <c r="H25" s="34"/>
      <c r="I25" s="34"/>
      <c r="J25" s="34"/>
      <c r="K25" s="22"/>
      <c r="L25" s="3"/>
      <c r="M25" s="4"/>
    </row>
    <row r="26" spans="1:13" ht="13">
      <c r="A26" s="14" t="s">
        <v>11</v>
      </c>
      <c r="B26" s="15" t="s">
        <v>358</v>
      </c>
      <c r="C26" s="15" t="s">
        <v>359</v>
      </c>
      <c r="D26" s="15" t="s">
        <v>360</v>
      </c>
      <c r="E26" s="15" t="s">
        <v>654</v>
      </c>
      <c r="F26" s="15" t="s">
        <v>361</v>
      </c>
      <c r="G26" s="16" t="s">
        <v>30</v>
      </c>
      <c r="H26" s="16" t="s">
        <v>32</v>
      </c>
      <c r="I26" s="16" t="s">
        <v>18</v>
      </c>
      <c r="J26" s="14"/>
      <c r="K26" s="25" t="str">
        <f>"55,0"</f>
        <v>55,0</v>
      </c>
      <c r="L26" s="14" t="str">
        <f>"55,0880"</f>
        <v>55,0880</v>
      </c>
      <c r="M26" s="15" t="s">
        <v>362</v>
      </c>
    </row>
    <row r="27" spans="1:13" ht="13">
      <c r="A27" s="4"/>
      <c r="B27" s="4" t="s">
        <v>35</v>
      </c>
      <c r="C27" s="4"/>
      <c r="D27" s="4"/>
      <c r="E27" s="4"/>
      <c r="F27" s="4"/>
      <c r="G27" s="3"/>
      <c r="H27" s="3"/>
      <c r="I27" s="3"/>
      <c r="J27" s="3"/>
      <c r="K27" s="22"/>
      <c r="L27" s="3"/>
      <c r="M27" s="4"/>
    </row>
    <row r="28" spans="1:13" ht="16">
      <c r="A28" s="33" t="s">
        <v>43</v>
      </c>
      <c r="B28" s="34"/>
      <c r="C28" s="34"/>
      <c r="D28" s="34"/>
      <c r="E28" s="34"/>
      <c r="F28" s="34"/>
      <c r="G28" s="34"/>
      <c r="H28" s="34"/>
      <c r="I28" s="34"/>
      <c r="J28" s="34"/>
      <c r="K28" s="22"/>
      <c r="L28" s="3"/>
      <c r="M28" s="4"/>
    </row>
    <row r="29" spans="1:13" ht="13">
      <c r="A29" s="5" t="s">
        <v>11</v>
      </c>
      <c r="B29" s="6" t="s">
        <v>363</v>
      </c>
      <c r="C29" s="6" t="s">
        <v>364</v>
      </c>
      <c r="D29" s="6" t="s">
        <v>365</v>
      </c>
      <c r="E29" s="6" t="s">
        <v>654</v>
      </c>
      <c r="F29" s="6" t="s">
        <v>178</v>
      </c>
      <c r="G29" s="7" t="s">
        <v>28</v>
      </c>
      <c r="H29" s="7" t="s">
        <v>349</v>
      </c>
      <c r="I29" s="8" t="s">
        <v>29</v>
      </c>
      <c r="J29" s="5"/>
      <c r="K29" s="23" t="str">
        <f>"82,5"</f>
        <v>82,5</v>
      </c>
      <c r="L29" s="5" t="str">
        <f>"71,3460"</f>
        <v>71,3460</v>
      </c>
      <c r="M29" s="6" t="s">
        <v>366</v>
      </c>
    </row>
    <row r="30" spans="1:13" ht="13">
      <c r="A30" s="9" t="s">
        <v>24</v>
      </c>
      <c r="B30" s="10" t="s">
        <v>367</v>
      </c>
      <c r="C30" s="10" t="s">
        <v>368</v>
      </c>
      <c r="D30" s="10" t="s">
        <v>369</v>
      </c>
      <c r="E30" s="10" t="s">
        <v>654</v>
      </c>
      <c r="F30" s="10" t="s">
        <v>178</v>
      </c>
      <c r="G30" s="12" t="s">
        <v>72</v>
      </c>
      <c r="H30" s="12" t="s">
        <v>40</v>
      </c>
      <c r="I30" s="11" t="s">
        <v>73</v>
      </c>
      <c r="J30" s="9"/>
      <c r="K30" s="24" t="str">
        <f>"70,0"</f>
        <v>70,0</v>
      </c>
      <c r="L30" s="9" t="str">
        <f>"60,3470"</f>
        <v>60,3470</v>
      </c>
      <c r="M30" s="10" t="s">
        <v>23</v>
      </c>
    </row>
    <row r="31" spans="1:13" ht="13">
      <c r="A31" s="4"/>
      <c r="B31" s="4" t="s">
        <v>35</v>
      </c>
      <c r="C31" s="4"/>
      <c r="D31" s="4"/>
      <c r="E31" s="4"/>
      <c r="F31" s="4"/>
      <c r="G31" s="3"/>
      <c r="H31" s="3"/>
      <c r="I31" s="3"/>
      <c r="J31" s="3"/>
      <c r="K31" s="22"/>
      <c r="L31" s="3"/>
      <c r="M31" s="4"/>
    </row>
    <row r="32" spans="1:13" ht="16">
      <c r="A32" s="33" t="s">
        <v>51</v>
      </c>
      <c r="B32" s="34"/>
      <c r="C32" s="34"/>
      <c r="D32" s="34"/>
      <c r="E32" s="34"/>
      <c r="F32" s="34"/>
      <c r="G32" s="34"/>
      <c r="H32" s="34"/>
      <c r="I32" s="34"/>
      <c r="J32" s="34"/>
      <c r="K32" s="22"/>
      <c r="L32" s="3"/>
      <c r="M32" s="4"/>
    </row>
    <row r="33" spans="1:13" ht="13">
      <c r="A33" s="5" t="s">
        <v>11</v>
      </c>
      <c r="B33" s="6" t="s">
        <v>370</v>
      </c>
      <c r="C33" s="6" t="s">
        <v>371</v>
      </c>
      <c r="D33" s="6" t="s">
        <v>174</v>
      </c>
      <c r="E33" s="6" t="s">
        <v>652</v>
      </c>
      <c r="F33" s="6" t="s">
        <v>624</v>
      </c>
      <c r="G33" s="8" t="s">
        <v>64</v>
      </c>
      <c r="H33" s="8" t="s">
        <v>64</v>
      </c>
      <c r="I33" s="7" t="s">
        <v>64</v>
      </c>
      <c r="J33" s="5"/>
      <c r="K33" s="23" t="str">
        <f>"115,0"</f>
        <v>115,0</v>
      </c>
      <c r="L33" s="5" t="str">
        <f>"95,9215"</f>
        <v>95,9215</v>
      </c>
      <c r="M33" s="6" t="s">
        <v>372</v>
      </c>
    </row>
    <row r="34" spans="1:13" ht="13">
      <c r="A34" s="18" t="s">
        <v>11</v>
      </c>
      <c r="B34" s="19" t="s">
        <v>373</v>
      </c>
      <c r="C34" s="19" t="s">
        <v>374</v>
      </c>
      <c r="D34" s="19" t="s">
        <v>375</v>
      </c>
      <c r="E34" s="19" t="s">
        <v>658</v>
      </c>
      <c r="F34" s="19" t="s">
        <v>15</v>
      </c>
      <c r="G34" s="20" t="s">
        <v>34</v>
      </c>
      <c r="H34" s="20" t="s">
        <v>16</v>
      </c>
      <c r="I34" s="20" t="s">
        <v>20</v>
      </c>
      <c r="J34" s="18"/>
      <c r="K34" s="26" t="str">
        <f>"105,0"</f>
        <v>105,0</v>
      </c>
      <c r="L34" s="18" t="str">
        <f>"82,7505"</f>
        <v>82,7505</v>
      </c>
      <c r="M34" s="19" t="s">
        <v>301</v>
      </c>
    </row>
    <row r="35" spans="1:13" ht="13">
      <c r="A35" s="9" t="s">
        <v>11</v>
      </c>
      <c r="B35" s="10" t="s">
        <v>376</v>
      </c>
      <c r="C35" s="10" t="s">
        <v>377</v>
      </c>
      <c r="D35" s="10" t="s">
        <v>378</v>
      </c>
      <c r="E35" s="10" t="s">
        <v>655</v>
      </c>
      <c r="F35" s="10" t="s">
        <v>15</v>
      </c>
      <c r="G35" s="12" t="s">
        <v>20</v>
      </c>
      <c r="H35" s="12" t="s">
        <v>21</v>
      </c>
      <c r="I35" s="11" t="s">
        <v>22</v>
      </c>
      <c r="J35" s="9"/>
      <c r="K35" s="24" t="str">
        <f>"107,5"</f>
        <v>107,5</v>
      </c>
      <c r="L35" s="9" t="str">
        <f>"106,8512"</f>
        <v>106,8512</v>
      </c>
      <c r="M35" s="10" t="s">
        <v>335</v>
      </c>
    </row>
    <row r="36" spans="1:13" ht="13">
      <c r="A36" s="4"/>
      <c r="B36" s="4" t="s">
        <v>35</v>
      </c>
      <c r="C36" s="4"/>
      <c r="D36" s="4"/>
      <c r="E36" s="4"/>
      <c r="F36" s="4"/>
      <c r="G36" s="3"/>
      <c r="H36" s="3"/>
      <c r="I36" s="3"/>
      <c r="J36" s="3"/>
      <c r="K36" s="22"/>
      <c r="L36" s="3"/>
      <c r="M36" s="4"/>
    </row>
    <row r="37" spans="1:13" ht="16">
      <c r="A37" s="33" t="s">
        <v>57</v>
      </c>
      <c r="B37" s="34"/>
      <c r="C37" s="34"/>
      <c r="D37" s="34"/>
      <c r="E37" s="34"/>
      <c r="F37" s="34"/>
      <c r="G37" s="34"/>
      <c r="H37" s="34"/>
      <c r="I37" s="34"/>
      <c r="J37" s="34"/>
      <c r="K37" s="22"/>
      <c r="L37" s="3"/>
      <c r="M37" s="4"/>
    </row>
    <row r="38" spans="1:13" ht="13">
      <c r="A38" s="5" t="s">
        <v>11</v>
      </c>
      <c r="B38" s="6" t="s">
        <v>379</v>
      </c>
      <c r="C38" s="6" t="s">
        <v>380</v>
      </c>
      <c r="D38" s="6" t="s">
        <v>381</v>
      </c>
      <c r="E38" s="6" t="s">
        <v>652</v>
      </c>
      <c r="F38" s="6" t="s">
        <v>361</v>
      </c>
      <c r="G38" s="8" t="s">
        <v>42</v>
      </c>
      <c r="H38" s="7" t="s">
        <v>42</v>
      </c>
      <c r="I38" s="8" t="s">
        <v>100</v>
      </c>
      <c r="J38" s="5"/>
      <c r="K38" s="23" t="str">
        <f>"120,0"</f>
        <v>120,0</v>
      </c>
      <c r="L38" s="5" t="str">
        <f>"87,0720"</f>
        <v>87,0720</v>
      </c>
      <c r="M38" s="6"/>
    </row>
    <row r="39" spans="1:13" ht="13">
      <c r="A39" s="18" t="s">
        <v>24</v>
      </c>
      <c r="B39" s="19" t="s">
        <v>382</v>
      </c>
      <c r="C39" s="19" t="s">
        <v>383</v>
      </c>
      <c r="D39" s="19" t="s">
        <v>384</v>
      </c>
      <c r="E39" s="19" t="s">
        <v>652</v>
      </c>
      <c r="F39" s="19" t="s">
        <v>15</v>
      </c>
      <c r="G39" s="21" t="s">
        <v>20</v>
      </c>
      <c r="H39" s="20" t="s">
        <v>22</v>
      </c>
      <c r="I39" s="20" t="s">
        <v>64</v>
      </c>
      <c r="J39" s="18"/>
      <c r="K39" s="26" t="str">
        <f>"115,0"</f>
        <v>115,0</v>
      </c>
      <c r="L39" s="18" t="str">
        <f>"86,4685"</f>
        <v>86,4685</v>
      </c>
      <c r="M39" s="19" t="s">
        <v>385</v>
      </c>
    </row>
    <row r="40" spans="1:13" ht="13">
      <c r="A40" s="18" t="s">
        <v>150</v>
      </c>
      <c r="B40" s="19" t="s">
        <v>154</v>
      </c>
      <c r="C40" s="19" t="s">
        <v>155</v>
      </c>
      <c r="D40" s="19" t="s">
        <v>156</v>
      </c>
      <c r="E40" s="19" t="s">
        <v>652</v>
      </c>
      <c r="F40" s="19" t="s">
        <v>157</v>
      </c>
      <c r="G40" s="20" t="s">
        <v>21</v>
      </c>
      <c r="H40" s="20" t="s">
        <v>158</v>
      </c>
      <c r="I40" s="21" t="s">
        <v>79</v>
      </c>
      <c r="J40" s="18"/>
      <c r="K40" s="26" t="str">
        <f>"112,5"</f>
        <v>112,5</v>
      </c>
      <c r="L40" s="18" t="str">
        <f>"81,2363"</f>
        <v>81,2363</v>
      </c>
      <c r="M40" s="19"/>
    </row>
    <row r="41" spans="1:13" ht="13">
      <c r="A41" s="9" t="s">
        <v>11</v>
      </c>
      <c r="B41" s="10" t="s">
        <v>386</v>
      </c>
      <c r="C41" s="10" t="s">
        <v>387</v>
      </c>
      <c r="D41" s="10" t="s">
        <v>388</v>
      </c>
      <c r="E41" s="10" t="s">
        <v>658</v>
      </c>
      <c r="F41" s="10" t="s">
        <v>15</v>
      </c>
      <c r="G41" s="11" t="s">
        <v>17</v>
      </c>
      <c r="H41" s="12" t="s">
        <v>17</v>
      </c>
      <c r="I41" s="11" t="s">
        <v>22</v>
      </c>
      <c r="J41" s="9"/>
      <c r="K41" s="24" t="str">
        <f>"102,5"</f>
        <v>102,5</v>
      </c>
      <c r="L41" s="9" t="str">
        <f>"74,0248"</f>
        <v>74,0248</v>
      </c>
      <c r="M41" s="10" t="s">
        <v>389</v>
      </c>
    </row>
    <row r="42" spans="1:13" ht="13">
      <c r="A42" s="4"/>
      <c r="B42" s="4" t="s">
        <v>35</v>
      </c>
      <c r="C42" s="4"/>
      <c r="D42" s="4"/>
      <c r="E42" s="4"/>
      <c r="F42" s="4"/>
      <c r="G42" s="3"/>
      <c r="H42" s="3"/>
      <c r="I42" s="3"/>
      <c r="J42" s="3"/>
      <c r="K42" s="22"/>
      <c r="L42" s="3"/>
      <c r="M42" s="4"/>
    </row>
    <row r="43" spans="1:13" ht="16">
      <c r="A43" s="33" t="s">
        <v>68</v>
      </c>
      <c r="B43" s="34"/>
      <c r="C43" s="34"/>
      <c r="D43" s="34"/>
      <c r="E43" s="34"/>
      <c r="F43" s="34"/>
      <c r="G43" s="34"/>
      <c r="H43" s="34"/>
      <c r="I43" s="34"/>
      <c r="J43" s="34"/>
      <c r="K43" s="22"/>
      <c r="L43" s="3"/>
      <c r="M43" s="4"/>
    </row>
    <row r="44" spans="1:13" ht="13">
      <c r="A44" s="5" t="s">
        <v>11</v>
      </c>
      <c r="B44" s="6" t="s">
        <v>390</v>
      </c>
      <c r="C44" s="6" t="s">
        <v>391</v>
      </c>
      <c r="D44" s="6" t="s">
        <v>392</v>
      </c>
      <c r="E44" s="6" t="s">
        <v>653</v>
      </c>
      <c r="F44" s="6" t="s">
        <v>136</v>
      </c>
      <c r="G44" s="8" t="s">
        <v>16</v>
      </c>
      <c r="H44" s="7" t="s">
        <v>16</v>
      </c>
      <c r="I44" s="8" t="s">
        <v>20</v>
      </c>
      <c r="J44" s="5"/>
      <c r="K44" s="23" t="str">
        <f>"100,0"</f>
        <v>100,0</v>
      </c>
      <c r="L44" s="5" t="str">
        <f>"67,5900"</f>
        <v>67,5900</v>
      </c>
      <c r="M44" s="6" t="s">
        <v>139</v>
      </c>
    </row>
    <row r="45" spans="1:13" ht="13">
      <c r="A45" s="18" t="s">
        <v>11</v>
      </c>
      <c r="B45" s="19" t="s">
        <v>393</v>
      </c>
      <c r="C45" s="19" t="s">
        <v>394</v>
      </c>
      <c r="D45" s="19" t="s">
        <v>395</v>
      </c>
      <c r="E45" s="19" t="s">
        <v>652</v>
      </c>
      <c r="F45" s="19" t="s">
        <v>396</v>
      </c>
      <c r="G45" s="20" t="s">
        <v>397</v>
      </c>
      <c r="H45" s="20" t="s">
        <v>398</v>
      </c>
      <c r="I45" s="20" t="s">
        <v>94</v>
      </c>
      <c r="J45" s="18"/>
      <c r="K45" s="26" t="str">
        <f>"190,0"</f>
        <v>190,0</v>
      </c>
      <c r="L45" s="18" t="str">
        <f>"132,4110"</f>
        <v>132,4110</v>
      </c>
      <c r="M45" s="19"/>
    </row>
    <row r="46" spans="1:13" ht="13">
      <c r="A46" s="18" t="s">
        <v>24</v>
      </c>
      <c r="B46" s="19" t="s">
        <v>399</v>
      </c>
      <c r="C46" s="19" t="s">
        <v>400</v>
      </c>
      <c r="D46" s="19" t="s">
        <v>401</v>
      </c>
      <c r="E46" s="19" t="s">
        <v>652</v>
      </c>
      <c r="F46" s="19" t="s">
        <v>396</v>
      </c>
      <c r="G46" s="20" t="s">
        <v>234</v>
      </c>
      <c r="H46" s="21" t="s">
        <v>402</v>
      </c>
      <c r="I46" s="18"/>
      <c r="J46" s="18"/>
      <c r="K46" s="26" t="str">
        <f t="shared" ref="K46:K47" si="2">"135,0"</f>
        <v>135,0</v>
      </c>
      <c r="L46" s="18" t="str">
        <f>"91,5165"</f>
        <v>91,5165</v>
      </c>
      <c r="M46" s="19" t="s">
        <v>403</v>
      </c>
    </row>
    <row r="47" spans="1:13" ht="13">
      <c r="A47" s="9" t="s">
        <v>11</v>
      </c>
      <c r="B47" s="10" t="s">
        <v>404</v>
      </c>
      <c r="C47" s="10" t="s">
        <v>405</v>
      </c>
      <c r="D47" s="10" t="s">
        <v>262</v>
      </c>
      <c r="E47" s="10" t="s">
        <v>658</v>
      </c>
      <c r="F47" s="10" t="s">
        <v>15</v>
      </c>
      <c r="G47" s="12" t="s">
        <v>86</v>
      </c>
      <c r="H47" s="12" t="s">
        <v>234</v>
      </c>
      <c r="I47" s="11" t="s">
        <v>89</v>
      </c>
      <c r="J47" s="9"/>
      <c r="K47" s="24" t="str">
        <f t="shared" si="2"/>
        <v>135,0</v>
      </c>
      <c r="L47" s="9" t="str">
        <f>"108,0692"</f>
        <v>108,0692</v>
      </c>
      <c r="M47" s="10"/>
    </row>
    <row r="48" spans="1:13" ht="13">
      <c r="A48" s="4"/>
      <c r="B48" s="4" t="s">
        <v>35</v>
      </c>
      <c r="C48" s="4"/>
      <c r="D48" s="4"/>
      <c r="E48" s="4"/>
      <c r="F48" s="4"/>
      <c r="G48" s="3"/>
      <c r="H48" s="3"/>
      <c r="I48" s="3"/>
      <c r="J48" s="3"/>
      <c r="K48" s="22"/>
      <c r="L48" s="3"/>
      <c r="M48" s="4"/>
    </row>
    <row r="49" spans="1:13" ht="16">
      <c r="A49" s="33" t="s">
        <v>117</v>
      </c>
      <c r="B49" s="34"/>
      <c r="C49" s="34"/>
      <c r="D49" s="34"/>
      <c r="E49" s="34"/>
      <c r="F49" s="34"/>
      <c r="G49" s="34"/>
      <c r="H49" s="34"/>
      <c r="I49" s="34"/>
      <c r="J49" s="34"/>
      <c r="K49" s="22"/>
      <c r="L49" s="3"/>
      <c r="M49" s="4"/>
    </row>
    <row r="50" spans="1:13" ht="13">
      <c r="A50" s="5" t="s">
        <v>11</v>
      </c>
      <c r="B50" s="6" t="s">
        <v>406</v>
      </c>
      <c r="C50" s="6" t="s">
        <v>407</v>
      </c>
      <c r="D50" s="6" t="s">
        <v>408</v>
      </c>
      <c r="E50" s="6" t="s">
        <v>656</v>
      </c>
      <c r="F50" s="6" t="s">
        <v>136</v>
      </c>
      <c r="G50" s="7" t="s">
        <v>16</v>
      </c>
      <c r="H50" s="7" t="s">
        <v>20</v>
      </c>
      <c r="I50" s="8" t="s">
        <v>21</v>
      </c>
      <c r="J50" s="5"/>
      <c r="K50" s="23" t="str">
        <f>"105,0"</f>
        <v>105,0</v>
      </c>
      <c r="L50" s="5" t="str">
        <f>"67,6935"</f>
        <v>67,6935</v>
      </c>
      <c r="M50" s="6" t="s">
        <v>139</v>
      </c>
    </row>
    <row r="51" spans="1:13" ht="13">
      <c r="A51" s="18" t="s">
        <v>11</v>
      </c>
      <c r="B51" s="19" t="s">
        <v>409</v>
      </c>
      <c r="C51" s="19" t="s">
        <v>410</v>
      </c>
      <c r="D51" s="19" t="s">
        <v>411</v>
      </c>
      <c r="E51" s="19" t="s">
        <v>653</v>
      </c>
      <c r="F51" s="19" t="s">
        <v>15</v>
      </c>
      <c r="G51" s="20" t="s">
        <v>88</v>
      </c>
      <c r="H51" s="20" t="s">
        <v>285</v>
      </c>
      <c r="I51" s="21" t="s">
        <v>61</v>
      </c>
      <c r="J51" s="18"/>
      <c r="K51" s="26" t="str">
        <f>"157,5"</f>
        <v>157,5</v>
      </c>
      <c r="L51" s="18" t="str">
        <f>"101,7293"</f>
        <v>101,7293</v>
      </c>
      <c r="M51" s="19" t="s">
        <v>412</v>
      </c>
    </row>
    <row r="52" spans="1:13" ht="13">
      <c r="A52" s="18" t="s">
        <v>11</v>
      </c>
      <c r="B52" s="19" t="s">
        <v>413</v>
      </c>
      <c r="C52" s="19" t="s">
        <v>414</v>
      </c>
      <c r="D52" s="19" t="s">
        <v>415</v>
      </c>
      <c r="E52" s="19" t="s">
        <v>652</v>
      </c>
      <c r="F52" s="19" t="s">
        <v>644</v>
      </c>
      <c r="G52" s="20" t="s">
        <v>65</v>
      </c>
      <c r="H52" s="20" t="s">
        <v>94</v>
      </c>
      <c r="I52" s="20" t="s">
        <v>66</v>
      </c>
      <c r="J52" s="18"/>
      <c r="K52" s="26" t="str">
        <f>"200,0"</f>
        <v>200,0</v>
      </c>
      <c r="L52" s="18" t="str">
        <f>"128,8800"</f>
        <v>128,8800</v>
      </c>
      <c r="M52" s="19" t="s">
        <v>416</v>
      </c>
    </row>
    <row r="53" spans="1:13" ht="13">
      <c r="A53" s="18" t="s">
        <v>24</v>
      </c>
      <c r="B53" s="19" t="s">
        <v>417</v>
      </c>
      <c r="C53" s="19" t="s">
        <v>418</v>
      </c>
      <c r="D53" s="19" t="s">
        <v>419</v>
      </c>
      <c r="E53" s="19" t="s">
        <v>652</v>
      </c>
      <c r="F53" s="19" t="s">
        <v>423</v>
      </c>
      <c r="G53" s="20" t="s">
        <v>75</v>
      </c>
      <c r="H53" s="20" t="s">
        <v>251</v>
      </c>
      <c r="I53" s="20" t="s">
        <v>61</v>
      </c>
      <c r="J53" s="18"/>
      <c r="K53" s="26" t="str">
        <f t="shared" ref="K53:K54" si="3">"160,0"</f>
        <v>160,0</v>
      </c>
      <c r="L53" s="18" t="str">
        <f>"104,4480"</f>
        <v>104,4480</v>
      </c>
      <c r="M53" s="19"/>
    </row>
    <row r="54" spans="1:13" ht="13">
      <c r="A54" s="18" t="s">
        <v>150</v>
      </c>
      <c r="B54" s="19" t="s">
        <v>420</v>
      </c>
      <c r="C54" s="19" t="s">
        <v>421</v>
      </c>
      <c r="D54" s="19" t="s">
        <v>422</v>
      </c>
      <c r="E54" s="19" t="s">
        <v>652</v>
      </c>
      <c r="F54" s="19" t="s">
        <v>423</v>
      </c>
      <c r="G54" s="20" t="s">
        <v>256</v>
      </c>
      <c r="H54" s="20" t="s">
        <v>251</v>
      </c>
      <c r="I54" s="20" t="s">
        <v>61</v>
      </c>
      <c r="J54" s="18"/>
      <c r="K54" s="26" t="str">
        <f t="shared" si="3"/>
        <v>160,0</v>
      </c>
      <c r="L54" s="18" t="str">
        <f>"103,2800"</f>
        <v>103,2800</v>
      </c>
      <c r="M54" s="19"/>
    </row>
    <row r="55" spans="1:13" ht="13">
      <c r="A55" s="9" t="s">
        <v>11</v>
      </c>
      <c r="B55" s="10" t="s">
        <v>424</v>
      </c>
      <c r="C55" s="10" t="s">
        <v>425</v>
      </c>
      <c r="D55" s="10" t="s">
        <v>426</v>
      </c>
      <c r="E55" s="10" t="s">
        <v>657</v>
      </c>
      <c r="F55" s="10" t="s">
        <v>645</v>
      </c>
      <c r="G55" s="12" t="s">
        <v>33</v>
      </c>
      <c r="H55" s="11" t="s">
        <v>17</v>
      </c>
      <c r="I55" s="11" t="s">
        <v>22</v>
      </c>
      <c r="J55" s="9"/>
      <c r="K55" s="24" t="str">
        <f>"90,0"</f>
        <v>90,0</v>
      </c>
      <c r="L55" s="9" t="str">
        <f>"80,9163"</f>
        <v>80,9163</v>
      </c>
      <c r="M55" s="10"/>
    </row>
    <row r="56" spans="1:13" ht="13">
      <c r="A56" s="4"/>
      <c r="B56" s="4" t="s">
        <v>35</v>
      </c>
      <c r="C56" s="4"/>
      <c r="D56" s="4"/>
      <c r="E56" s="4"/>
      <c r="F56" s="4"/>
      <c r="G56" s="3"/>
      <c r="H56" s="3"/>
      <c r="I56" s="3"/>
      <c r="J56" s="3"/>
      <c r="K56" s="22"/>
      <c r="L56" s="3"/>
      <c r="M56" s="4"/>
    </row>
    <row r="57" spans="1:13" ht="16">
      <c r="A57" s="33" t="s">
        <v>96</v>
      </c>
      <c r="B57" s="34"/>
      <c r="C57" s="34"/>
      <c r="D57" s="34"/>
      <c r="E57" s="34"/>
      <c r="F57" s="34"/>
      <c r="G57" s="34"/>
      <c r="H57" s="34"/>
      <c r="I57" s="34"/>
      <c r="J57" s="34"/>
      <c r="K57" s="22"/>
      <c r="L57" s="3"/>
      <c r="M57" s="4"/>
    </row>
    <row r="58" spans="1:13" ht="13">
      <c r="A58" s="5" t="s">
        <v>11</v>
      </c>
      <c r="B58" s="6" t="s">
        <v>428</v>
      </c>
      <c r="C58" s="6" t="s">
        <v>429</v>
      </c>
      <c r="D58" s="6" t="s">
        <v>314</v>
      </c>
      <c r="E58" s="6" t="s">
        <v>654</v>
      </c>
      <c r="F58" s="6" t="s">
        <v>361</v>
      </c>
      <c r="G58" s="7" t="s">
        <v>86</v>
      </c>
      <c r="H58" s="7" t="s">
        <v>74</v>
      </c>
      <c r="I58" s="8" t="s">
        <v>234</v>
      </c>
      <c r="J58" s="5"/>
      <c r="K58" s="23" t="str">
        <f>"132,5"</f>
        <v>132,5</v>
      </c>
      <c r="L58" s="5" t="str">
        <f>"81,3815"</f>
        <v>81,3815</v>
      </c>
      <c r="M58" s="6" t="s">
        <v>362</v>
      </c>
    </row>
    <row r="59" spans="1:13" ht="13">
      <c r="A59" s="18" t="s">
        <v>11</v>
      </c>
      <c r="B59" s="19" t="s">
        <v>282</v>
      </c>
      <c r="C59" s="19" t="s">
        <v>430</v>
      </c>
      <c r="D59" s="19" t="s">
        <v>147</v>
      </c>
      <c r="E59" s="19" t="s">
        <v>652</v>
      </c>
      <c r="F59" s="19" t="s">
        <v>15</v>
      </c>
      <c r="G59" s="20" t="s">
        <v>67</v>
      </c>
      <c r="H59" s="20" t="s">
        <v>80</v>
      </c>
      <c r="I59" s="21" t="s">
        <v>431</v>
      </c>
      <c r="J59" s="18"/>
      <c r="K59" s="26" t="str">
        <f>"220,0"</f>
        <v>220,0</v>
      </c>
      <c r="L59" s="18" t="str">
        <f>"134,4860"</f>
        <v>134,4860</v>
      </c>
      <c r="M59" s="19" t="s">
        <v>432</v>
      </c>
    </row>
    <row r="60" spans="1:13" ht="13">
      <c r="A60" s="18" t="s">
        <v>24</v>
      </c>
      <c r="B60" s="19" t="s">
        <v>433</v>
      </c>
      <c r="C60" s="19" t="s">
        <v>434</v>
      </c>
      <c r="D60" s="19" t="s">
        <v>435</v>
      </c>
      <c r="E60" s="19" t="s">
        <v>652</v>
      </c>
      <c r="F60" s="19" t="s">
        <v>396</v>
      </c>
      <c r="G60" s="21" t="s">
        <v>94</v>
      </c>
      <c r="H60" s="20" t="s">
        <v>125</v>
      </c>
      <c r="I60" s="20" t="s">
        <v>66</v>
      </c>
      <c r="J60" s="18"/>
      <c r="K60" s="26" t="str">
        <f>"200,0"</f>
        <v>200,0</v>
      </c>
      <c r="L60" s="18" t="str">
        <f>"123,1600"</f>
        <v>123,1600</v>
      </c>
      <c r="M60" s="19"/>
    </row>
    <row r="61" spans="1:13" ht="13">
      <c r="A61" s="18" t="s">
        <v>150</v>
      </c>
      <c r="B61" s="19" t="s">
        <v>436</v>
      </c>
      <c r="C61" s="19" t="s">
        <v>437</v>
      </c>
      <c r="D61" s="19" t="s">
        <v>438</v>
      </c>
      <c r="E61" s="19" t="s">
        <v>652</v>
      </c>
      <c r="F61" s="19" t="s">
        <v>15</v>
      </c>
      <c r="G61" s="20" t="s">
        <v>125</v>
      </c>
      <c r="H61" s="21" t="s">
        <v>66</v>
      </c>
      <c r="I61" s="21" t="s">
        <v>66</v>
      </c>
      <c r="J61" s="18"/>
      <c r="K61" s="26" t="str">
        <f>"195,0"</f>
        <v>195,0</v>
      </c>
      <c r="L61" s="18" t="str">
        <f>"119,8665"</f>
        <v>119,8665</v>
      </c>
      <c r="M61" s="19" t="s">
        <v>643</v>
      </c>
    </row>
    <row r="62" spans="1:13" ht="13">
      <c r="A62" s="18" t="s">
        <v>241</v>
      </c>
      <c r="B62" s="19" t="s">
        <v>439</v>
      </c>
      <c r="C62" s="19" t="s">
        <v>440</v>
      </c>
      <c r="D62" s="19" t="s">
        <v>441</v>
      </c>
      <c r="E62" s="19" t="s">
        <v>652</v>
      </c>
      <c r="F62" s="19" t="s">
        <v>15</v>
      </c>
      <c r="G62" s="20" t="s">
        <v>285</v>
      </c>
      <c r="H62" s="20" t="s">
        <v>149</v>
      </c>
      <c r="I62" s="21" t="s">
        <v>319</v>
      </c>
      <c r="J62" s="18"/>
      <c r="K62" s="26" t="str">
        <f t="shared" ref="K62:K63" si="4">"165,0"</f>
        <v>165,0</v>
      </c>
      <c r="L62" s="18" t="str">
        <f>"102,6795"</f>
        <v>102,6795</v>
      </c>
      <c r="M62" s="19"/>
    </row>
    <row r="63" spans="1:13" ht="13">
      <c r="A63" s="18" t="s">
        <v>263</v>
      </c>
      <c r="B63" s="19" t="s">
        <v>442</v>
      </c>
      <c r="C63" s="19" t="s">
        <v>443</v>
      </c>
      <c r="D63" s="19" t="s">
        <v>444</v>
      </c>
      <c r="E63" s="19" t="s">
        <v>652</v>
      </c>
      <c r="F63" s="19" t="s">
        <v>15</v>
      </c>
      <c r="G63" s="20" t="s">
        <v>252</v>
      </c>
      <c r="H63" s="20" t="s">
        <v>61</v>
      </c>
      <c r="I63" s="20" t="s">
        <v>149</v>
      </c>
      <c r="J63" s="18"/>
      <c r="K63" s="26" t="str">
        <f t="shared" si="4"/>
        <v>165,0</v>
      </c>
      <c r="L63" s="18" t="str">
        <f>"101,8710"</f>
        <v>101,8710</v>
      </c>
      <c r="M63" s="19"/>
    </row>
    <row r="64" spans="1:13" ht="13">
      <c r="A64" s="18" t="s">
        <v>52</v>
      </c>
      <c r="B64" s="19" t="s">
        <v>127</v>
      </c>
      <c r="C64" s="19" t="s">
        <v>128</v>
      </c>
      <c r="D64" s="19" t="s">
        <v>129</v>
      </c>
      <c r="E64" s="19" t="s">
        <v>652</v>
      </c>
      <c r="F64" s="19" t="s">
        <v>130</v>
      </c>
      <c r="G64" s="21" t="s">
        <v>61</v>
      </c>
      <c r="H64" s="18"/>
      <c r="I64" s="18"/>
      <c r="J64" s="18"/>
      <c r="K64" s="26">
        <v>0</v>
      </c>
      <c r="L64" s="18" t="str">
        <f>"0,0000"</f>
        <v>0,0000</v>
      </c>
      <c r="M64" s="19" t="s">
        <v>132</v>
      </c>
    </row>
    <row r="65" spans="1:13" ht="13">
      <c r="A65" s="18" t="s">
        <v>11</v>
      </c>
      <c r="B65" s="19" t="s">
        <v>445</v>
      </c>
      <c r="C65" s="19" t="s">
        <v>446</v>
      </c>
      <c r="D65" s="19" t="s">
        <v>435</v>
      </c>
      <c r="E65" s="19" t="s">
        <v>658</v>
      </c>
      <c r="F65" s="19" t="s">
        <v>15</v>
      </c>
      <c r="G65" s="21" t="s">
        <v>63</v>
      </c>
      <c r="H65" s="20" t="s">
        <v>94</v>
      </c>
      <c r="I65" s="21" t="s">
        <v>125</v>
      </c>
      <c r="J65" s="18"/>
      <c r="K65" s="26" t="str">
        <f>"190,0"</f>
        <v>190,0</v>
      </c>
      <c r="L65" s="18" t="str">
        <f>"117,0020"</f>
        <v>117,0020</v>
      </c>
      <c r="M65" s="19"/>
    </row>
    <row r="66" spans="1:13" ht="13">
      <c r="A66" s="18" t="s">
        <v>24</v>
      </c>
      <c r="B66" s="19" t="s">
        <v>447</v>
      </c>
      <c r="C66" s="19" t="s">
        <v>448</v>
      </c>
      <c r="D66" s="19" t="s">
        <v>147</v>
      </c>
      <c r="E66" s="19" t="s">
        <v>658</v>
      </c>
      <c r="F66" s="19" t="s">
        <v>85</v>
      </c>
      <c r="G66" s="20" t="s">
        <v>149</v>
      </c>
      <c r="H66" s="20" t="s">
        <v>131</v>
      </c>
      <c r="I66" s="21" t="s">
        <v>65</v>
      </c>
      <c r="J66" s="18"/>
      <c r="K66" s="26" t="str">
        <f>"172,5"</f>
        <v>172,5</v>
      </c>
      <c r="L66" s="18" t="str">
        <f>"117,4705"</f>
        <v>117,4705</v>
      </c>
      <c r="M66" s="19"/>
    </row>
    <row r="67" spans="1:13" ht="13">
      <c r="A67" s="18" t="s">
        <v>11</v>
      </c>
      <c r="B67" s="19" t="s">
        <v>449</v>
      </c>
      <c r="C67" s="19" t="s">
        <v>450</v>
      </c>
      <c r="D67" s="19" t="s">
        <v>451</v>
      </c>
      <c r="E67" s="19" t="s">
        <v>655</v>
      </c>
      <c r="F67" s="19" t="s">
        <v>644</v>
      </c>
      <c r="G67" s="20" t="s">
        <v>89</v>
      </c>
      <c r="H67" s="20" t="s">
        <v>88</v>
      </c>
      <c r="I67" s="20" t="s">
        <v>61</v>
      </c>
      <c r="J67" s="18"/>
      <c r="K67" s="26" t="str">
        <f>"160,0"</f>
        <v>160,0</v>
      </c>
      <c r="L67" s="18" t="str">
        <f>"124,2200"</f>
        <v>124,2200</v>
      </c>
      <c r="M67" s="19"/>
    </row>
    <row r="68" spans="1:13" ht="13">
      <c r="A68" s="9" t="s">
        <v>11</v>
      </c>
      <c r="B68" s="10" t="s">
        <v>452</v>
      </c>
      <c r="C68" s="10" t="s">
        <v>453</v>
      </c>
      <c r="D68" s="10" t="s">
        <v>454</v>
      </c>
      <c r="E68" s="10" t="s">
        <v>657</v>
      </c>
      <c r="F68" s="10" t="s">
        <v>15</v>
      </c>
      <c r="G68" s="12" t="s">
        <v>22</v>
      </c>
      <c r="H68" s="12" t="s">
        <v>64</v>
      </c>
      <c r="I68" s="12" t="s">
        <v>79</v>
      </c>
      <c r="J68" s="9"/>
      <c r="K68" s="24" t="str">
        <f>"117,5"</f>
        <v>117,5</v>
      </c>
      <c r="L68" s="9" t="str">
        <f>"115,7572"</f>
        <v>115,7572</v>
      </c>
      <c r="M68" s="10"/>
    </row>
    <row r="69" spans="1:13" ht="13">
      <c r="A69" s="4"/>
      <c r="B69" s="4" t="s">
        <v>35</v>
      </c>
      <c r="C69" s="4"/>
      <c r="D69" s="4"/>
      <c r="E69" s="4"/>
      <c r="F69" s="4"/>
      <c r="G69" s="3"/>
      <c r="H69" s="3"/>
      <c r="I69" s="3"/>
      <c r="J69" s="3"/>
      <c r="K69" s="22"/>
      <c r="L69" s="3"/>
      <c r="M69" s="4"/>
    </row>
    <row r="70" spans="1:13" ht="16">
      <c r="A70" s="33" t="s">
        <v>159</v>
      </c>
      <c r="B70" s="34"/>
      <c r="C70" s="34"/>
      <c r="D70" s="34"/>
      <c r="E70" s="34"/>
      <c r="F70" s="34"/>
      <c r="G70" s="34"/>
      <c r="H70" s="34"/>
      <c r="I70" s="34"/>
      <c r="J70" s="34"/>
      <c r="K70" s="22"/>
      <c r="L70" s="3"/>
      <c r="M70" s="4"/>
    </row>
    <row r="71" spans="1:13" ht="13">
      <c r="A71" s="5" t="s">
        <v>11</v>
      </c>
      <c r="B71" s="6" t="s">
        <v>455</v>
      </c>
      <c r="C71" s="6" t="s">
        <v>456</v>
      </c>
      <c r="D71" s="6" t="s">
        <v>457</v>
      </c>
      <c r="E71" s="6" t="s">
        <v>652</v>
      </c>
      <c r="F71" s="6" t="s">
        <v>271</v>
      </c>
      <c r="G71" s="7" t="s">
        <v>80</v>
      </c>
      <c r="H71" s="8" t="s">
        <v>116</v>
      </c>
      <c r="I71" s="8" t="s">
        <v>116</v>
      </c>
      <c r="J71" s="5"/>
      <c r="K71" s="23" t="str">
        <f>"220,0"</f>
        <v>220,0</v>
      </c>
      <c r="L71" s="5" t="str">
        <f>"127,9740"</f>
        <v>127,9740</v>
      </c>
      <c r="M71" s="6"/>
    </row>
    <row r="72" spans="1:13" ht="13">
      <c r="A72" s="18" t="s">
        <v>24</v>
      </c>
      <c r="B72" s="19" t="s">
        <v>458</v>
      </c>
      <c r="C72" s="19" t="s">
        <v>459</v>
      </c>
      <c r="D72" s="19" t="s">
        <v>460</v>
      </c>
      <c r="E72" s="19" t="s">
        <v>652</v>
      </c>
      <c r="F72" s="19" t="s">
        <v>136</v>
      </c>
      <c r="G72" s="20" t="s">
        <v>94</v>
      </c>
      <c r="H72" s="21" t="s">
        <v>125</v>
      </c>
      <c r="I72" s="21" t="s">
        <v>125</v>
      </c>
      <c r="J72" s="18"/>
      <c r="K72" s="26" t="str">
        <f>"190,0"</f>
        <v>190,0</v>
      </c>
      <c r="L72" s="18" t="str">
        <f>"109,9720"</f>
        <v>109,9720</v>
      </c>
      <c r="M72" s="19" t="s">
        <v>461</v>
      </c>
    </row>
    <row r="73" spans="1:13" ht="13">
      <c r="A73" s="9" t="s">
        <v>150</v>
      </c>
      <c r="B73" s="10" t="s">
        <v>160</v>
      </c>
      <c r="C73" s="10" t="s">
        <v>161</v>
      </c>
      <c r="D73" s="10" t="s">
        <v>162</v>
      </c>
      <c r="E73" s="10" t="s">
        <v>652</v>
      </c>
      <c r="F73" s="10" t="s">
        <v>130</v>
      </c>
      <c r="G73" s="12" t="s">
        <v>163</v>
      </c>
      <c r="H73" s="9"/>
      <c r="I73" s="9"/>
      <c r="J73" s="9"/>
      <c r="K73" s="24" t="str">
        <f>"60,0"</f>
        <v>60,0</v>
      </c>
      <c r="L73" s="9" t="str">
        <f>"34,3620"</f>
        <v>34,3620</v>
      </c>
      <c r="M73" s="10"/>
    </row>
    <row r="74" spans="1:13" ht="13">
      <c r="A74" s="4"/>
      <c r="B74" s="4" t="s">
        <v>35</v>
      </c>
      <c r="C74" s="4"/>
      <c r="D74" s="4"/>
      <c r="E74" s="4"/>
      <c r="F74" s="4"/>
      <c r="G74" s="3"/>
      <c r="H74" s="3"/>
      <c r="I74" s="3"/>
      <c r="J74" s="3"/>
      <c r="K74" s="22"/>
      <c r="L74" s="3"/>
      <c r="M74" s="4"/>
    </row>
    <row r="75" spans="1:13" ht="13">
      <c r="A75" s="4"/>
      <c r="B75" s="4" t="s">
        <v>35</v>
      </c>
      <c r="G75" s="3"/>
      <c r="H75" s="3"/>
      <c r="I75" s="3"/>
      <c r="J75" s="3"/>
      <c r="K75" s="22"/>
      <c r="L75" s="3"/>
      <c r="M75" s="4"/>
    </row>
    <row r="76" spans="1:13" ht="13">
      <c r="A76" s="4"/>
      <c r="B76" s="4" t="s">
        <v>35</v>
      </c>
      <c r="G76" s="3"/>
      <c r="H76" s="3"/>
      <c r="I76" s="3"/>
      <c r="J76" s="3"/>
      <c r="K76" s="22"/>
      <c r="L76" s="3"/>
      <c r="M76" s="4"/>
    </row>
    <row r="77" spans="1:13" ht="18">
      <c r="A77" s="4"/>
      <c r="B77" s="28" t="s">
        <v>323</v>
      </c>
      <c r="C77" s="28"/>
      <c r="D77" s="4"/>
      <c r="E77" s="4"/>
      <c r="G77" s="3"/>
      <c r="H77" s="3"/>
      <c r="I77" s="3"/>
      <c r="J77" s="3"/>
      <c r="K77" s="22"/>
      <c r="L77" s="3"/>
      <c r="M77" s="4"/>
    </row>
    <row r="78" spans="1:13" ht="16">
      <c r="A78" s="4"/>
      <c r="B78" s="29" t="s">
        <v>324</v>
      </c>
      <c r="C78" s="29"/>
      <c r="D78" s="4"/>
      <c r="E78" s="4"/>
      <c r="G78" s="3"/>
      <c r="H78" s="3"/>
      <c r="I78" s="3"/>
      <c r="J78" s="3"/>
      <c r="K78" s="22"/>
      <c r="L78" s="3"/>
      <c r="M78" s="4"/>
    </row>
    <row r="79" spans="1:13" ht="14">
      <c r="A79" s="4"/>
      <c r="B79" s="30"/>
      <c r="C79" s="31" t="s">
        <v>325</v>
      </c>
      <c r="D79" s="4"/>
      <c r="E79" s="4"/>
      <c r="G79" s="3"/>
      <c r="H79" s="3"/>
      <c r="I79" s="3"/>
      <c r="J79" s="3"/>
      <c r="K79" s="22"/>
      <c r="L79" s="3"/>
      <c r="M79" s="4"/>
    </row>
    <row r="80" spans="1:13" ht="14">
      <c r="A80" s="4"/>
      <c r="B80" s="32" t="s">
        <v>326</v>
      </c>
      <c r="C80" s="32" t="s">
        <v>327</v>
      </c>
      <c r="D80" s="32" t="s">
        <v>640</v>
      </c>
      <c r="E80" s="32" t="s">
        <v>328</v>
      </c>
      <c r="G80" s="3"/>
      <c r="H80" s="3"/>
      <c r="I80" s="3"/>
      <c r="J80" s="3"/>
      <c r="K80" s="22"/>
      <c r="L80" s="3"/>
      <c r="M80" s="4"/>
    </row>
    <row r="81" spans="1:13" ht="13">
      <c r="A81" s="4"/>
      <c r="B81" s="4" t="s">
        <v>282</v>
      </c>
      <c r="C81" s="4" t="s">
        <v>325</v>
      </c>
      <c r="D81" s="3" t="s">
        <v>462</v>
      </c>
      <c r="E81" s="3" t="s">
        <v>80</v>
      </c>
      <c r="G81" s="3"/>
      <c r="H81" s="3"/>
      <c r="I81" s="3"/>
      <c r="J81" s="3"/>
      <c r="K81" s="22"/>
      <c r="L81" s="3"/>
      <c r="M81" s="4"/>
    </row>
    <row r="82" spans="1:13" ht="12.75" customHeight="1">
      <c r="A82" s="4"/>
      <c r="B82" s="4" t="s">
        <v>393</v>
      </c>
      <c r="C82" s="4" t="s">
        <v>325</v>
      </c>
      <c r="D82" s="3" t="s">
        <v>329</v>
      </c>
      <c r="E82" s="3" t="s">
        <v>94</v>
      </c>
      <c r="F82" s="4"/>
      <c r="G82" s="3"/>
      <c r="H82" s="3"/>
      <c r="I82" s="3"/>
      <c r="J82" s="3"/>
      <c r="K82" s="22"/>
      <c r="L82" s="3"/>
      <c r="M82" s="4"/>
    </row>
    <row r="83" spans="1:13" ht="13" customHeight="1">
      <c r="B83" s="4" t="s">
        <v>413</v>
      </c>
      <c r="C83" s="4" t="s">
        <v>325</v>
      </c>
      <c r="D83" s="3" t="s">
        <v>330</v>
      </c>
      <c r="E83" s="3" t="s">
        <v>66</v>
      </c>
    </row>
  </sheetData>
  <mergeCells count="25">
    <mergeCell ref="A1:M2"/>
    <mergeCell ref="A3:A4"/>
    <mergeCell ref="C3:C4"/>
    <mergeCell ref="D3:D4"/>
    <mergeCell ref="E3:E4"/>
    <mergeCell ref="K3:K4"/>
    <mergeCell ref="G3:J3"/>
    <mergeCell ref="B3:B4"/>
    <mergeCell ref="A25:J25"/>
    <mergeCell ref="F3:F4"/>
    <mergeCell ref="L3:L4"/>
    <mergeCell ref="M3:M4"/>
    <mergeCell ref="A8:J8"/>
    <mergeCell ref="A11:J11"/>
    <mergeCell ref="A14:J14"/>
    <mergeCell ref="A17:J17"/>
    <mergeCell ref="A22:J22"/>
    <mergeCell ref="A5:J5"/>
    <mergeCell ref="A70:J70"/>
    <mergeCell ref="A28:J28"/>
    <mergeCell ref="A32:J32"/>
    <mergeCell ref="A37:J37"/>
    <mergeCell ref="A43:J43"/>
    <mergeCell ref="A49:J49"/>
    <mergeCell ref="A57:J5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9"/>
  <sheetViews>
    <sheetView workbookViewId="0">
      <selection sqref="A1:M2"/>
    </sheetView>
  </sheetViews>
  <sheetFormatPr baseColWidth="10" defaultColWidth="12.6640625" defaultRowHeight="15" customHeight="1"/>
  <cols>
    <col min="1" max="1" width="8.1640625" style="1" bestFit="1" customWidth="1"/>
    <col min="2" max="2" width="23" style="1" customWidth="1"/>
    <col min="3" max="3" width="26.83203125" style="1" customWidth="1"/>
    <col min="4" max="4" width="16.6640625" style="1" bestFit="1" customWidth="1"/>
    <col min="5" max="5" width="8" style="1" bestFit="1" customWidth="1"/>
    <col min="6" max="6" width="29" style="1" customWidth="1"/>
    <col min="7" max="10" width="5.5" style="1" customWidth="1"/>
    <col min="11" max="11" width="12.6640625" style="1" bestFit="1" customWidth="1"/>
    <col min="12" max="12" width="10.33203125" style="1" bestFit="1" customWidth="1"/>
    <col min="13" max="13" width="23.1640625" style="1" customWidth="1"/>
    <col min="14" max="16384" width="12.6640625" style="1"/>
  </cols>
  <sheetData>
    <row r="1" spans="1:13" ht="28.5" customHeight="1">
      <c r="A1" s="43" t="s">
        <v>632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68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14" t="s">
        <v>11</v>
      </c>
      <c r="B6" s="15" t="s">
        <v>463</v>
      </c>
      <c r="C6" s="15" t="s">
        <v>464</v>
      </c>
      <c r="D6" s="15" t="s">
        <v>465</v>
      </c>
      <c r="E6" s="15" t="s">
        <v>652</v>
      </c>
      <c r="F6" s="15" t="s">
        <v>15</v>
      </c>
      <c r="G6" s="17" t="s">
        <v>42</v>
      </c>
      <c r="H6" s="17" t="s">
        <v>42</v>
      </c>
      <c r="I6" s="16" t="s">
        <v>42</v>
      </c>
      <c r="J6" s="14"/>
      <c r="K6" s="14" t="str">
        <f>"120,0"</f>
        <v>120,0</v>
      </c>
      <c r="L6" s="14" t="str">
        <f>"77,6880"</f>
        <v>77,6880</v>
      </c>
      <c r="M6" s="15" t="s">
        <v>301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4"/>
    </row>
    <row r="8" spans="1:13" ht="16">
      <c r="A8" s="33" t="s">
        <v>117</v>
      </c>
      <c r="B8" s="34"/>
      <c r="C8" s="34"/>
      <c r="D8" s="34"/>
      <c r="E8" s="34"/>
      <c r="F8" s="34"/>
      <c r="G8" s="34"/>
      <c r="H8" s="34"/>
      <c r="I8" s="34"/>
      <c r="J8" s="34"/>
      <c r="K8" s="3"/>
      <c r="L8" s="3"/>
      <c r="M8" s="4"/>
    </row>
    <row r="9" spans="1:13" ht="13">
      <c r="A9" s="14" t="s">
        <v>11</v>
      </c>
      <c r="B9" s="15" t="s">
        <v>466</v>
      </c>
      <c r="C9" s="15" t="s">
        <v>467</v>
      </c>
      <c r="D9" s="15" t="s">
        <v>468</v>
      </c>
      <c r="E9" s="15" t="s">
        <v>657</v>
      </c>
      <c r="F9" s="15" t="s">
        <v>15</v>
      </c>
      <c r="G9" s="17" t="s">
        <v>63</v>
      </c>
      <c r="H9" s="16" t="s">
        <v>63</v>
      </c>
      <c r="I9" s="16" t="s">
        <v>94</v>
      </c>
      <c r="J9" s="14"/>
      <c r="K9" s="14" t="str">
        <f>"190,0"</f>
        <v>190,0</v>
      </c>
      <c r="L9" s="14" t="str">
        <f>"190,8969"</f>
        <v>190,8969</v>
      </c>
      <c r="M9" s="15"/>
    </row>
    <row r="10" spans="1:13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3"/>
      <c r="L10" s="3"/>
      <c r="M10" s="4"/>
    </row>
    <row r="11" spans="1:13" ht="16">
      <c r="A11" s="33" t="s">
        <v>96</v>
      </c>
      <c r="B11" s="34"/>
      <c r="C11" s="34"/>
      <c r="D11" s="34"/>
      <c r="E11" s="34"/>
      <c r="F11" s="34"/>
      <c r="G11" s="34"/>
      <c r="H11" s="34"/>
      <c r="I11" s="34"/>
      <c r="J11" s="34"/>
      <c r="K11" s="3"/>
      <c r="L11" s="3"/>
      <c r="M11" s="4"/>
    </row>
    <row r="12" spans="1:13" ht="13">
      <c r="A12" s="5" t="s">
        <v>11</v>
      </c>
      <c r="B12" s="6" t="s">
        <v>469</v>
      </c>
      <c r="C12" s="6" t="s">
        <v>470</v>
      </c>
      <c r="D12" s="6" t="s">
        <v>471</v>
      </c>
      <c r="E12" s="6" t="s">
        <v>652</v>
      </c>
      <c r="F12" s="6" t="s">
        <v>15</v>
      </c>
      <c r="G12" s="7" t="s">
        <v>67</v>
      </c>
      <c r="H12" s="8" t="s">
        <v>80</v>
      </c>
      <c r="I12" s="7" t="s">
        <v>80</v>
      </c>
      <c r="J12" s="5"/>
      <c r="K12" s="5" t="str">
        <f>"220,0"</f>
        <v>220,0</v>
      </c>
      <c r="L12" s="5" t="str">
        <f>"134,1615"</f>
        <v>134,1615</v>
      </c>
      <c r="M12" s="6"/>
    </row>
    <row r="13" spans="1:13" ht="13">
      <c r="A13" s="9" t="s">
        <v>24</v>
      </c>
      <c r="B13" s="10" t="s">
        <v>472</v>
      </c>
      <c r="C13" s="10" t="s">
        <v>473</v>
      </c>
      <c r="D13" s="10" t="s">
        <v>129</v>
      </c>
      <c r="E13" s="10" t="s">
        <v>652</v>
      </c>
      <c r="F13" s="10" t="s">
        <v>15</v>
      </c>
      <c r="G13" s="11" t="s">
        <v>65</v>
      </c>
      <c r="H13" s="12" t="s">
        <v>65</v>
      </c>
      <c r="I13" s="12" t="s">
        <v>179</v>
      </c>
      <c r="J13" s="9"/>
      <c r="K13" s="9" t="str">
        <f>"197,5"</f>
        <v>197,5</v>
      </c>
      <c r="L13" s="9" t="str">
        <f>"116,1794"</f>
        <v>116,1794</v>
      </c>
      <c r="M13" s="10" t="s">
        <v>474</v>
      </c>
    </row>
    <row r="14" spans="1:13" ht="13">
      <c r="A14" s="4"/>
      <c r="B14" s="4" t="s">
        <v>35</v>
      </c>
      <c r="C14" s="4"/>
      <c r="D14" s="4"/>
      <c r="E14" s="4"/>
      <c r="F14" s="4"/>
      <c r="G14" s="3"/>
      <c r="H14" s="3"/>
      <c r="I14" s="3"/>
      <c r="J14" s="3"/>
      <c r="K14" s="3"/>
      <c r="L14" s="3"/>
      <c r="M14" s="4"/>
    </row>
    <row r="15" spans="1:13" ht="13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4"/>
    </row>
    <row r="16" spans="1:13" ht="13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4"/>
    </row>
    <row r="17" spans="1:13" ht="13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4"/>
    </row>
    <row r="18" spans="1:13" ht="13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4"/>
    </row>
    <row r="19" spans="1:13" ht="13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4"/>
    </row>
    <row r="20" spans="1:13" ht="13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4"/>
    </row>
    <row r="21" spans="1:13" ht="13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4"/>
    </row>
    <row r="22" spans="1:13" ht="13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4"/>
    </row>
    <row r="23" spans="1:13" ht="13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4"/>
    </row>
    <row r="24" spans="1:13" ht="13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4"/>
    </row>
    <row r="25" spans="1:13" ht="13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4"/>
    </row>
    <row r="26" spans="1:13" ht="13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4"/>
    </row>
    <row r="27" spans="1:13" ht="13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4"/>
    </row>
    <row r="28" spans="1:13" ht="13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4"/>
    </row>
    <row r="29" spans="1:13" ht="13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4"/>
    </row>
    <row r="30" spans="1:13" ht="13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4"/>
    </row>
    <row r="31" spans="1:13" ht="13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4"/>
    </row>
    <row r="32" spans="1:13" ht="13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4"/>
    </row>
    <row r="33" spans="1:13" ht="13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4"/>
    </row>
    <row r="34" spans="1:13" ht="13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4"/>
    </row>
    <row r="35" spans="1:13" ht="13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4"/>
    </row>
    <row r="36" spans="1:13" ht="13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4"/>
    </row>
    <row r="37" spans="1:13" ht="13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4"/>
    </row>
    <row r="54" spans="1:13" ht="13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4"/>
    </row>
    <row r="55" spans="1:13" ht="13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4"/>
    </row>
    <row r="56" spans="1:13" ht="13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4"/>
    </row>
    <row r="57" spans="1:13" ht="13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</row>
    <row r="58" spans="1:13" ht="13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4"/>
    </row>
    <row r="59" spans="1:13" ht="13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4"/>
    </row>
    <row r="60" spans="1:13" ht="13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4"/>
    </row>
    <row r="61" spans="1:13" ht="13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4"/>
    </row>
    <row r="62" spans="1:13" ht="13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4"/>
    </row>
    <row r="63" spans="1:13" ht="13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4"/>
    </row>
    <row r="64" spans="1:13" ht="13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4"/>
    </row>
    <row r="65" spans="1:13" ht="13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4"/>
    </row>
    <row r="66" spans="1:13" ht="13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4"/>
    </row>
    <row r="67" spans="1:13" ht="13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4"/>
    </row>
    <row r="68" spans="1:13" ht="13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4"/>
    </row>
    <row r="69" spans="1:13" ht="13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4"/>
    </row>
    <row r="70" spans="1:13" ht="13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4"/>
    </row>
    <row r="71" spans="1:13" ht="13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4"/>
    </row>
    <row r="72" spans="1:13" ht="12.75" customHeight="1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4"/>
    </row>
    <row r="73" spans="1:13" ht="12.75" customHeight="1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4"/>
    </row>
    <row r="74" spans="1:13" ht="12.75" customHeight="1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4"/>
    </row>
    <row r="75" spans="1:13" ht="12.75" customHeight="1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4"/>
    </row>
    <row r="76" spans="1:13" ht="12.75" customHeight="1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4"/>
    </row>
    <row r="77" spans="1:13" ht="12.75" customHeight="1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4"/>
    </row>
    <row r="78" spans="1:13" ht="12.75" customHeight="1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4"/>
    </row>
    <row r="79" spans="1:13" ht="12.75" customHeight="1">
      <c r="A79" s="4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4"/>
    </row>
  </sheetData>
  <mergeCells count="14">
    <mergeCell ref="K3:K4"/>
    <mergeCell ref="L3:L4"/>
    <mergeCell ref="M3:M4"/>
    <mergeCell ref="A5:J5"/>
    <mergeCell ref="A1:M2"/>
    <mergeCell ref="F3:F4"/>
    <mergeCell ref="G3:J3"/>
    <mergeCell ref="A8:J8"/>
    <mergeCell ref="A11:J11"/>
    <mergeCell ref="B3:B4"/>
    <mergeCell ref="A3:A4"/>
    <mergeCell ref="C3:C4"/>
    <mergeCell ref="D3:D4"/>
    <mergeCell ref="E3:E4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5"/>
  <sheetViews>
    <sheetView workbookViewId="0">
      <selection sqref="A1:M2"/>
    </sheetView>
  </sheetViews>
  <sheetFormatPr baseColWidth="10" defaultColWidth="12.6640625" defaultRowHeight="15" customHeight="1"/>
  <cols>
    <col min="1" max="1" width="8.1640625" style="1" bestFit="1" customWidth="1"/>
    <col min="2" max="2" width="22" style="1" customWidth="1"/>
    <col min="3" max="3" width="25.83203125" style="1" customWidth="1"/>
    <col min="4" max="4" width="16.6640625" style="1" bestFit="1" customWidth="1"/>
    <col min="5" max="5" width="10.33203125" style="1" customWidth="1"/>
    <col min="6" max="6" width="31.6640625" style="1" customWidth="1"/>
    <col min="7" max="10" width="5.5" style="1" customWidth="1"/>
    <col min="11" max="11" width="11.6640625" style="1" customWidth="1"/>
    <col min="12" max="12" width="10.33203125" style="1" bestFit="1" customWidth="1"/>
    <col min="13" max="13" width="23" style="1" customWidth="1"/>
    <col min="14" max="16384" width="12.6640625" style="1"/>
  </cols>
  <sheetData>
    <row r="1" spans="1:13" ht="28.5" customHeight="1">
      <c r="A1" s="43" t="s">
        <v>633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61.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2.75" customHeight="1">
      <c r="A3" s="48" t="s">
        <v>649</v>
      </c>
      <c r="B3" s="42" t="s">
        <v>0</v>
      </c>
      <c r="C3" s="50" t="s">
        <v>650</v>
      </c>
      <c r="D3" s="50" t="s">
        <v>1</v>
      </c>
      <c r="E3" s="37" t="s">
        <v>651</v>
      </c>
      <c r="F3" s="37" t="s">
        <v>2</v>
      </c>
      <c r="G3" s="39" t="s">
        <v>4</v>
      </c>
      <c r="H3" s="40"/>
      <c r="I3" s="40"/>
      <c r="J3" s="41"/>
      <c r="K3" s="37" t="s">
        <v>181</v>
      </c>
      <c r="L3" s="37" t="s">
        <v>7</v>
      </c>
      <c r="M3" s="51" t="s">
        <v>8</v>
      </c>
    </row>
    <row r="4" spans="1:13" ht="21" customHeight="1" thickBot="1">
      <c r="A4" s="49"/>
      <c r="B4" s="38"/>
      <c r="C4" s="38"/>
      <c r="D4" s="38"/>
      <c r="E4" s="38"/>
      <c r="F4" s="38"/>
      <c r="G4" s="2">
        <v>1</v>
      </c>
      <c r="H4" s="2">
        <v>2</v>
      </c>
      <c r="I4" s="2">
        <v>3</v>
      </c>
      <c r="J4" s="2" t="s">
        <v>9</v>
      </c>
      <c r="K4" s="38"/>
      <c r="L4" s="38"/>
      <c r="M4" s="52"/>
    </row>
    <row r="5" spans="1:13" ht="16">
      <c r="A5" s="35" t="s">
        <v>57</v>
      </c>
      <c r="B5" s="36"/>
      <c r="C5" s="36"/>
      <c r="D5" s="36"/>
      <c r="E5" s="36"/>
      <c r="F5" s="36"/>
      <c r="G5" s="36"/>
      <c r="H5" s="36"/>
      <c r="I5" s="36"/>
      <c r="J5" s="36"/>
      <c r="K5" s="3"/>
      <c r="L5" s="3"/>
      <c r="M5" s="4"/>
    </row>
    <row r="6" spans="1:13" ht="13">
      <c r="A6" s="14" t="s">
        <v>11</v>
      </c>
      <c r="B6" s="15" t="s">
        <v>475</v>
      </c>
      <c r="C6" s="15" t="s">
        <v>476</v>
      </c>
      <c r="D6" s="15" t="s">
        <v>237</v>
      </c>
      <c r="E6" s="15" t="s">
        <v>652</v>
      </c>
      <c r="F6" s="15" t="s">
        <v>15</v>
      </c>
      <c r="G6" s="16" t="s">
        <v>66</v>
      </c>
      <c r="H6" s="16" t="s">
        <v>67</v>
      </c>
      <c r="I6" s="17" t="s">
        <v>80</v>
      </c>
      <c r="J6" s="14"/>
      <c r="K6" s="14" t="str">
        <f>"210,0"</f>
        <v>210,0</v>
      </c>
      <c r="L6" s="14" t="str">
        <f>"145,6035"</f>
        <v>145,6035</v>
      </c>
      <c r="M6" s="15" t="s">
        <v>221</v>
      </c>
    </row>
    <row r="7" spans="1:13" ht="13">
      <c r="A7" s="4"/>
      <c r="B7" s="4" t="s">
        <v>35</v>
      </c>
      <c r="C7" s="4"/>
      <c r="D7" s="4"/>
      <c r="E7" s="4"/>
      <c r="F7" s="4"/>
      <c r="G7" s="3"/>
      <c r="H7" s="3"/>
      <c r="I7" s="3"/>
      <c r="J7" s="3"/>
      <c r="K7" s="3"/>
      <c r="L7" s="3"/>
      <c r="M7" s="4"/>
    </row>
    <row r="8" spans="1:13" ht="16">
      <c r="A8" s="33" t="s">
        <v>68</v>
      </c>
      <c r="B8" s="34"/>
      <c r="C8" s="34"/>
      <c r="D8" s="34"/>
      <c r="E8" s="34"/>
      <c r="F8" s="34"/>
      <c r="G8" s="34"/>
      <c r="H8" s="34"/>
      <c r="I8" s="34"/>
      <c r="J8" s="34"/>
      <c r="K8" s="3"/>
      <c r="L8" s="3"/>
      <c r="M8" s="4"/>
    </row>
    <row r="9" spans="1:13" ht="13">
      <c r="A9" s="14" t="s">
        <v>52</v>
      </c>
      <c r="B9" s="15" t="s">
        <v>248</v>
      </c>
      <c r="C9" s="15" t="s">
        <v>249</v>
      </c>
      <c r="D9" s="15" t="s">
        <v>250</v>
      </c>
      <c r="E9" s="15" t="s">
        <v>652</v>
      </c>
      <c r="F9" s="15" t="s">
        <v>157</v>
      </c>
      <c r="G9" s="17" t="s">
        <v>148</v>
      </c>
      <c r="H9" s="17" t="s">
        <v>148</v>
      </c>
      <c r="I9" s="17" t="s">
        <v>148</v>
      </c>
      <c r="J9" s="14"/>
      <c r="K9" s="25">
        <v>0</v>
      </c>
      <c r="L9" s="14" t="str">
        <f>"0,0000"</f>
        <v>0,0000</v>
      </c>
      <c r="M9" s="15"/>
    </row>
    <row r="10" spans="1:13" ht="13">
      <c r="A10" s="4"/>
      <c r="B10" s="4" t="s">
        <v>35</v>
      </c>
      <c r="C10" s="4"/>
      <c r="D10" s="4"/>
      <c r="E10" s="4"/>
      <c r="F10" s="4"/>
      <c r="G10" s="3"/>
      <c r="H10" s="3"/>
      <c r="I10" s="3"/>
      <c r="J10" s="3"/>
      <c r="K10" s="3"/>
      <c r="L10" s="3"/>
      <c r="M10" s="4"/>
    </row>
    <row r="11" spans="1:13" ht="13">
      <c r="A11" s="4"/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4"/>
    </row>
    <row r="12" spans="1:13" ht="13">
      <c r="A12" s="4"/>
      <c r="B12" s="4"/>
      <c r="C12" s="4"/>
      <c r="D12" s="4"/>
      <c r="E12" s="4"/>
      <c r="F12" s="4"/>
      <c r="G12" s="3"/>
      <c r="H12" s="3"/>
      <c r="I12" s="3"/>
      <c r="J12" s="3"/>
      <c r="K12" s="3"/>
      <c r="L12" s="3"/>
      <c r="M12" s="4"/>
    </row>
    <row r="13" spans="1:13" ht="13">
      <c r="A13" s="4"/>
      <c r="B13" s="4"/>
      <c r="C13" s="4"/>
      <c r="D13" s="4"/>
      <c r="E13" s="4"/>
      <c r="F13" s="4"/>
      <c r="G13" s="3"/>
      <c r="H13" s="3"/>
      <c r="I13" s="3"/>
      <c r="J13" s="3"/>
      <c r="K13" s="3"/>
      <c r="L13" s="3"/>
      <c r="M13" s="4"/>
    </row>
    <row r="14" spans="1:13" ht="13">
      <c r="A14" s="4"/>
      <c r="B14" s="4"/>
      <c r="C14" s="4"/>
      <c r="D14" s="4"/>
      <c r="E14" s="4"/>
      <c r="F14" s="4"/>
      <c r="G14" s="3"/>
      <c r="H14" s="3"/>
      <c r="I14" s="3"/>
      <c r="J14" s="3"/>
      <c r="K14" s="3"/>
      <c r="L14" s="3"/>
      <c r="M14" s="4"/>
    </row>
    <row r="15" spans="1:13" ht="13">
      <c r="A15" s="4"/>
      <c r="B15" s="4"/>
      <c r="C15" s="4"/>
      <c r="D15" s="4"/>
      <c r="E15" s="4"/>
      <c r="F15" s="4"/>
      <c r="G15" s="3"/>
      <c r="H15" s="3"/>
      <c r="I15" s="3"/>
      <c r="J15" s="3"/>
      <c r="K15" s="3"/>
      <c r="L15" s="3"/>
      <c r="M15" s="4"/>
    </row>
    <row r="16" spans="1:13" ht="13">
      <c r="A16" s="4"/>
      <c r="B16" s="4"/>
      <c r="C16" s="4"/>
      <c r="D16" s="4"/>
      <c r="E16" s="4"/>
      <c r="F16" s="4"/>
      <c r="G16" s="3"/>
      <c r="H16" s="3"/>
      <c r="I16" s="3"/>
      <c r="J16" s="3"/>
      <c r="K16" s="3"/>
      <c r="L16" s="3"/>
      <c r="M16" s="4"/>
    </row>
    <row r="17" spans="1:13" ht="13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4"/>
    </row>
    <row r="18" spans="1:13" ht="13">
      <c r="A18" s="4"/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4"/>
    </row>
    <row r="19" spans="1:13" ht="13">
      <c r="A19" s="4"/>
      <c r="B19" s="4"/>
      <c r="C19" s="4"/>
      <c r="D19" s="4"/>
      <c r="E19" s="4"/>
      <c r="F19" s="4"/>
      <c r="G19" s="3"/>
      <c r="H19" s="3"/>
      <c r="I19" s="3"/>
      <c r="J19" s="3"/>
      <c r="K19" s="3"/>
      <c r="L19" s="3"/>
      <c r="M19" s="4"/>
    </row>
    <row r="20" spans="1:13" ht="13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4"/>
    </row>
    <row r="21" spans="1:13" ht="13">
      <c r="A21" s="4"/>
      <c r="B21" s="4"/>
      <c r="C21" s="4"/>
      <c r="D21" s="4"/>
      <c r="E21" s="4"/>
      <c r="F21" s="4"/>
      <c r="G21" s="3"/>
      <c r="H21" s="3"/>
      <c r="I21" s="3"/>
      <c r="J21" s="3"/>
      <c r="K21" s="3"/>
      <c r="L21" s="3"/>
      <c r="M21" s="4"/>
    </row>
    <row r="22" spans="1:13" ht="13">
      <c r="A22" s="4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4"/>
    </row>
    <row r="23" spans="1:13" ht="13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4"/>
    </row>
    <row r="24" spans="1:13" ht="13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4"/>
    </row>
    <row r="25" spans="1:13" ht="13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4"/>
    </row>
    <row r="26" spans="1:13" ht="13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4"/>
    </row>
    <row r="27" spans="1:13" ht="13">
      <c r="A27" s="4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4"/>
    </row>
    <row r="28" spans="1:13" ht="13">
      <c r="A28" s="4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4"/>
    </row>
    <row r="29" spans="1:13" ht="13">
      <c r="A29" s="4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4"/>
    </row>
    <row r="30" spans="1:13" ht="13">
      <c r="A30" s="4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4"/>
    </row>
    <row r="31" spans="1:13" ht="13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4"/>
    </row>
    <row r="32" spans="1:13" ht="13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4"/>
    </row>
    <row r="33" spans="1:13" ht="13">
      <c r="A33" s="4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4"/>
    </row>
    <row r="34" spans="1:13" ht="13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4"/>
    </row>
    <row r="35" spans="1:13" ht="13">
      <c r="A35" s="4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4"/>
    </row>
    <row r="36" spans="1:13" ht="13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4"/>
    </row>
    <row r="37" spans="1:13" ht="13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4"/>
    </row>
    <row r="38" spans="1:13" ht="13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4"/>
    </row>
    <row r="39" spans="1:13" ht="13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4"/>
    </row>
    <row r="40" spans="1:13" ht="13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4"/>
    </row>
    <row r="41" spans="1:13" ht="13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4"/>
    </row>
    <row r="42" spans="1:13" ht="13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4"/>
    </row>
    <row r="43" spans="1:13" ht="13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4"/>
    </row>
    <row r="44" spans="1:13" ht="13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4"/>
    </row>
    <row r="45" spans="1:13" ht="13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4"/>
    </row>
    <row r="46" spans="1:13" ht="13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4"/>
    </row>
    <row r="47" spans="1:13" ht="13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4"/>
    </row>
    <row r="48" spans="1:13" ht="13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4"/>
    </row>
    <row r="49" spans="1:13" ht="13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4"/>
    </row>
    <row r="50" spans="1:13" ht="13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4"/>
    </row>
    <row r="51" spans="1:13" ht="13">
      <c r="A51" s="4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4"/>
    </row>
    <row r="52" spans="1:13" ht="13">
      <c r="A52" s="4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4"/>
    </row>
    <row r="53" spans="1:13" ht="13">
      <c r="A53" s="4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4"/>
    </row>
    <row r="54" spans="1:13" ht="13">
      <c r="A54" s="4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4"/>
    </row>
    <row r="55" spans="1:13" ht="13">
      <c r="A55" s="4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4"/>
    </row>
    <row r="56" spans="1:13" ht="13">
      <c r="A56" s="4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4"/>
    </row>
    <row r="57" spans="1:13" ht="13">
      <c r="A57" s="4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4"/>
    </row>
    <row r="58" spans="1:13" ht="13">
      <c r="A58" s="4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4"/>
    </row>
    <row r="59" spans="1:13" ht="13">
      <c r="A59" s="4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4"/>
    </row>
    <row r="60" spans="1:13" ht="13">
      <c r="A60" s="4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4"/>
    </row>
    <row r="61" spans="1:13" ht="13">
      <c r="A61" s="4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4"/>
    </row>
    <row r="62" spans="1:13" ht="13">
      <c r="A62" s="4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4"/>
    </row>
    <row r="63" spans="1:13" ht="13">
      <c r="A63" s="4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4"/>
    </row>
    <row r="64" spans="1:13" ht="13">
      <c r="A64" s="4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4"/>
    </row>
    <row r="65" spans="1:13" ht="13">
      <c r="A65" s="4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4"/>
    </row>
    <row r="66" spans="1:13" ht="13">
      <c r="A66" s="4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4"/>
    </row>
    <row r="67" spans="1:13" ht="13">
      <c r="A67" s="4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4"/>
    </row>
    <row r="68" spans="1:13" ht="13">
      <c r="A68" s="4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4"/>
    </row>
    <row r="69" spans="1:13" ht="13">
      <c r="A69" s="4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4"/>
    </row>
    <row r="70" spans="1:13" ht="13">
      <c r="A70" s="4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4"/>
    </row>
    <row r="71" spans="1:13" ht="13">
      <c r="A71" s="4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4"/>
    </row>
    <row r="72" spans="1:13" ht="13">
      <c r="A72" s="4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4"/>
    </row>
    <row r="73" spans="1:13" ht="13">
      <c r="A73" s="4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4"/>
    </row>
    <row r="74" spans="1:13" ht="13">
      <c r="A74" s="4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4"/>
    </row>
    <row r="75" spans="1:13" ht="13">
      <c r="A75" s="4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4"/>
    </row>
    <row r="76" spans="1:13" ht="13">
      <c r="A76" s="4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4"/>
    </row>
    <row r="77" spans="1:13" ht="13">
      <c r="A77" s="4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4"/>
    </row>
    <row r="78" spans="1:13" ht="13">
      <c r="A78" s="4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4"/>
    </row>
    <row r="79" spans="1:13" ht="13">
      <c r="A79" s="4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4"/>
    </row>
    <row r="80" spans="1:13" ht="13">
      <c r="A80" s="4"/>
      <c r="B80" s="4"/>
      <c r="C80" s="4"/>
      <c r="D80" s="4"/>
      <c r="E80" s="4"/>
      <c r="F80" s="4"/>
      <c r="G80" s="3"/>
      <c r="H80" s="3"/>
      <c r="I80" s="3"/>
      <c r="J80" s="3"/>
      <c r="K80" s="3"/>
      <c r="L80" s="3"/>
      <c r="M80" s="4"/>
    </row>
    <row r="81" spans="1:13" ht="12.75" customHeight="1">
      <c r="A81" s="4"/>
      <c r="B81" s="4"/>
      <c r="C81" s="4"/>
      <c r="D81" s="4"/>
      <c r="E81" s="4"/>
      <c r="F81" s="4"/>
      <c r="G81" s="3"/>
      <c r="H81" s="3"/>
      <c r="I81" s="3"/>
      <c r="J81" s="3"/>
      <c r="K81" s="3"/>
      <c r="L81" s="3"/>
      <c r="M81" s="4"/>
    </row>
    <row r="82" spans="1:13" ht="12.75" customHeight="1">
      <c r="A82" s="4"/>
      <c r="B82" s="4"/>
      <c r="C82" s="4"/>
      <c r="D82" s="4"/>
      <c r="E82" s="4"/>
      <c r="F82" s="4"/>
      <c r="G82" s="3"/>
      <c r="H82" s="3"/>
      <c r="I82" s="3"/>
      <c r="J82" s="3"/>
      <c r="K82" s="3"/>
      <c r="L82" s="3"/>
      <c r="M82" s="4"/>
    </row>
    <row r="83" spans="1:13" ht="12.75" customHeight="1">
      <c r="A83" s="4"/>
      <c r="B83" s="4"/>
      <c r="C83" s="4"/>
      <c r="D83" s="4"/>
      <c r="E83" s="4"/>
      <c r="F83" s="4"/>
      <c r="G83" s="3"/>
      <c r="H83" s="3"/>
      <c r="I83" s="3"/>
      <c r="J83" s="3"/>
      <c r="K83" s="3"/>
      <c r="L83" s="3"/>
      <c r="M83" s="4"/>
    </row>
    <row r="84" spans="1:13" ht="12.75" customHeight="1">
      <c r="A84" s="4"/>
      <c r="B84" s="4"/>
      <c r="C84" s="4"/>
      <c r="D84" s="4"/>
      <c r="E84" s="4"/>
      <c r="F84" s="4"/>
      <c r="G84" s="3"/>
      <c r="H84" s="3"/>
      <c r="I84" s="3"/>
      <c r="J84" s="3"/>
      <c r="K84" s="3"/>
      <c r="L84" s="3"/>
      <c r="M84" s="4"/>
    </row>
    <row r="85" spans="1:13" ht="12.75" customHeight="1">
      <c r="A85" s="4"/>
      <c r="B85" s="4"/>
      <c r="C85" s="4"/>
      <c r="D85" s="4"/>
      <c r="E85" s="4"/>
      <c r="F85" s="4"/>
      <c r="G85" s="3"/>
      <c r="H85" s="3"/>
      <c r="I85" s="3"/>
      <c r="J85" s="3"/>
      <c r="K85" s="3"/>
      <c r="L85" s="3"/>
      <c r="M85" s="4"/>
    </row>
  </sheetData>
  <mergeCells count="13">
    <mergeCell ref="A1:M2"/>
    <mergeCell ref="A3:A4"/>
    <mergeCell ref="G3:J3"/>
    <mergeCell ref="F3:F4"/>
    <mergeCell ref="A8:J8"/>
    <mergeCell ref="K3:K4"/>
    <mergeCell ref="L3:L4"/>
    <mergeCell ref="M3:M4"/>
    <mergeCell ref="A5:J5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WEPF Жим софт многопетельнаяДК</vt:lpstr>
      <vt:lpstr>WRPF Жим СФО</vt:lpstr>
      <vt:lpstr>WRPF Тяга без экипировки ДК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2021-02-24T16:10:31Z</dcterms:modified>
</cp:coreProperties>
</file>