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480" yWindow="15" windowWidth="11340" windowHeight="9690" firstSheet="10" activeTab="12"/>
  </bookViews>
  <sheets>
    <sheet name="Любители В.Ж. м.повт. 1_2" sheetId="39" r:id="rId1"/>
    <sheet name="Люб. народный жим 1_2 вес" sheetId="38" r:id="rId2"/>
    <sheet name="Excalibur" sheetId="36" r:id="rId3"/>
    <sheet name="Rus brick" sheetId="34" r:id="rId4"/>
    <sheet name="Rus HUB" sheetId="33" r:id="rId5"/>
    <sheet name="Rus Axle" sheetId="32" r:id="rId6"/>
    <sheet name="Rus Roullette" sheetId="31" r:id="rId7"/>
    <sheet name="РЖ любители 55 кг." sheetId="29" r:id="rId8"/>
    <sheet name="РЖ Проф 75 кг." sheetId="28" r:id="rId9"/>
    <sheet name="Пауэрспорт Профессионалы" sheetId="26" r:id="rId10"/>
    <sheet name="Пауэрспорт Любители" sheetId="25" r:id="rId11"/>
    <sheet name="Бицепс Профессионалы" sheetId="24" r:id="rId12"/>
    <sheet name="Бицепс Любители" sheetId="23" r:id="rId13"/>
    <sheet name="Жим стоя Профессионалы" sheetId="22" r:id="rId14"/>
    <sheet name="Жим стоя Любители" sheetId="21" r:id="rId15"/>
    <sheet name="Русский бицепс ПРО" sheetId="20" r:id="rId16"/>
    <sheet name="ПРО В.Ж. многоповторный" sheetId="19" r:id="rId17"/>
    <sheet name="Двоеборье проф." sheetId="17" r:id="rId18"/>
    <sheet name="Люб. ЖД" sheetId="16" r:id="rId19"/>
    <sheet name="Двоеборье люб" sheetId="15" r:id="rId20"/>
    <sheet name="ПРО тяга б.э." sheetId="14" r:id="rId21"/>
    <sheet name="Люб. тяга б.э." sheetId="13" r:id="rId22"/>
    <sheet name="ПРО жим софт мн.петельная" sheetId="12" r:id="rId23"/>
    <sheet name="Люб. жим софт мн.петельная" sheetId="11" r:id="rId24"/>
    <sheet name="ПРО жим софт 1 петельная" sheetId="10" r:id="rId25"/>
    <sheet name="Люб. жим 1 петельная" sheetId="9" r:id="rId26"/>
    <sheet name="ПРО жим б.э." sheetId="8" r:id="rId27"/>
    <sheet name="Люб. жим б.э." sheetId="7" r:id="rId28"/>
    <sheet name="ПРО Военный жим класс." sheetId="6" r:id="rId29"/>
    <sheet name="Люб. Военный жим класс." sheetId="5" r:id="rId30"/>
  </sheets>
  <definedNames>
    <definedName name="_FilterDatabase" localSheetId="29" hidden="1">'Люб. Военный жим класс.'!$A$1:$K$3</definedName>
  </definedNames>
  <calcPr calcId="125725" refMode="R1C1"/>
</workbook>
</file>

<file path=xl/calcChain.xml><?xml version="1.0" encoding="utf-8"?>
<calcChain xmlns="http://schemas.openxmlformats.org/spreadsheetml/2006/main">
  <c r="D8" i="20"/>
  <c r="D6"/>
  <c r="J6" i="39"/>
  <c r="I6"/>
  <c r="D6"/>
  <c r="J6" i="38"/>
  <c r="I6"/>
  <c r="D6"/>
  <c r="L16" i="36"/>
  <c r="K16"/>
  <c r="D16"/>
  <c r="L15"/>
  <c r="K15"/>
  <c r="D15"/>
  <c r="L12"/>
  <c r="K12"/>
  <c r="D12"/>
  <c r="L11"/>
  <c r="K11"/>
  <c r="D11"/>
  <c r="L10"/>
  <c r="K10"/>
  <c r="D10"/>
  <c r="L7"/>
  <c r="K7"/>
  <c r="D7"/>
  <c r="L6"/>
  <c r="K6"/>
  <c r="D6"/>
  <c r="L17" i="34"/>
  <c r="K17"/>
  <c r="D17"/>
  <c r="L14"/>
  <c r="K14"/>
  <c r="D14"/>
  <c r="L13"/>
  <c r="K13"/>
  <c r="D13"/>
  <c r="L10"/>
  <c r="K10"/>
  <c r="D10"/>
  <c r="L9"/>
  <c r="K9"/>
  <c r="D9"/>
  <c r="L6"/>
  <c r="K6"/>
  <c r="D6"/>
  <c r="L6" i="33"/>
  <c r="K6"/>
  <c r="D6"/>
  <c r="L6" i="32"/>
  <c r="K6"/>
  <c r="D6"/>
  <c r="L9" i="31"/>
  <c r="K9"/>
  <c r="D9"/>
  <c r="L6"/>
  <c r="K6"/>
  <c r="D6"/>
  <c r="J6" i="29"/>
  <c r="I6"/>
  <c r="D6"/>
  <c r="J7" i="28"/>
  <c r="I7"/>
  <c r="D7"/>
  <c r="J6"/>
  <c r="I6"/>
  <c r="D6"/>
  <c r="P13" i="26"/>
  <c r="O13"/>
  <c r="D13"/>
  <c r="P12"/>
  <c r="O12"/>
  <c r="D12"/>
  <c r="P9"/>
  <c r="O9"/>
  <c r="D9"/>
  <c r="P6"/>
  <c r="O6"/>
  <c r="D6"/>
  <c r="P19" i="25"/>
  <c r="O19"/>
  <c r="D19"/>
  <c r="P16"/>
  <c r="O16"/>
  <c r="D16"/>
  <c r="P15"/>
  <c r="O15"/>
  <c r="D15"/>
  <c r="D12"/>
  <c r="P11"/>
  <c r="O11"/>
  <c r="D11"/>
  <c r="P10"/>
  <c r="O10"/>
  <c r="D10"/>
  <c r="P9"/>
  <c r="O9"/>
  <c r="D9"/>
  <c r="P6"/>
  <c r="O6"/>
  <c r="D6"/>
  <c r="L9" i="24"/>
  <c r="K9"/>
  <c r="D9"/>
  <c r="L6"/>
  <c r="K6"/>
  <c r="D6"/>
  <c r="L25" i="23"/>
  <c r="K25"/>
  <c r="D25"/>
  <c r="L22"/>
  <c r="K22"/>
  <c r="D22"/>
  <c r="L21"/>
  <c r="K21"/>
  <c r="D21"/>
  <c r="L18"/>
  <c r="K18"/>
  <c r="D18"/>
  <c r="L17"/>
  <c r="K17"/>
  <c r="D17"/>
  <c r="L14"/>
  <c r="K14"/>
  <c r="D14"/>
  <c r="L13"/>
  <c r="K13"/>
  <c r="D13"/>
  <c r="L12"/>
  <c r="K12"/>
  <c r="D12"/>
  <c r="L9"/>
  <c r="K9"/>
  <c r="D9"/>
  <c r="L8"/>
  <c r="K8"/>
  <c r="D8"/>
  <c r="L7"/>
  <c r="K7"/>
  <c r="D7"/>
  <c r="L6"/>
  <c r="K6"/>
  <c r="D6"/>
  <c r="L6" i="22"/>
  <c r="K6"/>
  <c r="D6"/>
  <c r="L10" i="21"/>
  <c r="K10"/>
  <c r="D10"/>
  <c r="L7"/>
  <c r="K7"/>
  <c r="D7"/>
  <c r="L6"/>
  <c r="K6"/>
  <c r="D6"/>
  <c r="J6" i="19"/>
  <c r="I6"/>
  <c r="D6"/>
  <c r="P9" i="17"/>
  <c r="O9"/>
  <c r="D9"/>
  <c r="P6"/>
  <c r="O6"/>
  <c r="D6"/>
  <c r="D6" i="16"/>
  <c r="P6" i="15"/>
  <c r="O6"/>
  <c r="D6"/>
  <c r="L15" i="14"/>
  <c r="K15"/>
  <c r="D15"/>
  <c r="L14"/>
  <c r="K14"/>
  <c r="D14"/>
  <c r="L11"/>
  <c r="K11"/>
  <c r="D11"/>
  <c r="L10"/>
  <c r="K10"/>
  <c r="D10"/>
  <c r="L9"/>
  <c r="K9"/>
  <c r="D9"/>
  <c r="L6"/>
  <c r="K6"/>
  <c r="D6"/>
  <c r="L16" i="13"/>
  <c r="K16"/>
  <c r="D16"/>
  <c r="L13"/>
  <c r="K13"/>
  <c r="D13"/>
  <c r="L10"/>
  <c r="K10"/>
  <c r="D10"/>
  <c r="L7"/>
  <c r="K7"/>
  <c r="D7"/>
  <c r="L6"/>
  <c r="K6"/>
  <c r="D6"/>
  <c r="L6" i="12"/>
  <c r="K6"/>
  <c r="D6"/>
  <c r="L12" i="11"/>
  <c r="K12"/>
  <c r="D12"/>
  <c r="L9"/>
  <c r="K9"/>
  <c r="D9"/>
  <c r="L6"/>
  <c r="K6"/>
  <c r="D6"/>
  <c r="L9" i="10"/>
  <c r="K9"/>
  <c r="D9"/>
  <c r="L6"/>
  <c r="K6"/>
  <c r="D6"/>
  <c r="L21" i="9"/>
  <c r="K21"/>
  <c r="D21"/>
  <c r="L20"/>
  <c r="K20"/>
  <c r="D20"/>
  <c r="L17"/>
  <c r="K17"/>
  <c r="D17"/>
  <c r="L14"/>
  <c r="K14"/>
  <c r="D14"/>
  <c r="L11"/>
  <c r="K11"/>
  <c r="D11"/>
  <c r="L10"/>
  <c r="K10"/>
  <c r="D10"/>
  <c r="L9"/>
  <c r="K9"/>
  <c r="D9"/>
  <c r="L6"/>
  <c r="K6"/>
  <c r="D6"/>
  <c r="L21" i="8"/>
  <c r="K21"/>
  <c r="D21"/>
  <c r="L20"/>
  <c r="K20"/>
  <c r="D20"/>
  <c r="L17"/>
  <c r="K17"/>
  <c r="D17"/>
  <c r="L16"/>
  <c r="K16"/>
  <c r="D16"/>
  <c r="L15"/>
  <c r="K15"/>
  <c r="D15"/>
  <c r="L12"/>
  <c r="K12"/>
  <c r="D12"/>
  <c r="L9"/>
  <c r="K9"/>
  <c r="D9"/>
  <c r="L6"/>
  <c r="K6"/>
  <c r="D6"/>
  <c r="L42" i="7"/>
  <c r="K42"/>
  <c r="D42"/>
  <c r="L41"/>
  <c r="K41"/>
  <c r="D41"/>
  <c r="L40"/>
  <c r="K40"/>
  <c r="D40"/>
  <c r="L37"/>
  <c r="K37"/>
  <c r="D37"/>
  <c r="L34"/>
  <c r="K34"/>
  <c r="D34"/>
  <c r="L33"/>
  <c r="K33"/>
  <c r="D33"/>
  <c r="L32"/>
  <c r="K32"/>
  <c r="D32"/>
  <c r="L31"/>
  <c r="K31"/>
  <c r="D31"/>
  <c r="L30"/>
  <c r="K30"/>
  <c r="D30"/>
  <c r="L27"/>
  <c r="K27"/>
  <c r="D27"/>
  <c r="L26"/>
  <c r="K26"/>
  <c r="D26"/>
  <c r="L25"/>
  <c r="K25"/>
  <c r="D25"/>
  <c r="L22"/>
  <c r="K22"/>
  <c r="D22"/>
  <c r="L21"/>
  <c r="K21"/>
  <c r="D21"/>
  <c r="L18"/>
  <c r="K18"/>
  <c r="D18"/>
  <c r="L15"/>
  <c r="K15"/>
  <c r="D15"/>
  <c r="L12"/>
  <c r="K12"/>
  <c r="D12"/>
  <c r="L9"/>
  <c r="K9"/>
  <c r="D9"/>
  <c r="L6"/>
  <c r="K6"/>
  <c r="D6"/>
  <c r="L7" i="6"/>
  <c r="K7"/>
  <c r="D7"/>
  <c r="L6"/>
  <c r="K6"/>
  <c r="D6"/>
  <c r="L17" i="5"/>
  <c r="K17"/>
  <c r="D17"/>
  <c r="L14"/>
  <c r="K14"/>
  <c r="D14"/>
  <c r="L13"/>
  <c r="K13"/>
  <c r="D13"/>
  <c r="L10"/>
  <c r="K10"/>
  <c r="D10"/>
  <c r="L9"/>
  <c r="K9"/>
  <c r="D9"/>
  <c r="L6"/>
  <c r="K6"/>
  <c r="D6"/>
</calcChain>
</file>

<file path=xl/sharedStrings.xml><?xml version="1.0" encoding="utf-8"?>
<sst xmlns="http://schemas.openxmlformats.org/spreadsheetml/2006/main" count="2853" uniqueCount="699">
  <si>
    <t>ФИО</t>
  </si>
  <si>
    <t>Сумма</t>
  </si>
  <si>
    <t>Тренер</t>
  </si>
  <si>
    <t>Очки</t>
  </si>
  <si>
    <t>Команда</t>
  </si>
  <si>
    <t>Рек</t>
  </si>
  <si>
    <t>Возрастная группа
Дата рождения/Возраст</t>
  </si>
  <si>
    <t>Город/Область</t>
  </si>
  <si>
    <t>Вес</t>
  </si>
  <si>
    <t>Повторы</t>
  </si>
  <si>
    <t>Собственный 
вес</t>
  </si>
  <si>
    <t>Кубок Европы
Любители военный жим классический
Санкт-Петербург/Санкт-Петербург 24 - 25 октября 2020 г.</t>
  </si>
  <si>
    <t>Shv/Mel</t>
  </si>
  <si>
    <t>Жим лёжа</t>
  </si>
  <si>
    <t>ВЕСОВАЯ КАТЕГОРИЯ   75</t>
  </si>
  <si>
    <t>Белов Андрей</t>
  </si>
  <si>
    <t>1. Белов Андрей</t>
  </si>
  <si>
    <t>Мастера 50 - 54 (22.02.1969)/51</t>
  </si>
  <si>
    <t>71,20</t>
  </si>
  <si>
    <t xml:space="preserve">Fitness House </t>
  </si>
  <si>
    <t xml:space="preserve">Санкт-Петербург </t>
  </si>
  <si>
    <t>110,0</t>
  </si>
  <si>
    <t>115,0</t>
  </si>
  <si>
    <t>120,0</t>
  </si>
  <si>
    <t xml:space="preserve"> </t>
  </si>
  <si>
    <t>ВЕСОВАЯ КАТЕГОРИЯ   90</t>
  </si>
  <si>
    <t>Смирнов Леонид</t>
  </si>
  <si>
    <t>1. Смирнов Леонид</t>
  </si>
  <si>
    <t>Мастера 60 - 64 (26.09.1957)/63</t>
  </si>
  <si>
    <t>89,55</t>
  </si>
  <si>
    <t xml:space="preserve">лично </t>
  </si>
  <si>
    <t xml:space="preserve">Москва </t>
  </si>
  <si>
    <t>107,5</t>
  </si>
  <si>
    <t>Лузин Сергей</t>
  </si>
  <si>
    <t>1. Лузин Сергей</t>
  </si>
  <si>
    <t>Мастера 65 - 69 (30.04.1954)/66</t>
  </si>
  <si>
    <t>88,85</t>
  </si>
  <si>
    <t xml:space="preserve">Стальное Звено - Сталь Белогорья </t>
  </si>
  <si>
    <t xml:space="preserve">Пермь/Пермский край </t>
  </si>
  <si>
    <t>105,0</t>
  </si>
  <si>
    <t>ВЕСОВАЯ КАТЕГОРИЯ   100</t>
  </si>
  <si>
    <t>Данченков Павел</t>
  </si>
  <si>
    <t>1. Данченков Павел</t>
  </si>
  <si>
    <t>Открытая (24.01.1988)/32</t>
  </si>
  <si>
    <t>98,25</t>
  </si>
  <si>
    <t xml:space="preserve">Рекорд </t>
  </si>
  <si>
    <t xml:space="preserve">Гатчина/Ленинградская область </t>
  </si>
  <si>
    <t>150,0</t>
  </si>
  <si>
    <t>162,5</t>
  </si>
  <si>
    <t>172,5</t>
  </si>
  <si>
    <t xml:space="preserve">Лаппалайнен Дмитрий </t>
  </si>
  <si>
    <t>Локтионов Александр</t>
  </si>
  <si>
    <t>1. Локтионов Александр</t>
  </si>
  <si>
    <t>Мастера 55 - 59 (20.12.1964)/55</t>
  </si>
  <si>
    <t>98,85</t>
  </si>
  <si>
    <t>160,0</t>
  </si>
  <si>
    <t>170,0</t>
  </si>
  <si>
    <t>ВЕСОВАЯ КАТЕГОРИЯ   125</t>
  </si>
  <si>
    <t>Лаппалайнен Дмитрий</t>
  </si>
  <si>
    <t>1. Лаппалайнен Дмитрий</t>
  </si>
  <si>
    <t>Открытая (01.06.1989)/31</t>
  </si>
  <si>
    <t>116,80</t>
  </si>
  <si>
    <t>190,0</t>
  </si>
  <si>
    <t>Главный судья:</t>
  </si>
  <si>
    <t>Главный секретарь:</t>
  </si>
  <si>
    <t>Старший судья:</t>
  </si>
  <si>
    <t>Боковой судья: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</si>
  <si>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</si>
  <si>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</si>
  <si>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</si>
  <si>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</si>
  <si>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</si>
  <si>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</si>
  <si>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</si>
  <si>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Результат </t>
  </si>
  <si>
    <t xml:space="preserve">Shv/Mel </t>
  </si>
  <si>
    <t>125</t>
  </si>
  <si>
    <t>100,6620</t>
  </si>
  <si>
    <t>100</t>
  </si>
  <si>
    <t>90,7481</t>
  </si>
  <si>
    <t xml:space="preserve">Мастера </t>
  </si>
  <si>
    <t xml:space="preserve">Мастера 65 - 69 </t>
  </si>
  <si>
    <t>90</t>
  </si>
  <si>
    <t>139,4524</t>
  </si>
  <si>
    <t xml:space="preserve">Мастера 55 - 59 </t>
  </si>
  <si>
    <t>130,6487</t>
  </si>
  <si>
    <t xml:space="preserve">Мастера 60 - 64 </t>
  </si>
  <si>
    <t>114,2350</t>
  </si>
  <si>
    <t xml:space="preserve">Мастера 50 - 54 </t>
  </si>
  <si>
    <t>75</t>
  </si>
  <si>
    <t>95,9666</t>
  </si>
  <si>
    <t>Результат</t>
  </si>
  <si>
    <t>Кубок Европы
ПРО военный жим классический
Санкт-Петербург/Санкт-Петербург 24 - 25 октября 2020 г.</t>
  </si>
  <si>
    <t>ВЕСОВАЯ КАТЕГОРИЯ   110</t>
  </si>
  <si>
    <t>Маркитантов Василий</t>
  </si>
  <si>
    <t>1. Маркитантов Василий</t>
  </si>
  <si>
    <t>Открытая (21.02.1980)/40</t>
  </si>
  <si>
    <t>109,30</t>
  </si>
  <si>
    <t xml:space="preserve">Fitness Life </t>
  </si>
  <si>
    <t>200,0</t>
  </si>
  <si>
    <t>207,5</t>
  </si>
  <si>
    <t>208,5</t>
  </si>
  <si>
    <t>Мастера 40 - 44 (21.02.1980)/40</t>
  </si>
  <si>
    <t>110</t>
  </si>
  <si>
    <t>111,4897</t>
  </si>
  <si>
    <t xml:space="preserve">Мастера 40 - 44 </t>
  </si>
  <si>
    <t>Кубок Европы
Любители жим лежа без экипировки
Санкт-Петербург/Санкт-Петербург 24 - 25 октября 2020 г.</t>
  </si>
  <si>
    <t>ВЕСОВАЯ КАТЕГОРИЯ   67.5</t>
  </si>
  <si>
    <t>Ильина Елена</t>
  </si>
  <si>
    <t>1. Ильина Елена</t>
  </si>
  <si>
    <t>Открытая (05.10.1977)/43</t>
  </si>
  <si>
    <t>61,85</t>
  </si>
  <si>
    <t xml:space="preserve">РООсФИс </t>
  </si>
  <si>
    <t>50,0</t>
  </si>
  <si>
    <t>52,5</t>
  </si>
  <si>
    <t>55,0</t>
  </si>
  <si>
    <t xml:space="preserve">Огрызько Наталья </t>
  </si>
  <si>
    <t>Огрызько Наталья</t>
  </si>
  <si>
    <t>1. Огрызько Наталья</t>
  </si>
  <si>
    <t>Открытая (12.07.1975)/45</t>
  </si>
  <si>
    <t>70,80</t>
  </si>
  <si>
    <t>95,0</t>
  </si>
  <si>
    <t>100,0</t>
  </si>
  <si>
    <t>ВЕСОВАЯ КАТЕГОРИЯ   90+</t>
  </si>
  <si>
    <t>Сарабьева Ольга</t>
  </si>
  <si>
    <t>1. Сарабьева Ольга</t>
  </si>
  <si>
    <t>Мастера 45 - 49 (10.09.1974)/46</t>
  </si>
  <si>
    <t>93,90</t>
  </si>
  <si>
    <t xml:space="preserve">101 %  Gym </t>
  </si>
  <si>
    <t xml:space="preserve">Сергиев Посад/Московская область </t>
  </si>
  <si>
    <t>65,0</t>
  </si>
  <si>
    <t>72,5</t>
  </si>
  <si>
    <t>77,5</t>
  </si>
  <si>
    <t xml:space="preserve">Терешин Алексей </t>
  </si>
  <si>
    <t>ВЕСОВАЯ КАТЕГОРИЯ   52</t>
  </si>
  <si>
    <t>Белов Борис</t>
  </si>
  <si>
    <t>1. Белов Борис</t>
  </si>
  <si>
    <t>Юноши 16 - 17 (04.06.2003)/17</t>
  </si>
  <si>
    <t>48,60</t>
  </si>
  <si>
    <t>60,0</t>
  </si>
  <si>
    <t>70,0</t>
  </si>
  <si>
    <t>Калинин Евгений</t>
  </si>
  <si>
    <t>1. Калинин Евгений</t>
  </si>
  <si>
    <t>Мастера 45 - 49 (14.08.1973)/47</t>
  </si>
  <si>
    <t>60,80</t>
  </si>
  <si>
    <t xml:space="preserve">Силы Вятки </t>
  </si>
  <si>
    <t xml:space="preserve">Киров/Кировская область </t>
  </si>
  <si>
    <t>85,0</t>
  </si>
  <si>
    <t>87,5</t>
  </si>
  <si>
    <t>92,5</t>
  </si>
  <si>
    <t>Старцев Виталий</t>
  </si>
  <si>
    <t>1. Старцев Виталий</t>
  </si>
  <si>
    <t>Открытая (19.07.1982)/38</t>
  </si>
  <si>
    <t>74,20</t>
  </si>
  <si>
    <t>130,0</t>
  </si>
  <si>
    <t>135,0</t>
  </si>
  <si>
    <t>137,5</t>
  </si>
  <si>
    <t xml:space="preserve">Волков Андрей </t>
  </si>
  <si>
    <t>Князев Дмитрий</t>
  </si>
  <si>
    <t>1. Князев Дмитрий</t>
  </si>
  <si>
    <t>Мастера 40 - 44 (08.06.1979)/41</t>
  </si>
  <si>
    <t>73,65</t>
  </si>
  <si>
    <t>125,0</t>
  </si>
  <si>
    <t>132,5</t>
  </si>
  <si>
    <t>Мищенко Артём</t>
  </si>
  <si>
    <t>1. Мищенко Артём</t>
  </si>
  <si>
    <t>Открытая (26.06.1984)/36</t>
  </si>
  <si>
    <t>89,65</t>
  </si>
  <si>
    <t>185,0</t>
  </si>
  <si>
    <t>187,5</t>
  </si>
  <si>
    <t xml:space="preserve">Чокаев Умар </t>
  </si>
  <si>
    <t>117,5</t>
  </si>
  <si>
    <t>152,5</t>
  </si>
  <si>
    <t>Иванчук Алексей</t>
  </si>
  <si>
    <t>2. Иванчук Алексей</t>
  </si>
  <si>
    <t>Открытая (13.04.1991)/29</t>
  </si>
  <si>
    <t>99,95</t>
  </si>
  <si>
    <t>Ярыжев Амерхан</t>
  </si>
  <si>
    <t>1. Ярыжев Амерхан</t>
  </si>
  <si>
    <t>Мастера 40 - 44 (22.01.1979)/41</t>
  </si>
  <si>
    <t>95,00</t>
  </si>
  <si>
    <t xml:space="preserve">Единство Кавказа </t>
  </si>
  <si>
    <t xml:space="preserve">Карабулак/Ингушетия республика </t>
  </si>
  <si>
    <t>165,0</t>
  </si>
  <si>
    <t>180,0</t>
  </si>
  <si>
    <t xml:space="preserve">Оздоев Тимур </t>
  </si>
  <si>
    <t>Дюбарев Алексей</t>
  </si>
  <si>
    <t>1. Дюбарев Алексей</t>
  </si>
  <si>
    <t>Мастера 45 - 49 (19.01.1975)/45</t>
  </si>
  <si>
    <t>91,70</t>
  </si>
  <si>
    <t xml:space="preserve">ВОЕНХОТ </t>
  </si>
  <si>
    <t>155,0</t>
  </si>
  <si>
    <t>Кодзоев Магомед</t>
  </si>
  <si>
    <t>1. Кодзоев Магомед</t>
  </si>
  <si>
    <t>Открытая (22.06.1985)/35</t>
  </si>
  <si>
    <t>109,40</t>
  </si>
  <si>
    <t>192,5</t>
  </si>
  <si>
    <t>210,0</t>
  </si>
  <si>
    <t>220,0</t>
  </si>
  <si>
    <t>225,0</t>
  </si>
  <si>
    <t>Алексеик Андрей</t>
  </si>
  <si>
    <t>1. Алексеик Андрей</t>
  </si>
  <si>
    <t>Мастера 40 - 44 (16.01.1980)/40</t>
  </si>
  <si>
    <t>120,30</t>
  </si>
  <si>
    <t>202,5</t>
  </si>
  <si>
    <t>Иванов Михаил</t>
  </si>
  <si>
    <t>2. Иванов Михаил</t>
  </si>
  <si>
    <t>Мастера 40 - 44 (02.07.1976)/44</t>
  </si>
  <si>
    <t>124,00</t>
  </si>
  <si>
    <t>175,0</t>
  </si>
  <si>
    <t xml:space="preserve">Таранухин Георгий Юриевич </t>
  </si>
  <si>
    <t xml:space="preserve">Женщины </t>
  </si>
  <si>
    <t>75,2350</t>
  </si>
  <si>
    <t>67.5</t>
  </si>
  <si>
    <t>46,1560</t>
  </si>
  <si>
    <t xml:space="preserve">Мастера 45 - 49 </t>
  </si>
  <si>
    <t>90+</t>
  </si>
  <si>
    <t>47,9082</t>
  </si>
  <si>
    <t xml:space="preserve">Юноши </t>
  </si>
  <si>
    <t xml:space="preserve">Юноши 16 - 17 </t>
  </si>
  <si>
    <t>52</t>
  </si>
  <si>
    <t>77,9587</t>
  </si>
  <si>
    <t>116,5560</t>
  </si>
  <si>
    <t>110,0063</t>
  </si>
  <si>
    <t>103,4110</t>
  </si>
  <si>
    <t>96,3326</t>
  </si>
  <si>
    <t>92,1387</t>
  </si>
  <si>
    <t>83,1225</t>
  </si>
  <si>
    <t>138,3340</t>
  </si>
  <si>
    <t>124,8615</t>
  </si>
  <si>
    <t>110,6070</t>
  </si>
  <si>
    <t>98,2393</t>
  </si>
  <si>
    <t>97,0867</t>
  </si>
  <si>
    <t>96,9470</t>
  </si>
  <si>
    <t>89,5862</t>
  </si>
  <si>
    <t>76,6215</t>
  </si>
  <si>
    <t>Кубок Европы
ПРО жим лежа без экипировки
Санкт-Петербург/Санкт-Петербург 24 - 25 октября 2020 г.</t>
  </si>
  <si>
    <t>ВЕСОВАЯ КАТЕГОРИЯ   60</t>
  </si>
  <si>
    <t>Половодов Александр</t>
  </si>
  <si>
    <t>1. Половодов Александр</t>
  </si>
  <si>
    <t>Открытая (21.11.1984)/35</t>
  </si>
  <si>
    <t>59,90</t>
  </si>
  <si>
    <t xml:space="preserve">Тюмень/Тюменская область </t>
  </si>
  <si>
    <t>90,0</t>
  </si>
  <si>
    <t xml:space="preserve">Колтышев Виктор </t>
  </si>
  <si>
    <t>Афонин Владимир</t>
  </si>
  <si>
    <t>1. Афонин Владимир</t>
  </si>
  <si>
    <t>Мастера 75 - 79 (09.06.1945)/75</t>
  </si>
  <si>
    <t>67,30</t>
  </si>
  <si>
    <t>80,0</t>
  </si>
  <si>
    <t>Енин Даниил</t>
  </si>
  <si>
    <t>1. Енин Даниил</t>
  </si>
  <si>
    <t>Юноши 14-15 (22.02.2005)/15</t>
  </si>
  <si>
    <t>102,40</t>
  </si>
  <si>
    <t>Усков Николай</t>
  </si>
  <si>
    <t>1. Усков Николай</t>
  </si>
  <si>
    <t>Открытая (20.12.1979)/40</t>
  </si>
  <si>
    <t>118,30</t>
  </si>
  <si>
    <t>182,5</t>
  </si>
  <si>
    <t>Мастера 40 - 44 (20.12.1979)/40</t>
  </si>
  <si>
    <t>Пешков Андрей</t>
  </si>
  <si>
    <t>1. Пешков Андрей</t>
  </si>
  <si>
    <t>Мастера 55 - 59 (05.11.1963)/56</t>
  </si>
  <si>
    <t>119,60</t>
  </si>
  <si>
    <t xml:space="preserve">Грахов Юлий </t>
  </si>
  <si>
    <t>ВЕСОВАЯ КАТЕГОРИЯ   140</t>
  </si>
  <si>
    <t>Артамонов Дмитрий</t>
  </si>
  <si>
    <t>1. Артамонов Дмитрий</t>
  </si>
  <si>
    <t>Юноши 14-15 (01.04.2006)/14</t>
  </si>
  <si>
    <t>128,80</t>
  </si>
  <si>
    <t>Ильиных Иван</t>
  </si>
  <si>
    <t>1. Ильиных Иван</t>
  </si>
  <si>
    <t>Открытая (25.10.1996)/24</t>
  </si>
  <si>
    <t>130,20</t>
  </si>
  <si>
    <t xml:space="preserve">Юноши 14-15 </t>
  </si>
  <si>
    <t>64,7466</t>
  </si>
  <si>
    <t>140</t>
  </si>
  <si>
    <t>57,1699</t>
  </si>
  <si>
    <t>102,9520</t>
  </si>
  <si>
    <t>99,0938</t>
  </si>
  <si>
    <t>60</t>
  </si>
  <si>
    <t>77,3490</t>
  </si>
  <si>
    <t>156,4928</t>
  </si>
  <si>
    <t xml:space="preserve">Мастера 75 - 79 </t>
  </si>
  <si>
    <t>128,8606</t>
  </si>
  <si>
    <t>Кубок Европы
Любители жим лежа в Софт экипировка однопетельная
Санкт-Петербург/Санкт-Петербург 24 - 25 октября 2020 г.</t>
  </si>
  <si>
    <t>Гусарова Екатерина</t>
  </si>
  <si>
    <t>1. Гусарова Екатерина</t>
  </si>
  <si>
    <t>Открытая (21.10.1992)/28</t>
  </si>
  <si>
    <t>60,00</t>
  </si>
  <si>
    <t xml:space="preserve">Тензор </t>
  </si>
  <si>
    <t xml:space="preserve">Ярославль/Ярославская область </t>
  </si>
  <si>
    <t xml:space="preserve">Иванов Михаил </t>
  </si>
  <si>
    <t>Варшавский Илья</t>
  </si>
  <si>
    <t>1. Варшавский Илья</t>
  </si>
  <si>
    <t>Открытая (03.11.1991)/28</t>
  </si>
  <si>
    <t xml:space="preserve">ЛЮБЕРА </t>
  </si>
  <si>
    <t>Матвеев Александр</t>
  </si>
  <si>
    <t>2. Матвеев Александр</t>
  </si>
  <si>
    <t>Открытая (14.03.1974)/46</t>
  </si>
  <si>
    <t>75,00</t>
  </si>
  <si>
    <t xml:space="preserve">Владимир/Владимирская область </t>
  </si>
  <si>
    <t>195,0</t>
  </si>
  <si>
    <t xml:space="preserve">Жинкин Виктор </t>
  </si>
  <si>
    <t>1. Матвеев Александр</t>
  </si>
  <si>
    <t>Мастера 45 - 49 (14.03.1974)/46</t>
  </si>
  <si>
    <t>ВЕСОВАЯ КАТЕГОРИЯ   82.5</t>
  </si>
  <si>
    <t>Жигулин Константин</t>
  </si>
  <si>
    <t>1. Жигулин Константин</t>
  </si>
  <si>
    <t>Открытая (03.10.1987)/33</t>
  </si>
  <si>
    <t>80,50</t>
  </si>
  <si>
    <t>237,5</t>
  </si>
  <si>
    <t>Хохлов Сергей</t>
  </si>
  <si>
    <t>1. Хохлов Сергей</t>
  </si>
  <si>
    <t>Открытая (12.06.1982)/38</t>
  </si>
  <si>
    <t>98,20</t>
  </si>
  <si>
    <t xml:space="preserve">Лучинский Сергей </t>
  </si>
  <si>
    <t>Василенко Дмитрий</t>
  </si>
  <si>
    <t>1. Василенко Дмитрий</t>
  </si>
  <si>
    <t>Открытая (03.06.1975)/45</t>
  </si>
  <si>
    <t>114,10</t>
  </si>
  <si>
    <t>270,0</t>
  </si>
  <si>
    <t>290,0</t>
  </si>
  <si>
    <t>307,5</t>
  </si>
  <si>
    <t xml:space="preserve">Прокопов Михаил </t>
  </si>
  <si>
    <t>Мастера 45 - 49 (03.06.1975)/45</t>
  </si>
  <si>
    <t>114,20</t>
  </si>
  <si>
    <t>86,0900</t>
  </si>
  <si>
    <t>163,6515</t>
  </si>
  <si>
    <t>82.5</t>
  </si>
  <si>
    <t>149,6488</t>
  </si>
  <si>
    <t>147,4220</t>
  </si>
  <si>
    <t>134,5612</t>
  </si>
  <si>
    <t>89,3760</t>
  </si>
  <si>
    <t>171,4746</t>
  </si>
  <si>
    <t>143,8460</t>
  </si>
  <si>
    <t>Кубок Европы
ПРО жим лежа Софт экипировка однопетельная
Санкт-Петербург/Санкт-Петербург 24 - 25 октября 2020 г.</t>
  </si>
  <si>
    <t>Колесников Денис</t>
  </si>
  <si>
    <t>1. Колесников Денис</t>
  </si>
  <si>
    <t>Мастера 45 - 49 (18.06.1975)/45</t>
  </si>
  <si>
    <t>71,95</t>
  </si>
  <si>
    <t xml:space="preserve">Адонис </t>
  </si>
  <si>
    <t xml:space="preserve">Ларионов Владимир </t>
  </si>
  <si>
    <t>Мастера 50 - 54 (27.11.1967)/52</t>
  </si>
  <si>
    <t>81,90</t>
  </si>
  <si>
    <t xml:space="preserve">Бирюков Вячеслав </t>
  </si>
  <si>
    <t>126,0050</t>
  </si>
  <si>
    <t>124,1595</t>
  </si>
  <si>
    <t>Кубок Европы
Любители жим лежа в Софт экипировка многопетельная
Санкт-Петербург/Санкт-Петербург 24 - 25 октября 2020 г.</t>
  </si>
  <si>
    <t>300,0</t>
  </si>
  <si>
    <t>310,0</t>
  </si>
  <si>
    <t>262,5</t>
  </si>
  <si>
    <t>-. Василенко Дмитрий</t>
  </si>
  <si>
    <t>345,0</t>
  </si>
  <si>
    <t>201,0300</t>
  </si>
  <si>
    <t>165,4013</t>
  </si>
  <si>
    <t>Кубок Европы
ПРО жим лежа в Софт экипировка многопетельная
Санкт-Петербург/Санкт-Петербург 24 - 25 октября 2020 г.</t>
  </si>
  <si>
    <t>Алтухов Александр</t>
  </si>
  <si>
    <t>1. Алтухов Александр</t>
  </si>
  <si>
    <t>Открытая (31.03.1989)/31</t>
  </si>
  <si>
    <t>110,60</t>
  </si>
  <si>
    <t>240,0</t>
  </si>
  <si>
    <t>250,0</t>
  </si>
  <si>
    <t>260,0</t>
  </si>
  <si>
    <t>133,9500</t>
  </si>
  <si>
    <t>Кубок Европы
Любители становая тяга без экипировки
Санкт-Петербург/Санкт-Петербург 24 - 25 октября 2020 г.</t>
  </si>
  <si>
    <t>Становая тяга</t>
  </si>
  <si>
    <t>Балабатько Оксана</t>
  </si>
  <si>
    <t>1. Балабатько Оксана</t>
  </si>
  <si>
    <t>Девушки 14-15 (24.01.2005)/15</t>
  </si>
  <si>
    <t>59,10</t>
  </si>
  <si>
    <t xml:space="preserve">Пушкин/Санкт-Петербург </t>
  </si>
  <si>
    <t xml:space="preserve">Барабатько Игорь </t>
  </si>
  <si>
    <t>Субботина Наталья</t>
  </si>
  <si>
    <t>1. Субботина Наталья</t>
  </si>
  <si>
    <t>Открытая (02.07.1984)/36</t>
  </si>
  <si>
    <t>56,90</t>
  </si>
  <si>
    <t>75,0</t>
  </si>
  <si>
    <t xml:space="preserve">Усков Николай </t>
  </si>
  <si>
    <t>Денисов Сергей</t>
  </si>
  <si>
    <t>1. Денисов Сергей</t>
  </si>
  <si>
    <t>Открытая (14.04.1992)/28</t>
  </si>
  <si>
    <t>87,30</t>
  </si>
  <si>
    <t>Зубков Александр</t>
  </si>
  <si>
    <t>1. Зубков Александр</t>
  </si>
  <si>
    <t>Мастера 40 - 44 (08.10.1978)/42</t>
  </si>
  <si>
    <t>99,35</t>
  </si>
  <si>
    <t>230,0</t>
  </si>
  <si>
    <t xml:space="preserve">Девушки </t>
  </si>
  <si>
    <t>72,0189</t>
  </si>
  <si>
    <t>71,9960</t>
  </si>
  <si>
    <t>134,2125</t>
  </si>
  <si>
    <t>140,1080</t>
  </si>
  <si>
    <t>126,1464</t>
  </si>
  <si>
    <t>Кубок Европы
ПРО становая тяга без экипировки
Санкт-Петербург/Санкт-Петербург 24 - 25 октября 2020 г.</t>
  </si>
  <si>
    <t>167,5</t>
  </si>
  <si>
    <t>Кобелев Павел</t>
  </si>
  <si>
    <t>1. Кобелев Павел</t>
  </si>
  <si>
    <t>Открытая (04.08.1989)/31</t>
  </si>
  <si>
    <t>89,60</t>
  </si>
  <si>
    <t>320,0</t>
  </si>
  <si>
    <t>332,5</t>
  </si>
  <si>
    <t>Улин Леонид</t>
  </si>
  <si>
    <t>1. Улин Леонид</t>
  </si>
  <si>
    <t>Мастера 45 - 49 (20.08.1975)/45</t>
  </si>
  <si>
    <t>86,60</t>
  </si>
  <si>
    <t>145,0</t>
  </si>
  <si>
    <t>Михайлов Александр</t>
  </si>
  <si>
    <t>1. Михайлов Александр</t>
  </si>
  <si>
    <t>Мастера 60 - 64 (09.12.1958)/61</t>
  </si>
  <si>
    <t>88,10</t>
  </si>
  <si>
    <t>140,0</t>
  </si>
  <si>
    <t>Терёшин Алексей</t>
  </si>
  <si>
    <t>2. Терёшин Алексей</t>
  </si>
  <si>
    <t>Открытая (30.03.1992)/28</t>
  </si>
  <si>
    <t>112,20</t>
  </si>
  <si>
    <t>195,1442</t>
  </si>
  <si>
    <t>128,5920</t>
  </si>
  <si>
    <t>106,8000</t>
  </si>
  <si>
    <t>253,9312</t>
  </si>
  <si>
    <t>136,0935</t>
  </si>
  <si>
    <t>102,0949</t>
  </si>
  <si>
    <t>Кубок Европы
Силовое двоеборье любители
Санкт-Петербург/Санкт-Петербург 24 - 25 октября 2020 г.</t>
  </si>
  <si>
    <t>Питерянкин Владислав</t>
  </si>
  <si>
    <t>1. Питерянкин Владислав</t>
  </si>
  <si>
    <t>Юноши 16 - 17 (12.02.2003)/17</t>
  </si>
  <si>
    <t>86,45</t>
  </si>
  <si>
    <t xml:space="preserve">Вологда </t>
  </si>
  <si>
    <t xml:space="preserve">Вологда/Вологодская область </t>
  </si>
  <si>
    <t>205,0</t>
  </si>
  <si>
    <t>132,8843</t>
  </si>
  <si>
    <t>Кубок Европы
Любители жимовое двоеборье
Санкт-Петербург/Санкт-Петербург 24 - 25 октября 2020 г.</t>
  </si>
  <si>
    <t>Мн.повт. жим</t>
  </si>
  <si>
    <t>Томинг Сергей</t>
  </si>
  <si>
    <t>1. Томинг Сергей</t>
  </si>
  <si>
    <t>Мастера 50 - 54 (09.12.1968)/51</t>
  </si>
  <si>
    <t>71,10</t>
  </si>
  <si>
    <t>Shv/Mel /Залуцкий</t>
  </si>
  <si>
    <t>0,0000</t>
  </si>
  <si>
    <t>Shv/Mel/Залуцкий</t>
  </si>
  <si>
    <t>Кубок Европы
Силовое двоеборье профессионалы
Санкт-Петербург/Санкт-Петербург 24 - 25 октября 2020 г.</t>
  </si>
  <si>
    <t>Лучинский Сергей</t>
  </si>
  <si>
    <t>1. Лучинский Сергей</t>
  </si>
  <si>
    <t>Открытая (12.11.1981)/38</t>
  </si>
  <si>
    <t>106,70</t>
  </si>
  <si>
    <t>440,0</t>
  </si>
  <si>
    <t>238,0400</t>
  </si>
  <si>
    <t>252,5</t>
  </si>
  <si>
    <t>382,7919</t>
  </si>
  <si>
    <t>Кубок Европы
ПРО Военный жим многоповторный
Санкт-Петербург/Санкт-Петербург 24 - 25 октября 2020 г.</t>
  </si>
  <si>
    <t>НАП Н.Ж.</t>
  </si>
  <si>
    <t>29,0</t>
  </si>
  <si>
    <t xml:space="preserve">НАП Н.Ж. </t>
  </si>
  <si>
    <t>3190,0</t>
  </si>
  <si>
    <t>2056,2739</t>
  </si>
  <si>
    <t>Тоннаж</t>
  </si>
  <si>
    <t>Кубок Европы
Одиночный жим штанги стоя Любители
Санкт-Петербург/Санкт-Петербург 24 - 25 октября 2020 г.</t>
  </si>
  <si>
    <t>Жим стоя</t>
  </si>
  <si>
    <t>Гришелёнок Станислав</t>
  </si>
  <si>
    <t>1. Гришелёнок Станислав</t>
  </si>
  <si>
    <t>Открытая (14.11.1983)/36</t>
  </si>
  <si>
    <t>73,90</t>
  </si>
  <si>
    <t>97,5</t>
  </si>
  <si>
    <t>Борисов Алексей</t>
  </si>
  <si>
    <t>1. Борисов Алексей</t>
  </si>
  <si>
    <t>Мастера 40 - 44 (07.05.1978)/42</t>
  </si>
  <si>
    <t>65,5492</t>
  </si>
  <si>
    <t>58,6700</t>
  </si>
  <si>
    <t>47,6117</t>
  </si>
  <si>
    <t>Кубок Европы
Одиночный жим штанги стоя Профессионалы
Санкт-Петербург/Санкт-Петербург 24 - 25 октября 2020 г.</t>
  </si>
  <si>
    <t>Трофимов Дмитрий</t>
  </si>
  <si>
    <t>1. Трофимов Дмитрий</t>
  </si>
  <si>
    <t>Мастера 45 - 49 (18.02.1974)/46</t>
  </si>
  <si>
    <t>94,65</t>
  </si>
  <si>
    <t xml:space="preserve">Стальное Звено-Академия Силы </t>
  </si>
  <si>
    <t xml:space="preserve">Белгород/Белгородская область </t>
  </si>
  <si>
    <t xml:space="preserve">Рядинский Денис </t>
  </si>
  <si>
    <t>54,7387</t>
  </si>
  <si>
    <t>Кубок Европы
Одиночный подъём штанги на бицепс Любители
Санкт-Петербург/Санкт-Петербург 24 - 25 октября 2020 г.</t>
  </si>
  <si>
    <t>Подъем на бицепс</t>
  </si>
  <si>
    <t>Попов Александр</t>
  </si>
  <si>
    <t>2. Попов Александр</t>
  </si>
  <si>
    <t>Открытая (05.11.1989)/30</t>
  </si>
  <si>
    <t>73,70</t>
  </si>
  <si>
    <t>75,5</t>
  </si>
  <si>
    <t xml:space="preserve">Попов Роман Павлович </t>
  </si>
  <si>
    <t>62,5</t>
  </si>
  <si>
    <t>45,0</t>
  </si>
  <si>
    <t>57,5</t>
  </si>
  <si>
    <t>Остапенко Денис</t>
  </si>
  <si>
    <t>1. Остапенко Денис</t>
  </si>
  <si>
    <t>Юниоры 20 - 23 (19.11.1999)/20</t>
  </si>
  <si>
    <t>80,15</t>
  </si>
  <si>
    <t>82,5</t>
  </si>
  <si>
    <t>Открытая (19.11.1999)/20</t>
  </si>
  <si>
    <t>Рядинский Денис</t>
  </si>
  <si>
    <t>2. Рядинский Денис</t>
  </si>
  <si>
    <t>Открытая (06.07.1985)/35</t>
  </si>
  <si>
    <t xml:space="preserve">Трунов Михаил </t>
  </si>
  <si>
    <t>Ефимовский Владислав</t>
  </si>
  <si>
    <t>2. Ефимовский Владислав</t>
  </si>
  <si>
    <t>Открытая (06.04.1982)/38</t>
  </si>
  <si>
    <t>Открытая (22.01.1979)/41</t>
  </si>
  <si>
    <t xml:space="preserve">Юниоры </t>
  </si>
  <si>
    <t xml:space="preserve">Юниоры 20 - 23 </t>
  </si>
  <si>
    <t>52,0850</t>
  </si>
  <si>
    <t>50,5680</t>
  </si>
  <si>
    <t>50,4225</t>
  </si>
  <si>
    <t>50,4080</t>
  </si>
  <si>
    <t>49,9035</t>
  </si>
  <si>
    <t>48,2630</t>
  </si>
  <si>
    <t>47,6820</t>
  </si>
  <si>
    <t>47,1590</t>
  </si>
  <si>
    <t>38,1615</t>
  </si>
  <si>
    <t>48,4078</t>
  </si>
  <si>
    <t>45,8971</t>
  </si>
  <si>
    <t>42,5104</t>
  </si>
  <si>
    <t>Кубок Европы
Одиночный подъём штанги на бицепс Профессионалы
Санкт-Петербург/Санкт-Петербург 24 - 25 октября 2020 г.</t>
  </si>
  <si>
    <t>Зубарев Андрей</t>
  </si>
  <si>
    <t>1. Зубарев Андрей</t>
  </si>
  <si>
    <t>Открытая (06.01.1985)/35</t>
  </si>
  <si>
    <t>74,70</t>
  </si>
  <si>
    <t>Максимов Вадим</t>
  </si>
  <si>
    <t>1. Максимов Вадим</t>
  </si>
  <si>
    <t>Мастера 50 - 54 (19.05.1970)/50</t>
  </si>
  <si>
    <t>107,40</t>
  </si>
  <si>
    <t xml:space="preserve">Варт Класс </t>
  </si>
  <si>
    <t xml:space="preserve">Нижневартовск/Ханты-Мансийский автономный округ </t>
  </si>
  <si>
    <t>46,6620</t>
  </si>
  <si>
    <t>61,7470</t>
  </si>
  <si>
    <t>Кубок Европы
Пауэрспорт Любители
Санкт-Петербург/Санкт-Петербург 24 - 25 октября 2020 г.</t>
  </si>
  <si>
    <t>Харина Галина</t>
  </si>
  <si>
    <t>1. Харина Галина</t>
  </si>
  <si>
    <t>Открытая (10.04.1994)/26</t>
  </si>
  <si>
    <t>49,20</t>
  </si>
  <si>
    <t>30,0</t>
  </si>
  <si>
    <t>35,0</t>
  </si>
  <si>
    <t>20,0</t>
  </si>
  <si>
    <t>22,5</t>
  </si>
  <si>
    <t>25,0</t>
  </si>
  <si>
    <t xml:space="preserve">Иванов Марьян </t>
  </si>
  <si>
    <t>67,5</t>
  </si>
  <si>
    <t>Харин Максим</t>
  </si>
  <si>
    <t>3. Харин Максим</t>
  </si>
  <si>
    <t>Открытая (28.10.1987)/32</t>
  </si>
  <si>
    <t>72,05</t>
  </si>
  <si>
    <t>40,0</t>
  </si>
  <si>
    <t>Притыкин Артём</t>
  </si>
  <si>
    <t>2. Притыкин Артём</t>
  </si>
  <si>
    <t>Открытая (21.10.1989)/31</t>
  </si>
  <si>
    <t>88,45</t>
  </si>
  <si>
    <t>Ржевский Денис</t>
  </si>
  <si>
    <t>1. Ржевский Денис</t>
  </si>
  <si>
    <t>Мастера 40 - 44 (24.01.1979)/41</t>
  </si>
  <si>
    <t>94,70</t>
  </si>
  <si>
    <t>53,2350</t>
  </si>
  <si>
    <t>115,9717</t>
  </si>
  <si>
    <t>108,5395</t>
  </si>
  <si>
    <t>90,9495</t>
  </si>
  <si>
    <t>85,7820</t>
  </si>
  <si>
    <t>82,3560</t>
  </si>
  <si>
    <t>127,5</t>
  </si>
  <si>
    <t>86,7213</t>
  </si>
  <si>
    <t>147,5</t>
  </si>
  <si>
    <t>84,1497</t>
  </si>
  <si>
    <t>Кубок Европы
Пауэрспорт Профессионалы
Санкт-Петербург/Санкт-Петербург 24 - 25 октября 2020 г.</t>
  </si>
  <si>
    <t>Иванов Марьян</t>
  </si>
  <si>
    <t>1. Иванов Марьян</t>
  </si>
  <si>
    <t>Мастера 45 - 49 (09.08.1974)/46</t>
  </si>
  <si>
    <t>88,05</t>
  </si>
  <si>
    <t>102,5</t>
  </si>
  <si>
    <t>Романов Денис</t>
  </si>
  <si>
    <t>1. Романов Денис</t>
  </si>
  <si>
    <t>Открытая (24.04.1994)/26</t>
  </si>
  <si>
    <t>98,05</t>
  </si>
  <si>
    <t xml:space="preserve">Новосибирск/Новосибирская область </t>
  </si>
  <si>
    <t>146,0</t>
  </si>
  <si>
    <t>235,0</t>
  </si>
  <si>
    <t>131,3650</t>
  </si>
  <si>
    <t>89,9910</t>
  </si>
  <si>
    <t>120,4950</t>
  </si>
  <si>
    <t>100,3542</t>
  </si>
  <si>
    <t>Кубок Европы
Русский жим профессионалы 75 кг.
Санкт-Петербург/Санкт-Петербург 24 - 25 октября 2020 г.</t>
  </si>
  <si>
    <t>Атлетизм</t>
  </si>
  <si>
    <t>Русский жим</t>
  </si>
  <si>
    <t>ВЕСОВАЯ КАТЕГОРИЯ   All</t>
  </si>
  <si>
    <t>Киян Андрей</t>
  </si>
  <si>
    <t>1. Киян Андрей</t>
  </si>
  <si>
    <t>Открытая (17.06.1974)/46</t>
  </si>
  <si>
    <t>93,50</t>
  </si>
  <si>
    <t xml:space="preserve">Воронеж/Воронежская область </t>
  </si>
  <si>
    <t xml:space="preserve">Голованов Александр </t>
  </si>
  <si>
    <t>Мастера 45 - 49 (17.06.1974)/46</t>
  </si>
  <si>
    <t xml:space="preserve">Атлетизм </t>
  </si>
  <si>
    <t>All</t>
  </si>
  <si>
    <t>7500,0</t>
  </si>
  <si>
    <t>80,2139</t>
  </si>
  <si>
    <t>Кубок Европы
Русский жим любители 55 кг.
Санкт-Петербург/Санкт-Петербург 24 - 25 октября 2020 г.</t>
  </si>
  <si>
    <t>48,0</t>
  </si>
  <si>
    <t>2640,0</t>
  </si>
  <si>
    <t>29,4807</t>
  </si>
  <si>
    <t>Кубок Европы
«Русская рулетка»
Санкт-Петербург/Санкт-Петербург 24 - 25 октября 2020 г.</t>
  </si>
  <si>
    <t>Gloss</t>
  </si>
  <si>
    <t>Тяга</t>
  </si>
  <si>
    <t>ВЕСОВАЯ КАТЕГОРИЯ   80</t>
  </si>
  <si>
    <t>Дехканбаев Саттаркул</t>
  </si>
  <si>
    <t>1. Дехканбаев Саттаркул</t>
  </si>
  <si>
    <t>Мастера 40+ (14.01.1955)/65</t>
  </si>
  <si>
    <t>71,90</t>
  </si>
  <si>
    <t xml:space="preserve">Данко </t>
  </si>
  <si>
    <t>45,5</t>
  </si>
  <si>
    <t xml:space="preserve">Макаренко Константин </t>
  </si>
  <si>
    <t xml:space="preserve">Gloss </t>
  </si>
  <si>
    <t>38,7975</t>
  </si>
  <si>
    <t xml:space="preserve">Мастера 40+ </t>
  </si>
  <si>
    <t>80</t>
  </si>
  <si>
    <t>52,6103</t>
  </si>
  <si>
    <t>Кубок Европы
«Русская ось»
Санкт-Петербург/Санкт-Петербург 24 - 25 октября 2020 г.</t>
  </si>
  <si>
    <t>88,6800</t>
  </si>
  <si>
    <t>Кубок Европы
«Русский хаб»
Санкт-Петербург/Санкт-Петербург 24 - 25 октября 2020 г.</t>
  </si>
  <si>
    <t>26,0</t>
  </si>
  <si>
    <t>27,0</t>
  </si>
  <si>
    <t>14,9648</t>
  </si>
  <si>
    <t>Кубок Европы
«Русский кирпич»
Санкт-Петербург/Санкт-Петербург 24 - 25 октября 2020 г.</t>
  </si>
  <si>
    <t>Волин Максим</t>
  </si>
  <si>
    <t>1. Волин Максим</t>
  </si>
  <si>
    <t>Открытая (21.04.1987)/33</t>
  </si>
  <si>
    <t>81,70</t>
  </si>
  <si>
    <t>59,0</t>
  </si>
  <si>
    <t>64,0</t>
  </si>
  <si>
    <t>66,5</t>
  </si>
  <si>
    <t>69,0</t>
  </si>
  <si>
    <t>Маликов Александр</t>
  </si>
  <si>
    <t>1. Маликов Александр</t>
  </si>
  <si>
    <t>Открытая (21.12.1972)/47</t>
  </si>
  <si>
    <t>99,25</t>
  </si>
  <si>
    <t>76,0</t>
  </si>
  <si>
    <t>78,5</t>
  </si>
  <si>
    <t xml:space="preserve">Абаев Виктор Михайлович </t>
  </si>
  <si>
    <t>Мастера 40+ (21.12.1972)/47</t>
  </si>
  <si>
    <t>Циликов Константин</t>
  </si>
  <si>
    <t>1. Циликов Константин</t>
  </si>
  <si>
    <t>Открытая (12.10.1995)/25</t>
  </si>
  <si>
    <t>107,90</t>
  </si>
  <si>
    <t>Николаев Евгений</t>
  </si>
  <si>
    <t>2. Николаев Евгений</t>
  </si>
  <si>
    <t>Открытая (30.06.1996)/24</t>
  </si>
  <si>
    <t>45,7792</t>
  </si>
  <si>
    <t>44,7603</t>
  </si>
  <si>
    <t>36,7672</t>
  </si>
  <si>
    <t>36,6178</t>
  </si>
  <si>
    <t>49,5331</t>
  </si>
  <si>
    <t>Кубок Европы
«Эскалибур»
Санкт-Петербург/Санкт-Петербург 24 - 25 октября 2020 г.</t>
  </si>
  <si>
    <t>1. Ефимовский Владислав</t>
  </si>
  <si>
    <t>2. Волин Максим</t>
  </si>
  <si>
    <t>Плаксин Илья</t>
  </si>
  <si>
    <t>1. Плаксин Илья</t>
  </si>
  <si>
    <t>Юниоры (05.12.2002)/17</t>
  </si>
  <si>
    <t>94,90</t>
  </si>
  <si>
    <t>Боготопов Сергей</t>
  </si>
  <si>
    <t>1. Боготопов Сергей</t>
  </si>
  <si>
    <t>Открытая (24.05.1978)/42</t>
  </si>
  <si>
    <t>99,05</t>
  </si>
  <si>
    <t>Мастера 40+ (24.05.1978)/42</t>
  </si>
  <si>
    <t>2. Лаппалайнен Дмитрий</t>
  </si>
  <si>
    <t>55,0560</t>
  </si>
  <si>
    <t>75,8778</t>
  </si>
  <si>
    <t>64,4228</t>
  </si>
  <si>
    <t>48,6525</t>
  </si>
  <si>
    <t>44,9320</t>
  </si>
  <si>
    <t>44,3400</t>
  </si>
  <si>
    <t>77,3953</t>
  </si>
  <si>
    <t>Кубок Европы
Любители народный жим (1/2 вес)
Санкт-Петербург/Санкт-Петербург 24 - 25 октября 2020 г.</t>
  </si>
  <si>
    <t>Народный жим</t>
  </si>
  <si>
    <t>2700,0</t>
  </si>
  <si>
    <t>1952,1000</t>
  </si>
  <si>
    <t>Кубок Европы
Любители Военный жим многоповторный 1\2
Санкт-Петербург/Санкт-Петербург 24 - 25 октября 2020 г.</t>
  </si>
  <si>
    <t>Кубок Европы
Русский бицепс ПРО.
Санкт-Петербург/Санкт-Петербург 24 - 25 октября 2020 г.</t>
  </si>
  <si>
    <t>1. Сахипов Дамир</t>
  </si>
  <si>
    <t>Мастера 50 - 54</t>
  </si>
  <si>
    <t xml:space="preserve">Варт Класс. </t>
  </si>
  <si>
    <t>Нижневартовск. ХМАО.</t>
  </si>
  <si>
    <t>50</t>
  </si>
  <si>
    <t>36</t>
  </si>
  <si>
    <t>1800</t>
  </si>
  <si>
    <t>1. Усманов Рустам</t>
  </si>
  <si>
    <t>93,7</t>
  </si>
  <si>
    <t>35</t>
  </si>
  <si>
    <t>1750</t>
  </si>
  <si>
    <t>19</t>
  </si>
  <si>
    <t>139</t>
  </si>
  <si>
    <t>1. Завьялов Геннадий</t>
  </si>
  <si>
    <t>Завьялов Геннадий</t>
  </si>
  <si>
    <t>Коробейников Д.Ю.</t>
  </si>
  <si>
    <t>Коробейникова О.В.</t>
  </si>
  <si>
    <t>Коробейников М.Ю.</t>
  </si>
  <si>
    <t>Панова С.В.</t>
  </si>
  <si>
    <t>Иванов М.В.</t>
  </si>
  <si>
    <t>90.1756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</si>
</sst>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4" xfId="0" applyNumberFormat="1" applyFont="1" applyFill="1" applyBorder="1" applyAlignment="1">
      <alignment horizontal="left"/>
    </xf>
    <xf numFmtId="49" fontId="6" fillId="0" borderId="14" xfId="0" applyNumberFormat="1" applyFont="1" applyFill="1" applyBorder="1" applyAlignment="1">
      <alignment horizontal="center"/>
    </xf>
    <xf numFmtId="49" fontId="0" fillId="0" borderId="14" xfId="0" applyNumberFormat="1" applyFont="1" applyFill="1" applyBorder="1" applyAlignment="1">
      <alignment horizontal="center"/>
    </xf>
    <xf numFmtId="49" fontId="0" fillId="0" borderId="17" xfId="0" applyNumberFormat="1" applyFont="1" applyFill="1" applyBorder="1" applyAlignment="1">
      <alignment horizontal="left"/>
    </xf>
    <xf numFmtId="49" fontId="0" fillId="0" borderId="18" xfId="0" applyNumberFormat="1" applyFont="1" applyFill="1" applyBorder="1" applyAlignment="1">
      <alignment horizontal="left"/>
    </xf>
    <xf numFmtId="49" fontId="0" fillId="0" borderId="19" xfId="0" applyNumberFormat="1" applyFont="1" applyFill="1" applyBorder="1" applyAlignment="1">
      <alignment horizontal="left"/>
    </xf>
    <xf numFmtId="49" fontId="6" fillId="0" borderId="19" xfId="0" applyNumberFormat="1" applyFont="1" applyFill="1" applyBorder="1" applyAlignment="1">
      <alignment horizontal="center"/>
    </xf>
    <xf numFmtId="49" fontId="0" fillId="0" borderId="19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left"/>
    </xf>
    <xf numFmtId="49" fontId="6" fillId="0" borderId="8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49" fontId="1" fillId="0" borderId="14" xfId="0" applyNumberFormat="1" applyFont="1" applyFill="1" applyBorder="1" applyAlignment="1">
      <alignment horizontal="left"/>
    </xf>
    <xf numFmtId="49" fontId="1" fillId="0" borderId="14" xfId="0" applyNumberFormat="1" applyFont="1" applyFill="1" applyBorder="1" applyAlignment="1">
      <alignment horizontal="center"/>
    </xf>
    <xf numFmtId="49" fontId="1" fillId="0" borderId="19" xfId="0" applyNumberFormat="1" applyFont="1" applyFill="1" applyBorder="1" applyAlignment="1">
      <alignment horizontal="left"/>
    </xf>
    <xf numFmtId="49" fontId="1" fillId="0" borderId="19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left"/>
    </xf>
    <xf numFmtId="49" fontId="1" fillId="0" borderId="8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2" fillId="0" borderId="14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left"/>
    </xf>
    <xf numFmtId="49" fontId="0" fillId="0" borderId="21" xfId="0" applyNumberFormat="1" applyFont="1" applyFill="1" applyBorder="1" applyAlignment="1">
      <alignment horizontal="left"/>
    </xf>
    <xf numFmtId="49" fontId="6" fillId="0" borderId="21" xfId="0" applyNumberFormat="1" applyFont="1" applyFill="1" applyBorder="1" applyAlignment="1">
      <alignment horizontal="center"/>
    </xf>
    <xf numFmtId="49" fontId="0" fillId="0" borderId="21" xfId="0" applyNumberFormat="1" applyFont="1" applyFill="1" applyBorder="1" applyAlignment="1">
      <alignment horizontal="center"/>
    </xf>
    <xf numFmtId="49" fontId="1" fillId="0" borderId="21" xfId="0" applyNumberFormat="1" applyFont="1" applyFill="1" applyBorder="1" applyAlignment="1">
      <alignment horizontal="left"/>
    </xf>
    <xf numFmtId="49" fontId="1" fillId="0" borderId="21" xfId="0" applyNumberFormat="1" applyFont="1" applyFill="1" applyBorder="1" applyAlignment="1">
      <alignment horizontal="center"/>
    </xf>
    <xf numFmtId="49" fontId="0" fillId="0" borderId="14" xfId="0" applyNumberFormat="1" applyFill="1" applyBorder="1" applyAlignment="1">
      <alignment horizontal="left"/>
    </xf>
    <xf numFmtId="49" fontId="0" fillId="0" borderId="14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left"/>
    </xf>
    <xf numFmtId="49" fontId="0" fillId="0" borderId="0" xfId="0" applyNumberFormat="1" applyFill="1" applyBorder="1" applyAlignment="1">
      <alignment horizontal="left" indent="1"/>
    </xf>
    <xf numFmtId="49" fontId="1" fillId="0" borderId="12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left"/>
    </xf>
    <xf numFmtId="49" fontId="1" fillId="0" borderId="15" xfId="0" applyNumberFormat="1" applyFont="1" applyFill="1" applyBorder="1" applyAlignment="1">
      <alignment horizontal="left"/>
    </xf>
    <xf numFmtId="49" fontId="1" fillId="0" borderId="13" xfId="0" applyNumberFormat="1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/>
    </xf>
    <xf numFmtId="49" fontId="5" fillId="0" borderId="2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C11" sqref="C11"/>
    </sheetView>
  </sheetViews>
  <sheetFormatPr defaultRowHeight="12.75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32.28515625" style="4" bestFit="1" customWidth="1"/>
    <col min="6" max="6" width="20.85546875" style="4" bestFit="1" customWidth="1"/>
    <col min="7" max="7" width="5" style="3" customWidth="1"/>
    <col min="8" max="8" width="10.42578125" style="3" customWidth="1"/>
    <col min="9" max="9" width="7.85546875" style="19" bestFit="1" customWidth="1"/>
    <col min="10" max="10" width="9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>
      <c r="A1" s="53" t="s">
        <v>676</v>
      </c>
      <c r="B1" s="54"/>
      <c r="C1" s="54"/>
      <c r="D1" s="54"/>
      <c r="E1" s="54"/>
      <c r="F1" s="54"/>
      <c r="G1" s="54"/>
      <c r="H1" s="54"/>
      <c r="I1" s="54"/>
      <c r="J1" s="54"/>
      <c r="K1" s="55"/>
    </row>
    <row r="2" spans="1:11" s="2" customFormat="1" ht="62.1" customHeight="1" thickBot="1">
      <c r="A2" s="56"/>
      <c r="B2" s="57"/>
      <c r="C2" s="57"/>
      <c r="D2" s="57"/>
      <c r="E2" s="57"/>
      <c r="F2" s="57"/>
      <c r="G2" s="57"/>
      <c r="H2" s="57"/>
      <c r="I2" s="57"/>
      <c r="J2" s="57"/>
      <c r="K2" s="58"/>
    </row>
    <row r="3" spans="1:11" s="1" customFormat="1" ht="12.75" customHeight="1">
      <c r="A3" s="59" t="s">
        <v>0</v>
      </c>
      <c r="B3" s="61" t="s">
        <v>6</v>
      </c>
      <c r="C3" s="61" t="s">
        <v>10</v>
      </c>
      <c r="D3" s="47" t="s">
        <v>450</v>
      </c>
      <c r="E3" s="47" t="s">
        <v>4</v>
      </c>
      <c r="F3" s="47" t="s">
        <v>7</v>
      </c>
      <c r="G3" s="47" t="s">
        <v>432</v>
      </c>
      <c r="H3" s="47"/>
      <c r="I3" s="47" t="s">
        <v>455</v>
      </c>
      <c r="J3" s="47" t="s">
        <v>3</v>
      </c>
      <c r="K3" s="49" t="s">
        <v>2</v>
      </c>
    </row>
    <row r="4" spans="1:11" s="1" customFormat="1" ht="21" customHeight="1" thickBot="1">
      <c r="A4" s="60"/>
      <c r="B4" s="48"/>
      <c r="C4" s="48"/>
      <c r="D4" s="48"/>
      <c r="E4" s="48"/>
      <c r="F4" s="48"/>
      <c r="G4" s="6" t="s">
        <v>8</v>
      </c>
      <c r="H4" s="6" t="s">
        <v>9</v>
      </c>
      <c r="I4" s="48"/>
      <c r="J4" s="48"/>
      <c r="K4" s="50"/>
    </row>
    <row r="5" spans="1:11" ht="15">
      <c r="A5" s="51" t="s">
        <v>25</v>
      </c>
      <c r="B5" s="52"/>
      <c r="C5" s="52"/>
      <c r="D5" s="52"/>
      <c r="E5" s="52"/>
      <c r="F5" s="52"/>
      <c r="G5" s="52"/>
      <c r="H5" s="52"/>
    </row>
    <row r="6" spans="1:11">
      <c r="A6" s="7" t="s">
        <v>34</v>
      </c>
      <c r="B6" s="7" t="s">
        <v>35</v>
      </c>
      <c r="C6" s="7" t="s">
        <v>36</v>
      </c>
      <c r="D6" s="7" t="str">
        <f>"0,7230"</f>
        <v>0,7230</v>
      </c>
      <c r="E6" s="7" t="s">
        <v>37</v>
      </c>
      <c r="F6" s="7" t="s">
        <v>38</v>
      </c>
      <c r="G6" s="9" t="s">
        <v>487</v>
      </c>
      <c r="H6" s="9" t="s">
        <v>139</v>
      </c>
      <c r="I6" s="20" t="str">
        <f>"2700,0"</f>
        <v>2700,0</v>
      </c>
      <c r="J6" s="21" t="str">
        <f>"1952,1000"</f>
        <v>1952,1000</v>
      </c>
      <c r="K6" s="7" t="s">
        <v>24</v>
      </c>
    </row>
    <row r="8" spans="1:11" ht="15">
      <c r="E8" s="18" t="s">
        <v>63</v>
      </c>
      <c r="F8" s="40" t="s">
        <v>693</v>
      </c>
    </row>
    <row r="9" spans="1:11" ht="15">
      <c r="E9" s="18" t="s">
        <v>64</v>
      </c>
      <c r="F9" s="40" t="s">
        <v>694</v>
      </c>
    </row>
    <row r="10" spans="1:11" ht="15">
      <c r="E10" s="18" t="s">
        <v>65</v>
      </c>
      <c r="F10" s="40" t="s">
        <v>695</v>
      </c>
    </row>
    <row r="11" spans="1:11" ht="15">
      <c r="E11" s="18" t="s">
        <v>66</v>
      </c>
      <c r="F11" s="40" t="s">
        <v>696</v>
      </c>
    </row>
    <row r="12" spans="1:11" ht="15">
      <c r="E12" s="18" t="s">
        <v>66</v>
      </c>
      <c r="F12" s="40" t="s">
        <v>697</v>
      </c>
    </row>
    <row r="13" spans="1:11" ht="15">
      <c r="E13" s="18"/>
    </row>
    <row r="14" spans="1:11" ht="15">
      <c r="E14" s="18"/>
    </row>
    <row r="16" spans="1:11" ht="18">
      <c r="A16" s="26" t="s">
        <v>67</v>
      </c>
      <c r="B16" s="26"/>
    </row>
    <row r="17" spans="1:5" ht="15">
      <c r="A17" s="27" t="s">
        <v>68</v>
      </c>
      <c r="B17" s="27"/>
    </row>
    <row r="18" spans="1:5" ht="14.25">
      <c r="A18" s="29"/>
      <c r="B18" s="30" t="s">
        <v>80</v>
      </c>
    </row>
    <row r="19" spans="1:5" ht="15">
      <c r="A19" s="31" t="s">
        <v>70</v>
      </c>
      <c r="B19" s="31" t="s">
        <v>71</v>
      </c>
      <c r="C19" s="31" t="s">
        <v>72</v>
      </c>
      <c r="D19" s="31" t="s">
        <v>74</v>
      </c>
      <c r="E19" s="31" t="s">
        <v>452</v>
      </c>
    </row>
    <row r="20" spans="1:5">
      <c r="A20" s="28" t="s">
        <v>33</v>
      </c>
      <c r="B20" s="4" t="s">
        <v>81</v>
      </c>
      <c r="C20" s="4" t="s">
        <v>82</v>
      </c>
      <c r="D20" s="4" t="s">
        <v>674</v>
      </c>
      <c r="E20" s="19" t="s">
        <v>675</v>
      </c>
    </row>
  </sheetData>
  <mergeCells count="12"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  <mergeCell ref="A5:H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33"/>
  <sheetViews>
    <sheetView workbookViewId="0">
      <selection activeCell="E13" sqref="E13"/>
    </sheetView>
  </sheetViews>
  <sheetFormatPr defaultRowHeight="12.75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9.28515625" style="4" bestFit="1" customWidth="1"/>
    <col min="5" max="5" width="32.28515625" style="4" bestFit="1" customWidth="1"/>
    <col min="6" max="6" width="34.5703125" style="4" bestFit="1" customWidth="1"/>
    <col min="7" max="10" width="5.5703125" style="3" customWidth="1"/>
    <col min="11" max="13" width="4.5703125" style="3" customWidth="1"/>
    <col min="14" max="14" width="5.5703125" style="3" customWidth="1"/>
    <col min="15" max="15" width="7.85546875" style="19" bestFit="1" customWidth="1"/>
    <col min="16" max="16" width="8.5703125" style="2" bestFit="1" customWidth="1"/>
    <col min="17" max="17" width="16.85546875" style="4" bestFit="1" customWidth="1"/>
    <col min="18" max="16384" width="9.140625" style="3"/>
  </cols>
  <sheetData>
    <row r="1" spans="1:17" s="2" customFormat="1" ht="29.1" customHeight="1">
      <c r="A1" s="53" t="s">
        <v>565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5"/>
    </row>
    <row r="2" spans="1:17" s="2" customFormat="1" ht="62.1" customHeight="1" thickBot="1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8"/>
    </row>
    <row r="3" spans="1:17" s="1" customFormat="1" ht="12.75" customHeight="1">
      <c r="A3" s="59" t="s">
        <v>0</v>
      </c>
      <c r="B3" s="61" t="s">
        <v>6</v>
      </c>
      <c r="C3" s="61" t="s">
        <v>10</v>
      </c>
      <c r="D3" s="47" t="s">
        <v>12</v>
      </c>
      <c r="E3" s="47" t="s">
        <v>4</v>
      </c>
      <c r="F3" s="47" t="s">
        <v>7</v>
      </c>
      <c r="G3" s="47" t="s">
        <v>457</v>
      </c>
      <c r="H3" s="47"/>
      <c r="I3" s="47"/>
      <c r="J3" s="47"/>
      <c r="K3" s="47" t="s">
        <v>479</v>
      </c>
      <c r="L3" s="47"/>
      <c r="M3" s="47"/>
      <c r="N3" s="47"/>
      <c r="O3" s="47" t="s">
        <v>1</v>
      </c>
      <c r="P3" s="47" t="s">
        <v>3</v>
      </c>
      <c r="Q3" s="49" t="s">
        <v>2</v>
      </c>
    </row>
    <row r="4" spans="1:17" s="1" customFormat="1" ht="21" customHeight="1" thickBot="1">
      <c r="A4" s="60"/>
      <c r="B4" s="48"/>
      <c r="C4" s="48"/>
      <c r="D4" s="48"/>
      <c r="E4" s="48"/>
      <c r="F4" s="48"/>
      <c r="G4" s="6">
        <v>1</v>
      </c>
      <c r="H4" s="6">
        <v>2</v>
      </c>
      <c r="I4" s="6">
        <v>3</v>
      </c>
      <c r="J4" s="6" t="s">
        <v>5</v>
      </c>
      <c r="K4" s="6">
        <v>1</v>
      </c>
      <c r="L4" s="6">
        <v>2</v>
      </c>
      <c r="M4" s="6">
        <v>3</v>
      </c>
      <c r="N4" s="6" t="s">
        <v>5</v>
      </c>
      <c r="O4" s="48"/>
      <c r="P4" s="48"/>
      <c r="Q4" s="50"/>
    </row>
    <row r="5" spans="1:17" ht="15">
      <c r="A5" s="51" t="s">
        <v>14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7">
      <c r="A6" s="7" t="s">
        <v>519</v>
      </c>
      <c r="B6" s="7" t="s">
        <v>520</v>
      </c>
      <c r="C6" s="7" t="s">
        <v>521</v>
      </c>
      <c r="D6" s="7" t="str">
        <f>"0,6666"</f>
        <v>0,6666</v>
      </c>
      <c r="E6" s="7" t="s">
        <v>37</v>
      </c>
      <c r="F6" s="7" t="s">
        <v>475</v>
      </c>
      <c r="G6" s="8" t="s">
        <v>130</v>
      </c>
      <c r="H6" s="8" t="s">
        <v>130</v>
      </c>
      <c r="I6" s="9" t="s">
        <v>130</v>
      </c>
      <c r="J6" s="8"/>
      <c r="K6" s="9" t="s">
        <v>486</v>
      </c>
      <c r="L6" s="9" t="s">
        <v>140</v>
      </c>
      <c r="M6" s="8" t="s">
        <v>132</v>
      </c>
      <c r="N6" s="8"/>
      <c r="O6" s="20" t="str">
        <f>"135,0"</f>
        <v>135,0</v>
      </c>
      <c r="P6" s="21" t="str">
        <f>"89,9910"</f>
        <v>89,9910</v>
      </c>
      <c r="Q6" s="7" t="s">
        <v>24</v>
      </c>
    </row>
    <row r="8" spans="1:17" ht="15">
      <c r="A8" s="62" t="s">
        <v>25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</row>
    <row r="9" spans="1:17">
      <c r="A9" s="7" t="s">
        <v>567</v>
      </c>
      <c r="B9" s="7" t="s">
        <v>568</v>
      </c>
      <c r="C9" s="7" t="s">
        <v>569</v>
      </c>
      <c r="D9" s="7" t="str">
        <f>"0,5932"</f>
        <v>0,5932</v>
      </c>
      <c r="E9" s="7" t="s">
        <v>290</v>
      </c>
      <c r="F9" s="7" t="s">
        <v>291</v>
      </c>
      <c r="G9" s="8" t="s">
        <v>570</v>
      </c>
      <c r="H9" s="9" t="s">
        <v>570</v>
      </c>
      <c r="I9" s="9" t="s">
        <v>39</v>
      </c>
      <c r="J9" s="8" t="s">
        <v>32</v>
      </c>
      <c r="K9" s="9" t="s">
        <v>377</v>
      </c>
      <c r="L9" s="9" t="s">
        <v>493</v>
      </c>
      <c r="M9" s="9" t="s">
        <v>147</v>
      </c>
      <c r="N9" s="8"/>
      <c r="O9" s="20" t="str">
        <f>"190,0"</f>
        <v>190,0</v>
      </c>
      <c r="P9" s="21" t="str">
        <f>"120,4950"</f>
        <v>120,4950</v>
      </c>
      <c r="Q9" s="7" t="s">
        <v>24</v>
      </c>
    </row>
    <row r="11" spans="1:17" ht="15">
      <c r="A11" s="62" t="s">
        <v>40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</row>
    <row r="12" spans="1:17">
      <c r="A12" s="12" t="s">
        <v>572</v>
      </c>
      <c r="B12" s="12" t="s">
        <v>573</v>
      </c>
      <c r="C12" s="12" t="s">
        <v>574</v>
      </c>
      <c r="D12" s="12" t="str">
        <f>"0,5590"</f>
        <v>0,5590</v>
      </c>
      <c r="E12" s="12" t="s">
        <v>30</v>
      </c>
      <c r="F12" s="12" t="s">
        <v>575</v>
      </c>
      <c r="G12" s="13" t="s">
        <v>411</v>
      </c>
      <c r="H12" s="14" t="s">
        <v>411</v>
      </c>
      <c r="I12" s="13" t="s">
        <v>576</v>
      </c>
      <c r="J12" s="13"/>
      <c r="K12" s="14" t="s">
        <v>249</v>
      </c>
      <c r="L12" s="14" t="s">
        <v>243</v>
      </c>
      <c r="M12" s="14" t="s">
        <v>121</v>
      </c>
      <c r="N12" s="13" t="s">
        <v>122</v>
      </c>
      <c r="O12" s="22" t="str">
        <f>"235,0"</f>
        <v>235,0</v>
      </c>
      <c r="P12" s="23" t="str">
        <f>"131,3650"</f>
        <v>131,3650</v>
      </c>
      <c r="Q12" s="12" t="s">
        <v>24</v>
      </c>
    </row>
    <row r="13" spans="1:17">
      <c r="A13" s="15" t="s">
        <v>471</v>
      </c>
      <c r="B13" s="15" t="s">
        <v>472</v>
      </c>
      <c r="C13" s="15" t="s">
        <v>473</v>
      </c>
      <c r="D13" s="15" t="str">
        <f>"0,5689"</f>
        <v>0,5689</v>
      </c>
      <c r="E13" s="15" t="s">
        <v>474</v>
      </c>
      <c r="F13" s="15" t="s">
        <v>475</v>
      </c>
      <c r="G13" s="17" t="s">
        <v>147</v>
      </c>
      <c r="H13" s="17" t="s">
        <v>243</v>
      </c>
      <c r="I13" s="16" t="s">
        <v>121</v>
      </c>
      <c r="J13" s="16"/>
      <c r="K13" s="17" t="s">
        <v>130</v>
      </c>
      <c r="L13" s="17" t="s">
        <v>140</v>
      </c>
      <c r="M13" s="17" t="s">
        <v>377</v>
      </c>
      <c r="N13" s="16"/>
      <c r="O13" s="24" t="str">
        <f>"165,0"</f>
        <v>165,0</v>
      </c>
      <c r="P13" s="25" t="str">
        <f>"100,3542"</f>
        <v>100,3542</v>
      </c>
      <c r="Q13" s="15" t="s">
        <v>476</v>
      </c>
    </row>
    <row r="15" spans="1:17" ht="15">
      <c r="E15" s="18" t="s">
        <v>63</v>
      </c>
      <c r="F15" s="40" t="s">
        <v>693</v>
      </c>
    </row>
    <row r="16" spans="1:17" ht="15">
      <c r="E16" s="18" t="s">
        <v>64</v>
      </c>
      <c r="F16" s="40" t="s">
        <v>694</v>
      </c>
    </row>
    <row r="17" spans="1:6" ht="15">
      <c r="E17" s="18" t="s">
        <v>65</v>
      </c>
      <c r="F17" s="40" t="s">
        <v>695</v>
      </c>
    </row>
    <row r="18" spans="1:6" ht="15">
      <c r="E18" s="18" t="s">
        <v>66</v>
      </c>
      <c r="F18" s="40" t="s">
        <v>696</v>
      </c>
    </row>
    <row r="19" spans="1:6" ht="15">
      <c r="E19" s="18" t="s">
        <v>66</v>
      </c>
      <c r="F19" s="40" t="s">
        <v>697</v>
      </c>
    </row>
    <row r="20" spans="1:6" ht="15">
      <c r="E20" s="18"/>
    </row>
    <row r="21" spans="1:6" ht="15">
      <c r="E21" s="18"/>
    </row>
    <row r="23" spans="1:6" ht="18">
      <c r="A23" s="26" t="s">
        <v>67</v>
      </c>
      <c r="B23" s="26"/>
    </row>
    <row r="24" spans="1:6" ht="15">
      <c r="A24" s="27" t="s">
        <v>68</v>
      </c>
      <c r="B24" s="27"/>
    </row>
    <row r="25" spans="1:6" ht="14.25">
      <c r="A25" s="29"/>
      <c r="B25" s="30" t="s">
        <v>69</v>
      </c>
    </row>
    <row r="26" spans="1:6" ht="15">
      <c r="A26" s="31" t="s">
        <v>70</v>
      </c>
      <c r="B26" s="31" t="s">
        <v>71</v>
      </c>
      <c r="C26" s="31" t="s">
        <v>72</v>
      </c>
      <c r="D26" s="31" t="s">
        <v>73</v>
      </c>
      <c r="E26" s="31" t="s">
        <v>75</v>
      </c>
    </row>
    <row r="27" spans="1:6">
      <c r="A27" s="28" t="s">
        <v>571</v>
      </c>
      <c r="B27" s="4" t="s">
        <v>69</v>
      </c>
      <c r="C27" s="4" t="s">
        <v>78</v>
      </c>
      <c r="D27" s="4" t="s">
        <v>577</v>
      </c>
      <c r="E27" s="19" t="s">
        <v>578</v>
      </c>
    </row>
    <row r="28" spans="1:6">
      <c r="A28" s="28" t="s">
        <v>518</v>
      </c>
      <c r="B28" s="4" t="s">
        <v>69</v>
      </c>
      <c r="C28" s="4" t="s">
        <v>89</v>
      </c>
      <c r="D28" s="4" t="s">
        <v>155</v>
      </c>
      <c r="E28" s="19" t="s">
        <v>579</v>
      </c>
    </row>
    <row r="30" spans="1:6" ht="14.25">
      <c r="A30" s="29"/>
      <c r="B30" s="30" t="s">
        <v>80</v>
      </c>
    </row>
    <row r="31" spans="1:6" ht="15">
      <c r="A31" s="31" t="s">
        <v>70</v>
      </c>
      <c r="B31" s="31" t="s">
        <v>71</v>
      </c>
      <c r="C31" s="31" t="s">
        <v>72</v>
      </c>
      <c r="D31" s="31" t="s">
        <v>73</v>
      </c>
      <c r="E31" s="31" t="s">
        <v>75</v>
      </c>
    </row>
    <row r="32" spans="1:6">
      <c r="A32" s="28" t="s">
        <v>566</v>
      </c>
      <c r="B32" s="4" t="s">
        <v>215</v>
      </c>
      <c r="C32" s="4" t="s">
        <v>82</v>
      </c>
      <c r="D32" s="4" t="s">
        <v>62</v>
      </c>
      <c r="E32" s="19" t="s">
        <v>580</v>
      </c>
    </row>
    <row r="33" spans="1:5">
      <c r="A33" s="28" t="s">
        <v>470</v>
      </c>
      <c r="B33" s="4" t="s">
        <v>215</v>
      </c>
      <c r="C33" s="4" t="s">
        <v>78</v>
      </c>
      <c r="D33" s="4" t="s">
        <v>183</v>
      </c>
      <c r="E33" s="19" t="s">
        <v>581</v>
      </c>
    </row>
  </sheetData>
  <mergeCells count="15">
    <mergeCell ref="A1:Q2"/>
    <mergeCell ref="A3:A4"/>
    <mergeCell ref="B3:B4"/>
    <mergeCell ref="C3:C4"/>
    <mergeCell ref="D3:D4"/>
    <mergeCell ref="E3:E4"/>
    <mergeCell ref="F3:F4"/>
    <mergeCell ref="G3:J3"/>
    <mergeCell ref="K3:N3"/>
    <mergeCell ref="A8:N8"/>
    <mergeCell ref="A11:N11"/>
    <mergeCell ref="O3:O4"/>
    <mergeCell ref="P3:P4"/>
    <mergeCell ref="Q3:Q4"/>
    <mergeCell ref="A5:N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Q48"/>
  <sheetViews>
    <sheetView topLeftCell="A7" workbookViewId="0">
      <selection activeCell="W10" sqref="W10"/>
    </sheetView>
  </sheetViews>
  <sheetFormatPr defaultRowHeight="12.75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30.5703125" style="4" bestFit="1" customWidth="1"/>
    <col min="7" max="7" width="4.5703125" style="3" customWidth="1"/>
    <col min="8" max="10" width="5.5703125" style="3" customWidth="1"/>
    <col min="11" max="13" width="4.5703125" style="3" customWidth="1"/>
    <col min="14" max="14" width="4.85546875" style="3" customWidth="1"/>
    <col min="15" max="15" width="7.85546875" style="19" bestFit="1" customWidth="1"/>
    <col min="16" max="16" width="8.5703125" style="2" bestFit="1" customWidth="1"/>
    <col min="17" max="17" width="22.28515625" style="4" bestFit="1" customWidth="1"/>
    <col min="18" max="16384" width="9.140625" style="3"/>
  </cols>
  <sheetData>
    <row r="1" spans="1:17" s="2" customFormat="1" ht="29.1" customHeight="1">
      <c r="A1" s="53" t="s">
        <v>530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5"/>
    </row>
    <row r="2" spans="1:17" s="2" customFormat="1" ht="62.1" customHeight="1" thickBot="1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8"/>
    </row>
    <row r="3" spans="1:17" s="1" customFormat="1" ht="12.75" customHeight="1">
      <c r="A3" s="59" t="s">
        <v>0</v>
      </c>
      <c r="B3" s="61" t="s">
        <v>6</v>
      </c>
      <c r="C3" s="61" t="s">
        <v>10</v>
      </c>
      <c r="D3" s="47" t="s">
        <v>12</v>
      </c>
      <c r="E3" s="47" t="s">
        <v>4</v>
      </c>
      <c r="F3" s="47" t="s">
        <v>7</v>
      </c>
      <c r="G3" s="47" t="s">
        <v>457</v>
      </c>
      <c r="H3" s="47"/>
      <c r="I3" s="47"/>
      <c r="J3" s="47"/>
      <c r="K3" s="47" t="s">
        <v>479</v>
      </c>
      <c r="L3" s="47"/>
      <c r="M3" s="47"/>
      <c r="N3" s="47"/>
      <c r="O3" s="47" t="s">
        <v>1</v>
      </c>
      <c r="P3" s="47" t="s">
        <v>3</v>
      </c>
      <c r="Q3" s="49" t="s">
        <v>2</v>
      </c>
    </row>
    <row r="4" spans="1:17" s="1" customFormat="1" ht="21" customHeight="1" thickBot="1">
      <c r="A4" s="60"/>
      <c r="B4" s="48"/>
      <c r="C4" s="48"/>
      <c r="D4" s="48"/>
      <c r="E4" s="48"/>
      <c r="F4" s="48"/>
      <c r="G4" s="6">
        <v>1</v>
      </c>
      <c r="H4" s="6">
        <v>2</v>
      </c>
      <c r="I4" s="6">
        <v>3</v>
      </c>
      <c r="J4" s="6" t="s">
        <v>5</v>
      </c>
      <c r="K4" s="6">
        <v>1</v>
      </c>
      <c r="L4" s="6">
        <v>2</v>
      </c>
      <c r="M4" s="6">
        <v>3</v>
      </c>
      <c r="N4" s="6" t="s">
        <v>5</v>
      </c>
      <c r="O4" s="48"/>
      <c r="P4" s="48"/>
      <c r="Q4" s="50"/>
    </row>
    <row r="5" spans="1:17" ht="15">
      <c r="A5" s="51" t="s">
        <v>134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7">
      <c r="A6" s="7" t="s">
        <v>532</v>
      </c>
      <c r="B6" s="7" t="s">
        <v>533</v>
      </c>
      <c r="C6" s="7" t="s">
        <v>534</v>
      </c>
      <c r="D6" s="7" t="str">
        <f>"1,0140"</f>
        <v>1,0140</v>
      </c>
      <c r="E6" s="7" t="s">
        <v>290</v>
      </c>
      <c r="F6" s="7" t="s">
        <v>291</v>
      </c>
      <c r="G6" s="9" t="s">
        <v>535</v>
      </c>
      <c r="H6" s="8" t="s">
        <v>536</v>
      </c>
      <c r="I6" s="8" t="s">
        <v>536</v>
      </c>
      <c r="J6" s="8"/>
      <c r="K6" s="9" t="s">
        <v>537</v>
      </c>
      <c r="L6" s="9" t="s">
        <v>538</v>
      </c>
      <c r="M6" s="8" t="s">
        <v>539</v>
      </c>
      <c r="N6" s="8"/>
      <c r="O6" s="20" t="str">
        <f>"52,5"</f>
        <v>52,5</v>
      </c>
      <c r="P6" s="21" t="str">
        <f>"53,2350"</f>
        <v>53,2350</v>
      </c>
      <c r="Q6" s="7" t="s">
        <v>540</v>
      </c>
    </row>
    <row r="8" spans="1:17" ht="15">
      <c r="A8" s="62" t="s">
        <v>14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</row>
    <row r="9" spans="1:17">
      <c r="A9" s="12" t="s">
        <v>459</v>
      </c>
      <c r="B9" s="12" t="s">
        <v>460</v>
      </c>
      <c r="C9" s="12" t="s">
        <v>461</v>
      </c>
      <c r="D9" s="12" t="str">
        <f>"0,6723"</f>
        <v>0,6723</v>
      </c>
      <c r="E9" s="12" t="s">
        <v>98</v>
      </c>
      <c r="F9" s="12" t="s">
        <v>20</v>
      </c>
      <c r="G9" s="14" t="s">
        <v>243</v>
      </c>
      <c r="H9" s="14" t="s">
        <v>121</v>
      </c>
      <c r="I9" s="14" t="s">
        <v>462</v>
      </c>
      <c r="J9" s="14" t="s">
        <v>122</v>
      </c>
      <c r="K9" s="14" t="s">
        <v>130</v>
      </c>
      <c r="L9" s="14" t="s">
        <v>140</v>
      </c>
      <c r="M9" s="14" t="s">
        <v>377</v>
      </c>
      <c r="N9" s="14" t="s">
        <v>132</v>
      </c>
      <c r="O9" s="42" t="str">
        <f>"172,5"</f>
        <v>172,5</v>
      </c>
      <c r="P9" s="45" t="str">
        <f>"115,9717"</f>
        <v>115,9717</v>
      </c>
      <c r="Q9" s="10" t="s">
        <v>24</v>
      </c>
    </row>
    <row r="10" spans="1:17">
      <c r="A10" s="33" t="s">
        <v>481</v>
      </c>
      <c r="B10" s="33" t="s">
        <v>482</v>
      </c>
      <c r="C10" s="33" t="s">
        <v>483</v>
      </c>
      <c r="D10" s="33" t="str">
        <f>"0,6737"</f>
        <v>0,6737</v>
      </c>
      <c r="E10" s="33" t="s">
        <v>30</v>
      </c>
      <c r="F10" s="33" t="s">
        <v>20</v>
      </c>
      <c r="G10" s="35" t="s">
        <v>130</v>
      </c>
      <c r="H10" s="34" t="s">
        <v>541</v>
      </c>
      <c r="I10" s="34" t="s">
        <v>541</v>
      </c>
      <c r="J10" s="34"/>
      <c r="K10" s="35" t="s">
        <v>139</v>
      </c>
      <c r="L10" s="35" t="s">
        <v>130</v>
      </c>
      <c r="M10" s="35" t="s">
        <v>140</v>
      </c>
      <c r="N10" s="34" t="s">
        <v>484</v>
      </c>
      <c r="O10" s="43" t="str">
        <f>"135,0"</f>
        <v>135,0</v>
      </c>
      <c r="P10" s="2" t="str">
        <f>"90,9495"</f>
        <v>90,9495</v>
      </c>
      <c r="Q10" s="32" t="s">
        <v>485</v>
      </c>
    </row>
    <row r="11" spans="1:17">
      <c r="A11" s="33" t="s">
        <v>543</v>
      </c>
      <c r="B11" s="33" t="s">
        <v>544</v>
      </c>
      <c r="C11" s="33" t="s">
        <v>545</v>
      </c>
      <c r="D11" s="33" t="str">
        <f>"0,6863"</f>
        <v>0,6863</v>
      </c>
      <c r="E11" s="33" t="s">
        <v>290</v>
      </c>
      <c r="F11" s="33" t="s">
        <v>291</v>
      </c>
      <c r="G11" s="35" t="s">
        <v>130</v>
      </c>
      <c r="H11" s="35" t="s">
        <v>541</v>
      </c>
      <c r="I11" s="35" t="s">
        <v>140</v>
      </c>
      <c r="J11" s="34"/>
      <c r="K11" s="35" t="s">
        <v>546</v>
      </c>
      <c r="L11" s="35" t="s">
        <v>487</v>
      </c>
      <c r="M11" s="35" t="s">
        <v>113</v>
      </c>
      <c r="N11" s="34"/>
      <c r="O11" s="43" t="str">
        <f>"120,0"</f>
        <v>120,0</v>
      </c>
      <c r="P11" s="2" t="str">
        <f>"82,3560"</f>
        <v>82,3560</v>
      </c>
      <c r="Q11" s="32" t="s">
        <v>540</v>
      </c>
    </row>
    <row r="12" spans="1:17">
      <c r="A12" s="15" t="s">
        <v>464</v>
      </c>
      <c r="B12" s="15" t="s">
        <v>465</v>
      </c>
      <c r="C12" s="15" t="s">
        <v>161</v>
      </c>
      <c r="D12" s="15" t="str">
        <f>"0,6741"</f>
        <v>0,6741</v>
      </c>
      <c r="E12" s="15" t="s">
        <v>30</v>
      </c>
      <c r="F12" s="15" t="s">
        <v>20</v>
      </c>
      <c r="G12" s="16" t="s">
        <v>130</v>
      </c>
      <c r="H12" s="17" t="s">
        <v>130</v>
      </c>
      <c r="I12" s="17" t="s">
        <v>140</v>
      </c>
      <c r="J12" s="16"/>
      <c r="K12" s="17" t="s">
        <v>115</v>
      </c>
      <c r="L12" s="17" t="s">
        <v>139</v>
      </c>
      <c r="M12" s="17" t="s">
        <v>486</v>
      </c>
      <c r="N12" s="16"/>
      <c r="O12" s="44" t="s">
        <v>163</v>
      </c>
      <c r="P12" s="46" t="s">
        <v>698</v>
      </c>
      <c r="Q12" s="11" t="s">
        <v>24</v>
      </c>
    </row>
    <row r="14" spans="1:17" ht="15">
      <c r="A14" s="62" t="s">
        <v>25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</row>
    <row r="15" spans="1:17">
      <c r="A15" s="12" t="s">
        <v>165</v>
      </c>
      <c r="B15" s="12" t="s">
        <v>166</v>
      </c>
      <c r="C15" s="12" t="s">
        <v>167</v>
      </c>
      <c r="D15" s="12" t="str">
        <f>"0,5867"</f>
        <v>0,5867</v>
      </c>
      <c r="E15" s="12" t="s">
        <v>30</v>
      </c>
      <c r="F15" s="12" t="s">
        <v>31</v>
      </c>
      <c r="G15" s="14" t="s">
        <v>243</v>
      </c>
      <c r="H15" s="14" t="s">
        <v>122</v>
      </c>
      <c r="I15" s="13" t="s">
        <v>39</v>
      </c>
      <c r="J15" s="13"/>
      <c r="K15" s="14" t="s">
        <v>377</v>
      </c>
      <c r="L15" s="14" t="s">
        <v>493</v>
      </c>
      <c r="M15" s="14" t="s">
        <v>147</v>
      </c>
      <c r="N15" s="13"/>
      <c r="O15" s="22" t="str">
        <f>"185,0"</f>
        <v>185,0</v>
      </c>
      <c r="P15" s="23" t="str">
        <f>"108,5395"</f>
        <v>108,5395</v>
      </c>
      <c r="Q15" s="12" t="s">
        <v>170</v>
      </c>
    </row>
    <row r="16" spans="1:17">
      <c r="A16" s="15" t="s">
        <v>548</v>
      </c>
      <c r="B16" s="15" t="s">
        <v>549</v>
      </c>
      <c r="C16" s="15" t="s">
        <v>550</v>
      </c>
      <c r="D16" s="15" t="str">
        <f>"0,5916"</f>
        <v>0,5916</v>
      </c>
      <c r="E16" s="15" t="s">
        <v>290</v>
      </c>
      <c r="F16" s="15" t="s">
        <v>291</v>
      </c>
      <c r="G16" s="17" t="s">
        <v>493</v>
      </c>
      <c r="H16" s="16" t="s">
        <v>148</v>
      </c>
      <c r="I16" s="16" t="s">
        <v>148</v>
      </c>
      <c r="J16" s="16"/>
      <c r="K16" s="17" t="s">
        <v>488</v>
      </c>
      <c r="L16" s="17" t="s">
        <v>486</v>
      </c>
      <c r="M16" s="16" t="s">
        <v>541</v>
      </c>
      <c r="N16" s="16"/>
      <c r="O16" s="24" t="str">
        <f>"145,0"</f>
        <v>145,0</v>
      </c>
      <c r="P16" s="25" t="str">
        <f>"85,7820"</f>
        <v>85,7820</v>
      </c>
      <c r="Q16" s="15" t="s">
        <v>540</v>
      </c>
    </row>
    <row r="18" spans="1:17" ht="15">
      <c r="A18" s="62" t="s">
        <v>40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</row>
    <row r="19" spans="1:17">
      <c r="A19" s="7" t="s">
        <v>552</v>
      </c>
      <c r="B19" s="7" t="s">
        <v>553</v>
      </c>
      <c r="C19" s="7" t="s">
        <v>554</v>
      </c>
      <c r="D19" s="7" t="str">
        <f>"0,5688"</f>
        <v>0,5688</v>
      </c>
      <c r="E19" s="7" t="s">
        <v>112</v>
      </c>
      <c r="F19" s="7" t="s">
        <v>20</v>
      </c>
      <c r="G19" s="9" t="s">
        <v>493</v>
      </c>
      <c r="H19" s="9" t="s">
        <v>148</v>
      </c>
      <c r="I19" s="8" t="s">
        <v>243</v>
      </c>
      <c r="J19" s="8"/>
      <c r="K19" s="9" t="s">
        <v>114</v>
      </c>
      <c r="L19" s="9" t="s">
        <v>488</v>
      </c>
      <c r="M19" s="9" t="s">
        <v>139</v>
      </c>
      <c r="N19" s="8"/>
      <c r="O19" s="20" t="str">
        <f>"147,5"</f>
        <v>147,5</v>
      </c>
      <c r="P19" s="21" t="str">
        <f>"84,1497"</f>
        <v>84,1497</v>
      </c>
      <c r="Q19" s="7" t="s">
        <v>116</v>
      </c>
    </row>
    <row r="21" spans="1:17" ht="15">
      <c r="E21" s="18" t="s">
        <v>63</v>
      </c>
      <c r="F21" s="40" t="s">
        <v>693</v>
      </c>
    </row>
    <row r="22" spans="1:17" ht="15">
      <c r="E22" s="18" t="s">
        <v>64</v>
      </c>
      <c r="F22" s="40" t="s">
        <v>694</v>
      </c>
    </row>
    <row r="23" spans="1:17" ht="15">
      <c r="E23" s="18" t="s">
        <v>65</v>
      </c>
      <c r="F23" s="40" t="s">
        <v>695</v>
      </c>
    </row>
    <row r="24" spans="1:17" ht="15">
      <c r="E24" s="18" t="s">
        <v>66</v>
      </c>
      <c r="F24" s="40" t="s">
        <v>696</v>
      </c>
    </row>
    <row r="25" spans="1:17" ht="15">
      <c r="E25" s="18" t="s">
        <v>66</v>
      </c>
      <c r="F25" s="40" t="s">
        <v>697</v>
      </c>
    </row>
    <row r="26" spans="1:17" ht="15">
      <c r="E26" s="18"/>
    </row>
    <row r="27" spans="1:17" ht="15">
      <c r="E27" s="18"/>
    </row>
    <row r="29" spans="1:17" ht="18">
      <c r="A29" s="26" t="s">
        <v>67</v>
      </c>
      <c r="B29" s="26"/>
    </row>
    <row r="30" spans="1:17" ht="15">
      <c r="A30" s="27" t="s">
        <v>211</v>
      </c>
      <c r="B30" s="27"/>
    </row>
    <row r="31" spans="1:17" ht="14.25">
      <c r="A31" s="29"/>
      <c r="B31" s="30" t="s">
        <v>69</v>
      </c>
    </row>
    <row r="32" spans="1:17" ht="15">
      <c r="A32" s="31" t="s">
        <v>70</v>
      </c>
      <c r="B32" s="31" t="s">
        <v>71</v>
      </c>
      <c r="C32" s="31" t="s">
        <v>72</v>
      </c>
      <c r="D32" s="31" t="s">
        <v>73</v>
      </c>
      <c r="E32" s="31" t="s">
        <v>75</v>
      </c>
    </row>
    <row r="33" spans="1:5">
      <c r="A33" s="28" t="s">
        <v>531</v>
      </c>
      <c r="B33" s="4" t="s">
        <v>69</v>
      </c>
      <c r="C33" s="4" t="s">
        <v>220</v>
      </c>
      <c r="D33" s="4" t="s">
        <v>114</v>
      </c>
      <c r="E33" s="19" t="s">
        <v>555</v>
      </c>
    </row>
    <row r="36" spans="1:5" ht="15">
      <c r="A36" s="27" t="s">
        <v>68</v>
      </c>
      <c r="B36" s="27"/>
    </row>
    <row r="37" spans="1:5" ht="14.25">
      <c r="A37" s="29"/>
      <c r="B37" s="30" t="s">
        <v>69</v>
      </c>
    </row>
    <row r="38" spans="1:5" ht="15">
      <c r="A38" s="31" t="s">
        <v>70</v>
      </c>
      <c r="B38" s="31" t="s">
        <v>71</v>
      </c>
      <c r="C38" s="31" t="s">
        <v>72</v>
      </c>
      <c r="D38" s="31" t="s">
        <v>73</v>
      </c>
      <c r="E38" s="31" t="s">
        <v>75</v>
      </c>
    </row>
    <row r="39" spans="1:5">
      <c r="A39" s="28" t="s">
        <v>458</v>
      </c>
      <c r="B39" s="4" t="s">
        <v>69</v>
      </c>
      <c r="C39" s="4" t="s">
        <v>89</v>
      </c>
      <c r="D39" s="4" t="s">
        <v>49</v>
      </c>
      <c r="E39" s="19" t="s">
        <v>556</v>
      </c>
    </row>
    <row r="40" spans="1:5">
      <c r="A40" s="28" t="s">
        <v>164</v>
      </c>
      <c r="B40" s="4" t="s">
        <v>69</v>
      </c>
      <c r="C40" s="4" t="s">
        <v>82</v>
      </c>
      <c r="D40" s="4" t="s">
        <v>168</v>
      </c>
      <c r="E40" s="19" t="s">
        <v>557</v>
      </c>
    </row>
    <row r="41" spans="1:5">
      <c r="A41" s="28" t="s">
        <v>480</v>
      </c>
      <c r="B41" s="4" t="s">
        <v>69</v>
      </c>
      <c r="C41" s="4" t="s">
        <v>89</v>
      </c>
      <c r="D41" s="4" t="s">
        <v>155</v>
      </c>
      <c r="E41" s="19" t="s">
        <v>558</v>
      </c>
    </row>
    <row r="42" spans="1:5">
      <c r="A42" s="28" t="s">
        <v>547</v>
      </c>
      <c r="B42" s="4" t="s">
        <v>69</v>
      </c>
      <c r="C42" s="4" t="s">
        <v>82</v>
      </c>
      <c r="D42" s="4" t="s">
        <v>406</v>
      </c>
      <c r="E42" s="19" t="s">
        <v>559</v>
      </c>
    </row>
    <row r="43" spans="1:5">
      <c r="A43" s="28" t="s">
        <v>542</v>
      </c>
      <c r="B43" s="4" t="s">
        <v>69</v>
      </c>
      <c r="C43" s="4" t="s">
        <v>89</v>
      </c>
      <c r="D43" s="4" t="s">
        <v>23</v>
      </c>
      <c r="E43" s="19" t="s">
        <v>560</v>
      </c>
    </row>
    <row r="45" spans="1:5" ht="14.25">
      <c r="A45" s="29"/>
      <c r="B45" s="30" t="s">
        <v>80</v>
      </c>
    </row>
    <row r="46" spans="1:5" ht="15">
      <c r="A46" s="31" t="s">
        <v>70</v>
      </c>
      <c r="B46" s="31" t="s">
        <v>71</v>
      </c>
      <c r="C46" s="31" t="s">
        <v>72</v>
      </c>
      <c r="D46" s="31" t="s">
        <v>73</v>
      </c>
      <c r="E46" s="31" t="s">
        <v>75</v>
      </c>
    </row>
    <row r="47" spans="1:5">
      <c r="A47" s="28" t="s">
        <v>463</v>
      </c>
      <c r="B47" s="4" t="s">
        <v>105</v>
      </c>
      <c r="C47" s="4" t="s">
        <v>89</v>
      </c>
      <c r="D47" s="4" t="s">
        <v>561</v>
      </c>
      <c r="E47" s="19" t="s">
        <v>562</v>
      </c>
    </row>
    <row r="48" spans="1:5">
      <c r="A48" s="28" t="s">
        <v>551</v>
      </c>
      <c r="B48" s="4" t="s">
        <v>105</v>
      </c>
      <c r="C48" s="4" t="s">
        <v>78</v>
      </c>
      <c r="D48" s="4" t="s">
        <v>563</v>
      </c>
      <c r="E48" s="19" t="s">
        <v>564</v>
      </c>
    </row>
  </sheetData>
  <mergeCells count="16">
    <mergeCell ref="Q3:Q4"/>
    <mergeCell ref="A5:N5"/>
    <mergeCell ref="A1:Q2"/>
    <mergeCell ref="A3:A4"/>
    <mergeCell ref="B3:B4"/>
    <mergeCell ref="C3:C4"/>
    <mergeCell ref="D3:D4"/>
    <mergeCell ref="E3:E4"/>
    <mergeCell ref="F3:F4"/>
    <mergeCell ref="G3:J3"/>
    <mergeCell ref="K3:N3"/>
    <mergeCell ref="A8:N8"/>
    <mergeCell ref="A14:N14"/>
    <mergeCell ref="A18:N18"/>
    <mergeCell ref="O3:O4"/>
    <mergeCell ref="P3:P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27"/>
  <sheetViews>
    <sheetView workbookViewId="0">
      <selection activeCell="E16" sqref="E16"/>
    </sheetView>
  </sheetViews>
  <sheetFormatPr defaultRowHeight="12.75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32.28515625" style="4" bestFit="1" customWidth="1"/>
    <col min="6" max="6" width="48.5703125" style="4" bestFit="1" customWidth="1"/>
    <col min="7" max="9" width="4.5703125" style="3" customWidth="1"/>
    <col min="10" max="10" width="4.85546875" style="3" customWidth="1"/>
    <col min="11" max="11" width="7.85546875" style="19" bestFit="1" customWidth="1"/>
    <col min="12" max="12" width="7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53" t="s">
        <v>517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.1" customHeight="1" thickBot="1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>
      <c r="A3" s="59" t="s">
        <v>0</v>
      </c>
      <c r="B3" s="61" t="s">
        <v>6</v>
      </c>
      <c r="C3" s="61" t="s">
        <v>10</v>
      </c>
      <c r="D3" s="47" t="s">
        <v>12</v>
      </c>
      <c r="E3" s="47" t="s">
        <v>4</v>
      </c>
      <c r="F3" s="47" t="s">
        <v>7</v>
      </c>
      <c r="G3" s="47" t="s">
        <v>479</v>
      </c>
      <c r="H3" s="47"/>
      <c r="I3" s="47"/>
      <c r="J3" s="47"/>
      <c r="K3" s="47" t="s">
        <v>91</v>
      </c>
      <c r="L3" s="47" t="s">
        <v>3</v>
      </c>
      <c r="M3" s="49" t="s">
        <v>2</v>
      </c>
    </row>
    <row r="4" spans="1:13" s="1" customFormat="1" ht="21" customHeight="1" thickBot="1">
      <c r="A4" s="60"/>
      <c r="B4" s="48"/>
      <c r="C4" s="48"/>
      <c r="D4" s="48"/>
      <c r="E4" s="48"/>
      <c r="F4" s="48"/>
      <c r="G4" s="6">
        <v>1</v>
      </c>
      <c r="H4" s="6">
        <v>2</v>
      </c>
      <c r="I4" s="6">
        <v>3</v>
      </c>
      <c r="J4" s="6" t="s">
        <v>5</v>
      </c>
      <c r="K4" s="48"/>
      <c r="L4" s="48"/>
      <c r="M4" s="50"/>
    </row>
    <row r="5" spans="1:13" ht="15">
      <c r="A5" s="51" t="s">
        <v>14</v>
      </c>
      <c r="B5" s="52"/>
      <c r="C5" s="52"/>
      <c r="D5" s="52"/>
      <c r="E5" s="52"/>
      <c r="F5" s="52"/>
      <c r="G5" s="52"/>
      <c r="H5" s="52"/>
      <c r="I5" s="52"/>
      <c r="J5" s="52"/>
    </row>
    <row r="6" spans="1:13">
      <c r="A6" s="7" t="s">
        <v>519</v>
      </c>
      <c r="B6" s="7" t="s">
        <v>520</v>
      </c>
      <c r="C6" s="7" t="s">
        <v>521</v>
      </c>
      <c r="D6" s="7" t="str">
        <f>"0,6666"</f>
        <v>0,6666</v>
      </c>
      <c r="E6" s="7" t="s">
        <v>37</v>
      </c>
      <c r="F6" s="7" t="s">
        <v>475</v>
      </c>
      <c r="G6" s="9" t="s">
        <v>486</v>
      </c>
      <c r="H6" s="9" t="s">
        <v>140</v>
      </c>
      <c r="I6" s="8" t="s">
        <v>132</v>
      </c>
      <c r="J6" s="8"/>
      <c r="K6" s="20" t="str">
        <f>"70,0"</f>
        <v>70,0</v>
      </c>
      <c r="L6" s="21" t="str">
        <f>"46,6620"</f>
        <v>46,6620</v>
      </c>
      <c r="M6" s="7" t="s">
        <v>24</v>
      </c>
    </row>
    <row r="8" spans="1:13" ht="15">
      <c r="A8" s="62" t="s">
        <v>93</v>
      </c>
      <c r="B8" s="62"/>
      <c r="C8" s="62"/>
      <c r="D8" s="62"/>
      <c r="E8" s="62"/>
      <c r="F8" s="62"/>
      <c r="G8" s="62"/>
      <c r="H8" s="62"/>
      <c r="I8" s="62"/>
      <c r="J8" s="62"/>
    </row>
    <row r="9" spans="1:13">
      <c r="A9" s="7" t="s">
        <v>523</v>
      </c>
      <c r="B9" s="7" t="s">
        <v>524</v>
      </c>
      <c r="C9" s="7" t="s">
        <v>525</v>
      </c>
      <c r="D9" s="7" t="str">
        <f>"0,5399"</f>
        <v>0,5399</v>
      </c>
      <c r="E9" s="7" t="s">
        <v>526</v>
      </c>
      <c r="F9" s="7" t="s">
        <v>527</v>
      </c>
      <c r="G9" s="9" t="s">
        <v>147</v>
      </c>
      <c r="H9" s="9" t="s">
        <v>462</v>
      </c>
      <c r="I9" s="8"/>
      <c r="J9" s="8"/>
      <c r="K9" s="20" t="str">
        <f>"97,5"</f>
        <v>97,5</v>
      </c>
      <c r="L9" s="21" t="str">
        <f>"61,7470"</f>
        <v>61,7470</v>
      </c>
      <c r="M9" s="7" t="s">
        <v>24</v>
      </c>
    </row>
    <row r="11" spans="1:13" ht="15">
      <c r="E11" s="18" t="s">
        <v>63</v>
      </c>
      <c r="F11" s="40" t="s">
        <v>693</v>
      </c>
    </row>
    <row r="12" spans="1:13" ht="15">
      <c r="E12" s="18" t="s">
        <v>64</v>
      </c>
      <c r="F12" s="40" t="s">
        <v>694</v>
      </c>
    </row>
    <row r="13" spans="1:13" ht="15">
      <c r="E13" s="18" t="s">
        <v>65</v>
      </c>
      <c r="F13" s="40" t="s">
        <v>695</v>
      </c>
    </row>
    <row r="14" spans="1:13" ht="15">
      <c r="E14" s="18" t="s">
        <v>66</v>
      </c>
      <c r="F14" s="40" t="s">
        <v>696</v>
      </c>
    </row>
    <row r="15" spans="1:13" ht="15">
      <c r="E15" s="18" t="s">
        <v>66</v>
      </c>
      <c r="F15" s="40" t="s">
        <v>697</v>
      </c>
    </row>
    <row r="16" spans="1:13" ht="15">
      <c r="E16" s="18"/>
    </row>
    <row r="17" spans="1:5" ht="15">
      <c r="E17" s="18"/>
    </row>
    <row r="19" spans="1:5" ht="18">
      <c r="A19" s="26" t="s">
        <v>67</v>
      </c>
      <c r="B19" s="26"/>
    </row>
    <row r="20" spans="1:5" ht="15">
      <c r="A20" s="27" t="s">
        <v>68</v>
      </c>
      <c r="B20" s="27"/>
    </row>
    <row r="21" spans="1:5" ht="14.25">
      <c r="A21" s="29"/>
      <c r="B21" s="30" t="s">
        <v>69</v>
      </c>
    </row>
    <row r="22" spans="1:5" ht="15">
      <c r="A22" s="31" t="s">
        <v>70</v>
      </c>
      <c r="B22" s="31" t="s">
        <v>71</v>
      </c>
      <c r="C22" s="31" t="s">
        <v>72</v>
      </c>
      <c r="D22" s="31" t="s">
        <v>74</v>
      </c>
      <c r="E22" s="31" t="s">
        <v>75</v>
      </c>
    </row>
    <row r="23" spans="1:5">
      <c r="A23" s="28" t="s">
        <v>518</v>
      </c>
      <c r="B23" s="4" t="s">
        <v>69</v>
      </c>
      <c r="C23" s="4" t="s">
        <v>89</v>
      </c>
      <c r="D23" s="4" t="s">
        <v>140</v>
      </c>
      <c r="E23" s="19" t="s">
        <v>528</v>
      </c>
    </row>
    <row r="25" spans="1:5" ht="14.25">
      <c r="A25" s="29"/>
      <c r="B25" s="30" t="s">
        <v>80</v>
      </c>
    </row>
    <row r="26" spans="1:5" ht="15">
      <c r="A26" s="31" t="s">
        <v>70</v>
      </c>
      <c r="B26" s="31" t="s">
        <v>71</v>
      </c>
      <c r="C26" s="31" t="s">
        <v>72</v>
      </c>
      <c r="D26" s="31" t="s">
        <v>74</v>
      </c>
      <c r="E26" s="31" t="s">
        <v>75</v>
      </c>
    </row>
    <row r="27" spans="1:5">
      <c r="A27" s="28" t="s">
        <v>522</v>
      </c>
      <c r="B27" s="4" t="s">
        <v>88</v>
      </c>
      <c r="C27" s="4" t="s">
        <v>103</v>
      </c>
      <c r="D27" s="4" t="s">
        <v>462</v>
      </c>
      <c r="E27" s="19" t="s">
        <v>529</v>
      </c>
    </row>
  </sheetData>
  <mergeCells count="13">
    <mergeCell ref="A1:M2"/>
    <mergeCell ref="A3:A4"/>
    <mergeCell ref="B3:B4"/>
    <mergeCell ref="C3:C4"/>
    <mergeCell ref="D3:D4"/>
    <mergeCell ref="E3:E4"/>
    <mergeCell ref="F3:F4"/>
    <mergeCell ref="G3:J3"/>
    <mergeCell ref="A8:J8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56"/>
  <sheetViews>
    <sheetView tabSelected="1" workbookViewId="0">
      <selection activeCell="F12" sqref="F12"/>
    </sheetView>
  </sheetViews>
  <sheetFormatPr defaultRowHeight="12.75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32.28515625" style="4" bestFit="1" customWidth="1"/>
    <col min="6" max="6" width="31.5703125" style="4" bestFit="1" customWidth="1"/>
    <col min="7" max="9" width="4.5703125" style="3" customWidth="1"/>
    <col min="10" max="10" width="4.85546875" style="3" customWidth="1"/>
    <col min="11" max="11" width="7.85546875" style="19" bestFit="1" customWidth="1"/>
    <col min="12" max="12" width="7.5703125" style="2" bestFit="1" customWidth="1"/>
    <col min="13" max="13" width="22.28515625" style="4" bestFit="1" customWidth="1"/>
    <col min="14" max="16384" width="9.140625" style="3"/>
  </cols>
  <sheetData>
    <row r="1" spans="1:13" s="2" customFormat="1" ht="29.1" customHeight="1">
      <c r="A1" s="53" t="s">
        <v>478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.1" customHeight="1" thickBot="1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>
      <c r="A3" s="59" t="s">
        <v>0</v>
      </c>
      <c r="B3" s="61" t="s">
        <v>6</v>
      </c>
      <c r="C3" s="61" t="s">
        <v>10</v>
      </c>
      <c r="D3" s="47" t="s">
        <v>12</v>
      </c>
      <c r="E3" s="47" t="s">
        <v>4</v>
      </c>
      <c r="F3" s="47" t="s">
        <v>7</v>
      </c>
      <c r="G3" s="47" t="s">
        <v>479</v>
      </c>
      <c r="H3" s="47"/>
      <c r="I3" s="47"/>
      <c r="J3" s="47"/>
      <c r="K3" s="47" t="s">
        <v>91</v>
      </c>
      <c r="L3" s="47" t="s">
        <v>3</v>
      </c>
      <c r="M3" s="49" t="s">
        <v>2</v>
      </c>
    </row>
    <row r="4" spans="1:13" s="1" customFormat="1" ht="21" customHeight="1" thickBot="1">
      <c r="A4" s="60"/>
      <c r="B4" s="48"/>
      <c r="C4" s="48"/>
      <c r="D4" s="48"/>
      <c r="E4" s="48"/>
      <c r="F4" s="48"/>
      <c r="G4" s="6">
        <v>1</v>
      </c>
      <c r="H4" s="6">
        <v>2</v>
      </c>
      <c r="I4" s="6">
        <v>3</v>
      </c>
      <c r="J4" s="6" t="s">
        <v>5</v>
      </c>
      <c r="K4" s="48"/>
      <c r="L4" s="48"/>
      <c r="M4" s="50"/>
    </row>
    <row r="5" spans="1:13" ht="15">
      <c r="A5" s="51" t="s">
        <v>14</v>
      </c>
      <c r="B5" s="52"/>
      <c r="C5" s="52"/>
      <c r="D5" s="52"/>
      <c r="E5" s="52"/>
      <c r="F5" s="52"/>
      <c r="G5" s="52"/>
      <c r="H5" s="52"/>
      <c r="I5" s="52"/>
      <c r="J5" s="52"/>
    </row>
    <row r="6" spans="1:13">
      <c r="A6" s="12" t="s">
        <v>459</v>
      </c>
      <c r="B6" s="12" t="s">
        <v>460</v>
      </c>
      <c r="C6" s="12" t="s">
        <v>461</v>
      </c>
      <c r="D6" s="12" t="str">
        <f>"0,6723"</f>
        <v>0,6723</v>
      </c>
      <c r="E6" s="12" t="s">
        <v>98</v>
      </c>
      <c r="F6" s="12" t="s">
        <v>20</v>
      </c>
      <c r="G6" s="14" t="s">
        <v>130</v>
      </c>
      <c r="H6" s="14" t="s">
        <v>140</v>
      </c>
      <c r="I6" s="14" t="s">
        <v>377</v>
      </c>
      <c r="J6" s="14" t="s">
        <v>132</v>
      </c>
      <c r="K6" s="22" t="str">
        <f>"75,0"</f>
        <v>75,0</v>
      </c>
      <c r="L6" s="23" t="str">
        <f>"50,4225"</f>
        <v>50,4225</v>
      </c>
      <c r="M6" s="12" t="s">
        <v>24</v>
      </c>
    </row>
    <row r="7" spans="1:13">
      <c r="A7" s="33" t="s">
        <v>481</v>
      </c>
      <c r="B7" s="33" t="s">
        <v>482</v>
      </c>
      <c r="C7" s="33" t="s">
        <v>483</v>
      </c>
      <c r="D7" s="33" t="str">
        <f>"0,6737"</f>
        <v>0,6737</v>
      </c>
      <c r="E7" s="33" t="s">
        <v>30</v>
      </c>
      <c r="F7" s="33" t="s">
        <v>20</v>
      </c>
      <c r="G7" s="35" t="s">
        <v>139</v>
      </c>
      <c r="H7" s="35" t="s">
        <v>130</v>
      </c>
      <c r="I7" s="35" t="s">
        <v>140</v>
      </c>
      <c r="J7" s="34" t="s">
        <v>484</v>
      </c>
      <c r="K7" s="36" t="str">
        <f>"70,0"</f>
        <v>70,0</v>
      </c>
      <c r="L7" s="37" t="str">
        <f>"47,1590"</f>
        <v>47,1590</v>
      </c>
      <c r="M7" s="33" t="s">
        <v>485</v>
      </c>
    </row>
    <row r="8" spans="1:13">
      <c r="A8" s="33" t="s">
        <v>464</v>
      </c>
      <c r="B8" s="33" t="s">
        <v>465</v>
      </c>
      <c r="C8" s="33" t="s">
        <v>161</v>
      </c>
      <c r="D8" s="33" t="str">
        <f>"0,6741"</f>
        <v>0,6741</v>
      </c>
      <c r="E8" s="33" t="s">
        <v>30</v>
      </c>
      <c r="F8" s="33" t="s">
        <v>20</v>
      </c>
      <c r="G8" s="35" t="s">
        <v>115</v>
      </c>
      <c r="H8" s="35" t="s">
        <v>139</v>
      </c>
      <c r="I8" s="35" t="s">
        <v>486</v>
      </c>
      <c r="J8" s="34"/>
      <c r="K8" s="36" t="str">
        <f>"62,5"</f>
        <v>62,5</v>
      </c>
      <c r="L8" s="37" t="str">
        <f>"42,5104"</f>
        <v>42,5104</v>
      </c>
      <c r="M8" s="33" t="s">
        <v>24</v>
      </c>
    </row>
    <row r="9" spans="1:13">
      <c r="A9" s="15" t="s">
        <v>16</v>
      </c>
      <c r="B9" s="15" t="s">
        <v>17</v>
      </c>
      <c r="C9" s="15" t="s">
        <v>18</v>
      </c>
      <c r="D9" s="15" t="str">
        <f>"0,6931"</f>
        <v>0,6931</v>
      </c>
      <c r="E9" s="15" t="s">
        <v>19</v>
      </c>
      <c r="F9" s="15" t="s">
        <v>20</v>
      </c>
      <c r="G9" s="17" t="s">
        <v>487</v>
      </c>
      <c r="H9" s="17" t="s">
        <v>113</v>
      </c>
      <c r="I9" s="17" t="s">
        <v>115</v>
      </c>
      <c r="J9" s="17" t="s">
        <v>488</v>
      </c>
      <c r="K9" s="24" t="str">
        <f>"55,0"</f>
        <v>55,0</v>
      </c>
      <c r="L9" s="25" t="str">
        <f>"45,8971"</f>
        <v>45,8971</v>
      </c>
      <c r="M9" s="15" t="s">
        <v>24</v>
      </c>
    </row>
    <row r="11" spans="1:13" ht="15">
      <c r="A11" s="62" t="s">
        <v>306</v>
      </c>
      <c r="B11" s="62"/>
      <c r="C11" s="62"/>
      <c r="D11" s="62"/>
      <c r="E11" s="62"/>
      <c r="F11" s="62"/>
      <c r="G11" s="62"/>
      <c r="H11" s="62"/>
      <c r="I11" s="62"/>
      <c r="J11" s="62"/>
    </row>
    <row r="12" spans="1:13">
      <c r="A12" s="12" t="s">
        <v>490</v>
      </c>
      <c r="B12" s="12" t="s">
        <v>491</v>
      </c>
      <c r="C12" s="12" t="s">
        <v>492</v>
      </c>
      <c r="D12" s="12" t="str">
        <f>"0,6321"</f>
        <v>0,6321</v>
      </c>
      <c r="E12" s="12" t="s">
        <v>98</v>
      </c>
      <c r="F12" s="12" t="s">
        <v>20</v>
      </c>
      <c r="G12" s="14" t="s">
        <v>140</v>
      </c>
      <c r="H12" s="14" t="s">
        <v>377</v>
      </c>
      <c r="I12" s="14" t="s">
        <v>249</v>
      </c>
      <c r="J12" s="14" t="s">
        <v>493</v>
      </c>
      <c r="K12" s="22" t="str">
        <f>"80,0"</f>
        <v>80,0</v>
      </c>
      <c r="L12" s="23" t="str">
        <f>"52,0850"</f>
        <v>52,0850</v>
      </c>
      <c r="M12" s="12" t="s">
        <v>24</v>
      </c>
    </row>
    <row r="13" spans="1:13">
      <c r="A13" s="33" t="s">
        <v>490</v>
      </c>
      <c r="B13" s="33" t="s">
        <v>494</v>
      </c>
      <c r="C13" s="33" t="s">
        <v>492</v>
      </c>
      <c r="D13" s="33" t="str">
        <f>"0,6321"</f>
        <v>0,6321</v>
      </c>
      <c r="E13" s="33" t="s">
        <v>98</v>
      </c>
      <c r="F13" s="33" t="s">
        <v>20</v>
      </c>
      <c r="G13" s="35" t="s">
        <v>140</v>
      </c>
      <c r="H13" s="35" t="s">
        <v>377</v>
      </c>
      <c r="I13" s="35" t="s">
        <v>249</v>
      </c>
      <c r="J13" s="35" t="s">
        <v>493</v>
      </c>
      <c r="K13" s="36" t="str">
        <f>"80,0"</f>
        <v>80,0</v>
      </c>
      <c r="L13" s="37" t="str">
        <f>"50,5680"</f>
        <v>50,5680</v>
      </c>
      <c r="M13" s="33" t="s">
        <v>24</v>
      </c>
    </row>
    <row r="14" spans="1:13">
      <c r="A14" s="15" t="s">
        <v>496</v>
      </c>
      <c r="B14" s="15" t="s">
        <v>497</v>
      </c>
      <c r="C14" s="15" t="s">
        <v>310</v>
      </c>
      <c r="D14" s="15" t="str">
        <f>"0,6301"</f>
        <v>0,6301</v>
      </c>
      <c r="E14" s="15" t="s">
        <v>37</v>
      </c>
      <c r="F14" s="15" t="s">
        <v>475</v>
      </c>
      <c r="G14" s="17" t="s">
        <v>131</v>
      </c>
      <c r="H14" s="17" t="s">
        <v>249</v>
      </c>
      <c r="I14" s="16" t="s">
        <v>147</v>
      </c>
      <c r="J14" s="16"/>
      <c r="K14" s="24" t="str">
        <f>"80,0"</f>
        <v>80,0</v>
      </c>
      <c r="L14" s="25" t="str">
        <f>"50,4080"</f>
        <v>50,4080</v>
      </c>
      <c r="M14" s="15" t="s">
        <v>498</v>
      </c>
    </row>
    <row r="16" spans="1:13" ht="15">
      <c r="A16" s="62" t="s">
        <v>25</v>
      </c>
      <c r="B16" s="62"/>
      <c r="C16" s="62"/>
      <c r="D16" s="62"/>
      <c r="E16" s="62"/>
      <c r="F16" s="62"/>
      <c r="G16" s="62"/>
      <c r="H16" s="62"/>
      <c r="I16" s="62"/>
      <c r="J16" s="62"/>
    </row>
    <row r="17" spans="1:13">
      <c r="A17" s="12" t="s">
        <v>165</v>
      </c>
      <c r="B17" s="12" t="s">
        <v>166</v>
      </c>
      <c r="C17" s="12" t="s">
        <v>29</v>
      </c>
      <c r="D17" s="12" t="str">
        <f>"0,5871"</f>
        <v>0,5871</v>
      </c>
      <c r="E17" s="12" t="s">
        <v>30</v>
      </c>
      <c r="F17" s="12" t="s">
        <v>31</v>
      </c>
      <c r="G17" s="14" t="s">
        <v>377</v>
      </c>
      <c r="H17" s="14" t="s">
        <v>493</v>
      </c>
      <c r="I17" s="14" t="s">
        <v>147</v>
      </c>
      <c r="J17" s="13"/>
      <c r="K17" s="22" t="str">
        <f>"85,0"</f>
        <v>85,0</v>
      </c>
      <c r="L17" s="23" t="str">
        <f>"49,9035"</f>
        <v>49,9035</v>
      </c>
      <c r="M17" s="12" t="s">
        <v>170</v>
      </c>
    </row>
    <row r="18" spans="1:13">
      <c r="A18" s="15" t="s">
        <v>500</v>
      </c>
      <c r="B18" s="15" t="s">
        <v>501</v>
      </c>
      <c r="C18" s="15" t="s">
        <v>29</v>
      </c>
      <c r="D18" s="15" t="str">
        <f>"0,5871"</f>
        <v>0,5871</v>
      </c>
      <c r="E18" s="15" t="s">
        <v>30</v>
      </c>
      <c r="F18" s="15" t="s">
        <v>20</v>
      </c>
      <c r="G18" s="17" t="s">
        <v>115</v>
      </c>
      <c r="H18" s="17" t="s">
        <v>139</v>
      </c>
      <c r="I18" s="17" t="s">
        <v>130</v>
      </c>
      <c r="J18" s="16"/>
      <c r="K18" s="24" t="str">
        <f>"65,0"</f>
        <v>65,0</v>
      </c>
      <c r="L18" s="25" t="str">
        <f>"38,1615"</f>
        <v>38,1615</v>
      </c>
      <c r="M18" s="15" t="s">
        <v>24</v>
      </c>
    </row>
    <row r="20" spans="1:13" ht="15">
      <c r="A20" s="62" t="s">
        <v>40</v>
      </c>
      <c r="B20" s="62"/>
      <c r="C20" s="62"/>
      <c r="D20" s="62"/>
      <c r="E20" s="62"/>
      <c r="F20" s="62"/>
      <c r="G20" s="62"/>
      <c r="H20" s="62"/>
      <c r="I20" s="62"/>
      <c r="J20" s="62"/>
    </row>
    <row r="21" spans="1:13">
      <c r="A21" s="12" t="s">
        <v>178</v>
      </c>
      <c r="B21" s="12" t="s">
        <v>502</v>
      </c>
      <c r="C21" s="12" t="s">
        <v>180</v>
      </c>
      <c r="D21" s="12" t="str">
        <f>"0,5678"</f>
        <v>0,5678</v>
      </c>
      <c r="E21" s="12" t="s">
        <v>181</v>
      </c>
      <c r="F21" s="12" t="s">
        <v>182</v>
      </c>
      <c r="G21" s="14" t="s">
        <v>377</v>
      </c>
      <c r="H21" s="14" t="s">
        <v>147</v>
      </c>
      <c r="I21" s="13" t="s">
        <v>121</v>
      </c>
      <c r="J21" s="13"/>
      <c r="K21" s="22" t="str">
        <f>"85,0"</f>
        <v>85,0</v>
      </c>
      <c r="L21" s="23" t="str">
        <f>"48,2630"</f>
        <v>48,2630</v>
      </c>
      <c r="M21" s="12" t="s">
        <v>185</v>
      </c>
    </row>
    <row r="22" spans="1:13">
      <c r="A22" s="15" t="s">
        <v>178</v>
      </c>
      <c r="B22" s="15" t="s">
        <v>179</v>
      </c>
      <c r="C22" s="15" t="s">
        <v>180</v>
      </c>
      <c r="D22" s="15" t="str">
        <f>"0,5678"</f>
        <v>0,5678</v>
      </c>
      <c r="E22" s="15" t="s">
        <v>181</v>
      </c>
      <c r="F22" s="15" t="s">
        <v>182</v>
      </c>
      <c r="G22" s="17" t="s">
        <v>377</v>
      </c>
      <c r="H22" s="17" t="s">
        <v>147</v>
      </c>
      <c r="I22" s="16" t="s">
        <v>121</v>
      </c>
      <c r="J22" s="16"/>
      <c r="K22" s="24" t="str">
        <f>"85,0"</f>
        <v>85,0</v>
      </c>
      <c r="L22" s="25" t="str">
        <f>"48,4078"</f>
        <v>48,4078</v>
      </c>
      <c r="M22" s="15" t="s">
        <v>185</v>
      </c>
    </row>
    <row r="24" spans="1:13" ht="15">
      <c r="A24" s="62" t="s">
        <v>57</v>
      </c>
      <c r="B24" s="62"/>
      <c r="C24" s="62"/>
      <c r="D24" s="62"/>
      <c r="E24" s="62"/>
      <c r="F24" s="62"/>
      <c r="G24" s="62"/>
      <c r="H24" s="62"/>
      <c r="I24" s="62"/>
      <c r="J24" s="62"/>
    </row>
    <row r="25" spans="1:13">
      <c r="A25" s="7" t="s">
        <v>59</v>
      </c>
      <c r="B25" s="7" t="s">
        <v>60</v>
      </c>
      <c r="C25" s="7" t="s">
        <v>61</v>
      </c>
      <c r="D25" s="7" t="str">
        <f>"0,5298"</f>
        <v>0,5298</v>
      </c>
      <c r="E25" s="7" t="s">
        <v>45</v>
      </c>
      <c r="F25" s="7" t="s">
        <v>46</v>
      </c>
      <c r="G25" s="9" t="s">
        <v>140</v>
      </c>
      <c r="H25" s="9" t="s">
        <v>249</v>
      </c>
      <c r="I25" s="9" t="s">
        <v>243</v>
      </c>
      <c r="J25" s="8"/>
      <c r="K25" s="20" t="str">
        <f>"90,0"</f>
        <v>90,0</v>
      </c>
      <c r="L25" s="21" t="str">
        <f>"47,6820"</f>
        <v>47,6820</v>
      </c>
      <c r="M25" s="7" t="s">
        <v>24</v>
      </c>
    </row>
    <row r="27" spans="1:13" ht="15">
      <c r="E27" s="18" t="s">
        <v>63</v>
      </c>
      <c r="F27" s="40" t="s">
        <v>693</v>
      </c>
    </row>
    <row r="28" spans="1:13" ht="15">
      <c r="E28" s="18" t="s">
        <v>64</v>
      </c>
      <c r="F28" s="40" t="s">
        <v>694</v>
      </c>
    </row>
    <row r="29" spans="1:13" ht="15">
      <c r="E29" s="18" t="s">
        <v>65</v>
      </c>
      <c r="F29" s="40" t="s">
        <v>695</v>
      </c>
    </row>
    <row r="30" spans="1:13" ht="15">
      <c r="E30" s="18" t="s">
        <v>66</v>
      </c>
      <c r="F30" s="40" t="s">
        <v>696</v>
      </c>
    </row>
    <row r="31" spans="1:13" ht="15">
      <c r="E31" s="18" t="s">
        <v>66</v>
      </c>
      <c r="F31" s="40" t="s">
        <v>697</v>
      </c>
    </row>
    <row r="32" spans="1:13" ht="15">
      <c r="E32" s="18"/>
    </row>
    <row r="33" spans="1:5" ht="15">
      <c r="E33" s="18"/>
    </row>
    <row r="35" spans="1:5" ht="18">
      <c r="A35" s="26" t="s">
        <v>67</v>
      </c>
      <c r="B35" s="26"/>
    </row>
    <row r="36" spans="1:5" ht="15">
      <c r="A36" s="27" t="s">
        <v>68</v>
      </c>
      <c r="B36" s="27"/>
    </row>
    <row r="37" spans="1:5" ht="14.25">
      <c r="A37" s="29"/>
      <c r="B37" s="30" t="s">
        <v>503</v>
      </c>
    </row>
    <row r="38" spans="1:5" ht="15">
      <c r="A38" s="31" t="s">
        <v>70</v>
      </c>
      <c r="B38" s="31" t="s">
        <v>71</v>
      </c>
      <c r="C38" s="31" t="s">
        <v>72</v>
      </c>
      <c r="D38" s="31" t="s">
        <v>74</v>
      </c>
      <c r="E38" s="31" t="s">
        <v>75</v>
      </c>
    </row>
    <row r="39" spans="1:5">
      <c r="A39" s="28" t="s">
        <v>489</v>
      </c>
      <c r="B39" s="4" t="s">
        <v>504</v>
      </c>
      <c r="C39" s="4" t="s">
        <v>329</v>
      </c>
      <c r="D39" s="4" t="s">
        <v>249</v>
      </c>
      <c r="E39" s="19" t="s">
        <v>505</v>
      </c>
    </row>
    <row r="41" spans="1:5" ht="14.25">
      <c r="A41" s="29"/>
      <c r="B41" s="30" t="s">
        <v>69</v>
      </c>
    </row>
    <row r="42" spans="1:5" ht="15">
      <c r="A42" s="31" t="s">
        <v>70</v>
      </c>
      <c r="B42" s="31" t="s">
        <v>71</v>
      </c>
      <c r="C42" s="31" t="s">
        <v>72</v>
      </c>
      <c r="D42" s="31" t="s">
        <v>74</v>
      </c>
      <c r="E42" s="31" t="s">
        <v>75</v>
      </c>
    </row>
    <row r="43" spans="1:5">
      <c r="A43" s="28" t="s">
        <v>489</v>
      </c>
      <c r="B43" s="4" t="s">
        <v>69</v>
      </c>
      <c r="C43" s="4" t="s">
        <v>329</v>
      </c>
      <c r="D43" s="4" t="s">
        <v>249</v>
      </c>
      <c r="E43" s="19" t="s">
        <v>506</v>
      </c>
    </row>
    <row r="44" spans="1:5">
      <c r="A44" s="28" t="s">
        <v>458</v>
      </c>
      <c r="B44" s="4" t="s">
        <v>69</v>
      </c>
      <c r="C44" s="4" t="s">
        <v>89</v>
      </c>
      <c r="D44" s="4" t="s">
        <v>377</v>
      </c>
      <c r="E44" s="19" t="s">
        <v>507</v>
      </c>
    </row>
    <row r="45" spans="1:5">
      <c r="A45" s="28" t="s">
        <v>495</v>
      </c>
      <c r="B45" s="4" t="s">
        <v>69</v>
      </c>
      <c r="C45" s="4" t="s">
        <v>329</v>
      </c>
      <c r="D45" s="4" t="s">
        <v>249</v>
      </c>
      <c r="E45" s="19" t="s">
        <v>508</v>
      </c>
    </row>
    <row r="46" spans="1:5">
      <c r="A46" s="28" t="s">
        <v>164</v>
      </c>
      <c r="B46" s="4" t="s">
        <v>69</v>
      </c>
      <c r="C46" s="4" t="s">
        <v>82</v>
      </c>
      <c r="D46" s="4" t="s">
        <v>147</v>
      </c>
      <c r="E46" s="19" t="s">
        <v>509</v>
      </c>
    </row>
    <row r="47" spans="1:5">
      <c r="A47" s="28" t="s">
        <v>177</v>
      </c>
      <c r="B47" s="4" t="s">
        <v>69</v>
      </c>
      <c r="C47" s="4" t="s">
        <v>78</v>
      </c>
      <c r="D47" s="4" t="s">
        <v>147</v>
      </c>
      <c r="E47" s="19" t="s">
        <v>510</v>
      </c>
    </row>
    <row r="48" spans="1:5">
      <c r="A48" s="28" t="s">
        <v>58</v>
      </c>
      <c r="B48" s="4" t="s">
        <v>69</v>
      </c>
      <c r="C48" s="4" t="s">
        <v>76</v>
      </c>
      <c r="D48" s="4" t="s">
        <v>243</v>
      </c>
      <c r="E48" s="19" t="s">
        <v>511</v>
      </c>
    </row>
    <row r="49" spans="1:5">
      <c r="A49" s="28" t="s">
        <v>480</v>
      </c>
      <c r="B49" s="4" t="s">
        <v>69</v>
      </c>
      <c r="C49" s="4" t="s">
        <v>89</v>
      </c>
      <c r="D49" s="4" t="s">
        <v>140</v>
      </c>
      <c r="E49" s="19" t="s">
        <v>512</v>
      </c>
    </row>
    <row r="50" spans="1:5">
      <c r="A50" s="28" t="s">
        <v>499</v>
      </c>
      <c r="B50" s="4" t="s">
        <v>69</v>
      </c>
      <c r="C50" s="4" t="s">
        <v>82</v>
      </c>
      <c r="D50" s="4" t="s">
        <v>130</v>
      </c>
      <c r="E50" s="19" t="s">
        <v>513</v>
      </c>
    </row>
    <row r="52" spans="1:5" ht="14.25">
      <c r="A52" s="29"/>
      <c r="B52" s="30" t="s">
        <v>80</v>
      </c>
    </row>
    <row r="53" spans="1:5" ht="15">
      <c r="A53" s="31" t="s">
        <v>70</v>
      </c>
      <c r="B53" s="31" t="s">
        <v>71</v>
      </c>
      <c r="C53" s="31" t="s">
        <v>72</v>
      </c>
      <c r="D53" s="31" t="s">
        <v>74</v>
      </c>
      <c r="E53" s="31" t="s">
        <v>75</v>
      </c>
    </row>
    <row r="54" spans="1:5">
      <c r="A54" s="28" t="s">
        <v>177</v>
      </c>
      <c r="B54" s="4" t="s">
        <v>105</v>
      </c>
      <c r="C54" s="4" t="s">
        <v>78</v>
      </c>
      <c r="D54" s="4" t="s">
        <v>147</v>
      </c>
      <c r="E54" s="19" t="s">
        <v>514</v>
      </c>
    </row>
    <row r="55" spans="1:5">
      <c r="A55" s="28" t="s">
        <v>15</v>
      </c>
      <c r="B55" s="4" t="s">
        <v>88</v>
      </c>
      <c r="C55" s="4" t="s">
        <v>89</v>
      </c>
      <c r="D55" s="4" t="s">
        <v>115</v>
      </c>
      <c r="E55" s="19" t="s">
        <v>515</v>
      </c>
    </row>
    <row r="56" spans="1:5">
      <c r="A56" s="28" t="s">
        <v>463</v>
      </c>
      <c r="B56" s="4" t="s">
        <v>105</v>
      </c>
      <c r="C56" s="4" t="s">
        <v>89</v>
      </c>
      <c r="D56" s="4" t="s">
        <v>486</v>
      </c>
      <c r="E56" s="19" t="s">
        <v>516</v>
      </c>
    </row>
  </sheetData>
  <mergeCells count="16"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  <mergeCell ref="A11:J11"/>
    <mergeCell ref="A16:J16"/>
    <mergeCell ref="A20:J20"/>
    <mergeCell ref="A24:J24"/>
    <mergeCell ref="K3:K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20"/>
  <sheetViews>
    <sheetView workbookViewId="0">
      <selection activeCell="E6" sqref="E6"/>
    </sheetView>
  </sheetViews>
  <sheetFormatPr defaultRowHeight="12.75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6" width="30.28515625" style="4" bestFit="1" customWidth="1"/>
    <col min="7" max="9" width="4.5703125" style="3" customWidth="1"/>
    <col min="10" max="10" width="4.85546875" style="3" customWidth="1"/>
    <col min="11" max="11" width="7.85546875" style="19" bestFit="1" customWidth="1"/>
    <col min="12" max="12" width="7.5703125" style="2" bestFit="1" customWidth="1"/>
    <col min="13" max="13" width="16.85546875" style="4" bestFit="1" customWidth="1"/>
    <col min="14" max="16384" width="9.140625" style="3"/>
  </cols>
  <sheetData>
    <row r="1" spans="1:13" s="2" customFormat="1" ht="29.1" customHeight="1">
      <c r="A1" s="53" t="s">
        <v>469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.1" customHeight="1" thickBot="1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>
      <c r="A3" s="59" t="s">
        <v>0</v>
      </c>
      <c r="B3" s="61" t="s">
        <v>6</v>
      </c>
      <c r="C3" s="61" t="s">
        <v>10</v>
      </c>
      <c r="D3" s="47" t="s">
        <v>12</v>
      </c>
      <c r="E3" s="47" t="s">
        <v>4</v>
      </c>
      <c r="F3" s="47" t="s">
        <v>7</v>
      </c>
      <c r="G3" s="47" t="s">
        <v>457</v>
      </c>
      <c r="H3" s="47"/>
      <c r="I3" s="47"/>
      <c r="J3" s="47"/>
      <c r="K3" s="47" t="s">
        <v>91</v>
      </c>
      <c r="L3" s="47" t="s">
        <v>3</v>
      </c>
      <c r="M3" s="49" t="s">
        <v>2</v>
      </c>
    </row>
    <row r="4" spans="1:13" s="1" customFormat="1" ht="21" customHeight="1" thickBot="1">
      <c r="A4" s="60"/>
      <c r="B4" s="48"/>
      <c r="C4" s="48"/>
      <c r="D4" s="48"/>
      <c r="E4" s="48"/>
      <c r="F4" s="48"/>
      <c r="G4" s="6">
        <v>1</v>
      </c>
      <c r="H4" s="6">
        <v>2</v>
      </c>
      <c r="I4" s="6">
        <v>3</v>
      </c>
      <c r="J4" s="6" t="s">
        <v>5</v>
      </c>
      <c r="K4" s="48"/>
      <c r="L4" s="48"/>
      <c r="M4" s="50"/>
    </row>
    <row r="5" spans="1:13" ht="15">
      <c r="A5" s="51" t="s">
        <v>40</v>
      </c>
      <c r="B5" s="52"/>
      <c r="C5" s="52"/>
      <c r="D5" s="52"/>
      <c r="E5" s="52"/>
      <c r="F5" s="52"/>
      <c r="G5" s="52"/>
      <c r="H5" s="52"/>
      <c r="I5" s="52"/>
      <c r="J5" s="52"/>
    </row>
    <row r="6" spans="1:13">
      <c r="A6" s="7" t="s">
        <v>471</v>
      </c>
      <c r="B6" s="7" t="s">
        <v>472</v>
      </c>
      <c r="C6" s="7" t="s">
        <v>473</v>
      </c>
      <c r="D6" s="7" t="str">
        <f>"0,5689"</f>
        <v>0,5689</v>
      </c>
      <c r="E6" s="7" t="s">
        <v>474</v>
      </c>
      <c r="F6" s="7" t="s">
        <v>475</v>
      </c>
      <c r="G6" s="9" t="s">
        <v>147</v>
      </c>
      <c r="H6" s="9" t="s">
        <v>243</v>
      </c>
      <c r="I6" s="8" t="s">
        <v>121</v>
      </c>
      <c r="J6" s="8"/>
      <c r="K6" s="20" t="str">
        <f>"90,0"</f>
        <v>90,0</v>
      </c>
      <c r="L6" s="21" t="str">
        <f>"54,7387"</f>
        <v>54,7387</v>
      </c>
      <c r="M6" s="7" t="s">
        <v>476</v>
      </c>
    </row>
    <row r="8" spans="1:13" ht="15">
      <c r="E8" s="18" t="s">
        <v>63</v>
      </c>
      <c r="F8" s="40" t="s">
        <v>693</v>
      </c>
    </row>
    <row r="9" spans="1:13" ht="15">
      <c r="E9" s="18" t="s">
        <v>64</v>
      </c>
      <c r="F9" s="40" t="s">
        <v>694</v>
      </c>
    </row>
    <row r="10" spans="1:13" ht="15">
      <c r="E10" s="18" t="s">
        <v>65</v>
      </c>
      <c r="F10" s="40" t="s">
        <v>695</v>
      </c>
    </row>
    <row r="11" spans="1:13" ht="15">
      <c r="E11" s="18" t="s">
        <v>66</v>
      </c>
      <c r="F11" s="40" t="s">
        <v>696</v>
      </c>
    </row>
    <row r="12" spans="1:13" ht="15">
      <c r="E12" s="18" t="s">
        <v>66</v>
      </c>
      <c r="F12" s="40" t="s">
        <v>697</v>
      </c>
    </row>
    <row r="13" spans="1:13" ht="15">
      <c r="E13" s="18"/>
    </row>
    <row r="14" spans="1:13" ht="15">
      <c r="E14" s="18"/>
    </row>
    <row r="16" spans="1:13" ht="18">
      <c r="A16" s="26" t="s">
        <v>67</v>
      </c>
      <c r="B16" s="26"/>
    </row>
    <row r="17" spans="1:5" ht="15">
      <c r="A17" s="27" t="s">
        <v>68</v>
      </c>
      <c r="B17" s="27"/>
    </row>
    <row r="18" spans="1:5" ht="14.25">
      <c r="A18" s="29"/>
      <c r="B18" s="30" t="s">
        <v>80</v>
      </c>
    </row>
    <row r="19" spans="1:5" ht="15">
      <c r="A19" s="31" t="s">
        <v>70</v>
      </c>
      <c r="B19" s="31" t="s">
        <v>71</v>
      </c>
      <c r="C19" s="31" t="s">
        <v>72</v>
      </c>
      <c r="D19" s="31" t="s">
        <v>74</v>
      </c>
      <c r="E19" s="31" t="s">
        <v>75</v>
      </c>
    </row>
    <row r="20" spans="1:5">
      <c r="A20" s="28" t="s">
        <v>470</v>
      </c>
      <c r="B20" s="4" t="s">
        <v>215</v>
      </c>
      <c r="C20" s="4" t="s">
        <v>78</v>
      </c>
      <c r="D20" s="4" t="s">
        <v>243</v>
      </c>
      <c r="E20" s="19" t="s">
        <v>477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29"/>
  <sheetViews>
    <sheetView workbookViewId="0">
      <selection activeCell="J12" sqref="J12"/>
    </sheetView>
  </sheetViews>
  <sheetFormatPr defaultRowHeight="12.75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19.42578125" style="4" customWidth="1"/>
    <col min="7" max="7" width="4.5703125" style="3" customWidth="1"/>
    <col min="8" max="10" width="5.5703125" style="3" customWidth="1"/>
    <col min="11" max="11" width="7.85546875" style="19" bestFit="1" customWidth="1"/>
    <col min="12" max="12" width="7.5703125" style="2" bestFit="1" customWidth="1"/>
    <col min="13" max="13" width="12.7109375" style="4" bestFit="1" customWidth="1"/>
    <col min="14" max="16384" width="9.140625" style="3"/>
  </cols>
  <sheetData>
    <row r="1" spans="1:13" s="2" customFormat="1" ht="29.1" customHeight="1">
      <c r="A1" s="53" t="s">
        <v>456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.1" customHeight="1" thickBot="1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>
      <c r="A3" s="59" t="s">
        <v>0</v>
      </c>
      <c r="B3" s="61" t="s">
        <v>6</v>
      </c>
      <c r="C3" s="61" t="s">
        <v>10</v>
      </c>
      <c r="D3" s="47" t="s">
        <v>12</v>
      </c>
      <c r="E3" s="47" t="s">
        <v>4</v>
      </c>
      <c r="F3" s="47" t="s">
        <v>7</v>
      </c>
      <c r="G3" s="47" t="s">
        <v>457</v>
      </c>
      <c r="H3" s="47"/>
      <c r="I3" s="47"/>
      <c r="J3" s="47"/>
      <c r="K3" s="47" t="s">
        <v>91</v>
      </c>
      <c r="L3" s="47" t="s">
        <v>3</v>
      </c>
      <c r="M3" s="49" t="s">
        <v>2</v>
      </c>
    </row>
    <row r="4" spans="1:13" s="1" customFormat="1" ht="21" customHeight="1" thickBot="1">
      <c r="A4" s="60"/>
      <c r="B4" s="48"/>
      <c r="C4" s="48"/>
      <c r="D4" s="48"/>
      <c r="E4" s="48"/>
      <c r="F4" s="48"/>
      <c r="G4" s="6">
        <v>1</v>
      </c>
      <c r="H4" s="6">
        <v>2</v>
      </c>
      <c r="I4" s="6">
        <v>3</v>
      </c>
      <c r="J4" s="6" t="s">
        <v>5</v>
      </c>
      <c r="K4" s="48"/>
      <c r="L4" s="48"/>
      <c r="M4" s="50"/>
    </row>
    <row r="5" spans="1:13" ht="15">
      <c r="A5" s="51" t="s">
        <v>14</v>
      </c>
      <c r="B5" s="52"/>
      <c r="C5" s="52"/>
      <c r="D5" s="52"/>
      <c r="E5" s="52"/>
      <c r="F5" s="52"/>
      <c r="G5" s="52"/>
      <c r="H5" s="52"/>
      <c r="I5" s="52"/>
      <c r="J5" s="52"/>
    </row>
    <row r="6" spans="1:13">
      <c r="A6" s="12" t="s">
        <v>459</v>
      </c>
      <c r="B6" s="12" t="s">
        <v>460</v>
      </c>
      <c r="C6" s="12" t="s">
        <v>461</v>
      </c>
      <c r="D6" s="12" t="str">
        <f>"0,6723"</f>
        <v>0,6723</v>
      </c>
      <c r="E6" s="12" t="s">
        <v>98</v>
      </c>
      <c r="F6" s="12" t="s">
        <v>20</v>
      </c>
      <c r="G6" s="14" t="s">
        <v>243</v>
      </c>
      <c r="H6" s="14" t="s">
        <v>121</v>
      </c>
      <c r="I6" s="14" t="s">
        <v>462</v>
      </c>
      <c r="J6" s="14" t="s">
        <v>122</v>
      </c>
      <c r="K6" s="22" t="str">
        <f>"97,5"</f>
        <v>97,5</v>
      </c>
      <c r="L6" s="23" t="str">
        <f>"65,5492"</f>
        <v>65,5492</v>
      </c>
      <c r="M6" s="12" t="s">
        <v>24</v>
      </c>
    </row>
    <row r="7" spans="1:13">
      <c r="A7" s="15" t="s">
        <v>464</v>
      </c>
      <c r="B7" s="15" t="s">
        <v>465</v>
      </c>
      <c r="C7" s="15" t="s">
        <v>161</v>
      </c>
      <c r="D7" s="15" t="str">
        <f>"0,6741"</f>
        <v>0,6741</v>
      </c>
      <c r="E7" s="15" t="s">
        <v>30</v>
      </c>
      <c r="F7" s="15" t="s">
        <v>20</v>
      </c>
      <c r="G7" s="16" t="s">
        <v>130</v>
      </c>
      <c r="H7" s="17" t="s">
        <v>130</v>
      </c>
      <c r="I7" s="17" t="s">
        <v>140</v>
      </c>
      <c r="J7" s="16"/>
      <c r="K7" s="24" t="str">
        <f>"70,0"</f>
        <v>70,0</v>
      </c>
      <c r="L7" s="25" t="str">
        <f>"47,6117"</f>
        <v>47,6117</v>
      </c>
      <c r="M7" s="15" t="s">
        <v>24</v>
      </c>
    </row>
    <row r="9" spans="1:13" ht="15">
      <c r="A9" s="62" t="s">
        <v>25</v>
      </c>
      <c r="B9" s="62"/>
      <c r="C9" s="62"/>
      <c r="D9" s="62"/>
      <c r="E9" s="62"/>
      <c r="F9" s="62"/>
      <c r="G9" s="62"/>
      <c r="H9" s="62"/>
      <c r="I9" s="62"/>
      <c r="J9" s="62"/>
    </row>
    <row r="10" spans="1:13">
      <c r="A10" s="7" t="s">
        <v>165</v>
      </c>
      <c r="B10" s="7" t="s">
        <v>166</v>
      </c>
      <c r="C10" s="7" t="s">
        <v>167</v>
      </c>
      <c r="D10" s="7" t="str">
        <f>"0,5867"</f>
        <v>0,5867</v>
      </c>
      <c r="E10" s="7" t="s">
        <v>30</v>
      </c>
      <c r="F10" s="7" t="s">
        <v>31</v>
      </c>
      <c r="G10" s="9" t="s">
        <v>243</v>
      </c>
      <c r="H10" s="9" t="s">
        <v>122</v>
      </c>
      <c r="I10" s="8" t="s">
        <v>39</v>
      </c>
      <c r="J10" s="8"/>
      <c r="K10" s="20" t="str">
        <f>"100,0"</f>
        <v>100,0</v>
      </c>
      <c r="L10" s="21" t="str">
        <f>"58,6700"</f>
        <v>58,6700</v>
      </c>
      <c r="M10" s="7" t="s">
        <v>170</v>
      </c>
    </row>
    <row r="12" spans="1:13" ht="15">
      <c r="E12" s="18" t="s">
        <v>63</v>
      </c>
      <c r="F12" s="40" t="s">
        <v>693</v>
      </c>
    </row>
    <row r="13" spans="1:13" ht="15">
      <c r="E13" s="18" t="s">
        <v>64</v>
      </c>
      <c r="F13" s="40" t="s">
        <v>694</v>
      </c>
    </row>
    <row r="14" spans="1:13" ht="15">
      <c r="E14" s="18" t="s">
        <v>65</v>
      </c>
      <c r="F14" s="40" t="s">
        <v>695</v>
      </c>
    </row>
    <row r="15" spans="1:13" ht="15">
      <c r="E15" s="18" t="s">
        <v>66</v>
      </c>
      <c r="F15" s="40" t="s">
        <v>696</v>
      </c>
    </row>
    <row r="16" spans="1:13" ht="15">
      <c r="E16" s="18" t="s">
        <v>66</v>
      </c>
      <c r="F16" s="40" t="s">
        <v>697</v>
      </c>
    </row>
    <row r="17" spans="1:5" ht="15">
      <c r="E17" s="18"/>
    </row>
    <row r="18" spans="1:5" ht="15">
      <c r="E18" s="18"/>
    </row>
    <row r="20" spans="1:5" ht="18">
      <c r="A20" s="26" t="s">
        <v>67</v>
      </c>
      <c r="B20" s="26"/>
    </row>
    <row r="21" spans="1:5" ht="15">
      <c r="A21" s="27" t="s">
        <v>68</v>
      </c>
      <c r="B21" s="27"/>
    </row>
    <row r="22" spans="1:5" ht="14.25">
      <c r="A22" s="29"/>
      <c r="B22" s="30" t="s">
        <v>69</v>
      </c>
    </row>
    <row r="23" spans="1:5" ht="15">
      <c r="A23" s="31" t="s">
        <v>70</v>
      </c>
      <c r="B23" s="31" t="s">
        <v>71</v>
      </c>
      <c r="C23" s="31" t="s">
        <v>72</v>
      </c>
      <c r="D23" s="31" t="s">
        <v>74</v>
      </c>
      <c r="E23" s="31" t="s">
        <v>75</v>
      </c>
    </row>
    <row r="24" spans="1:5">
      <c r="A24" s="28" t="s">
        <v>458</v>
      </c>
      <c r="B24" s="4" t="s">
        <v>69</v>
      </c>
      <c r="C24" s="4" t="s">
        <v>89</v>
      </c>
      <c r="D24" s="4" t="s">
        <v>462</v>
      </c>
      <c r="E24" s="19" t="s">
        <v>466</v>
      </c>
    </row>
    <row r="25" spans="1:5">
      <c r="A25" s="28" t="s">
        <v>164</v>
      </c>
      <c r="B25" s="4" t="s">
        <v>69</v>
      </c>
      <c r="C25" s="4" t="s">
        <v>82</v>
      </c>
      <c r="D25" s="4" t="s">
        <v>122</v>
      </c>
      <c r="E25" s="19" t="s">
        <v>467</v>
      </c>
    </row>
    <row r="27" spans="1:5" ht="14.25">
      <c r="A27" s="29"/>
      <c r="B27" s="30" t="s">
        <v>80</v>
      </c>
    </row>
    <row r="28" spans="1:5" ht="15">
      <c r="A28" s="31" t="s">
        <v>70</v>
      </c>
      <c r="B28" s="31" t="s">
        <v>71</v>
      </c>
      <c r="C28" s="31" t="s">
        <v>72</v>
      </c>
      <c r="D28" s="31" t="s">
        <v>74</v>
      </c>
      <c r="E28" s="31" t="s">
        <v>75</v>
      </c>
    </row>
    <row r="29" spans="1:5">
      <c r="A29" s="28" t="s">
        <v>463</v>
      </c>
      <c r="B29" s="4" t="s">
        <v>105</v>
      </c>
      <c r="C29" s="4" t="s">
        <v>89</v>
      </c>
      <c r="D29" s="4" t="s">
        <v>140</v>
      </c>
      <c r="E29" s="19" t="s">
        <v>468</v>
      </c>
    </row>
  </sheetData>
  <mergeCells count="13">
    <mergeCell ref="A1:M2"/>
    <mergeCell ref="A3:A4"/>
    <mergeCell ref="B3:B4"/>
    <mergeCell ref="C3:C4"/>
    <mergeCell ref="D3:D4"/>
    <mergeCell ref="E3:E4"/>
    <mergeCell ref="F3:F4"/>
    <mergeCell ref="G3:J3"/>
    <mergeCell ref="A9:J9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18"/>
  <sheetViews>
    <sheetView workbookViewId="0">
      <selection activeCell="E15" sqref="E15"/>
    </sheetView>
  </sheetViews>
  <sheetFormatPr defaultRowHeight="12.75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6.5703125" style="4" bestFit="1" customWidth="1"/>
    <col min="5" max="5" width="23.28515625" style="4" customWidth="1"/>
    <col min="6" max="6" width="20.28515625" style="4" customWidth="1"/>
    <col min="7" max="7" width="5" style="3" customWidth="1"/>
    <col min="8" max="8" width="10.42578125" style="3" customWidth="1"/>
    <col min="9" max="9" width="7.85546875" style="19" bestFit="1" customWidth="1"/>
    <col min="10" max="10" width="6.42578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>
      <c r="A1" s="53" t="s">
        <v>677</v>
      </c>
      <c r="B1" s="54"/>
      <c r="C1" s="54"/>
      <c r="D1" s="54"/>
      <c r="E1" s="54"/>
      <c r="F1" s="54"/>
      <c r="G1" s="54"/>
      <c r="H1" s="54"/>
      <c r="I1" s="54"/>
      <c r="J1" s="54"/>
      <c r="K1" s="55"/>
    </row>
    <row r="2" spans="1:11" s="2" customFormat="1" ht="62.1" customHeight="1" thickBot="1">
      <c r="A2" s="56"/>
      <c r="B2" s="57"/>
      <c r="C2" s="57"/>
      <c r="D2" s="57"/>
      <c r="E2" s="57"/>
      <c r="F2" s="57"/>
      <c r="G2" s="57"/>
      <c r="H2" s="57"/>
      <c r="I2" s="57"/>
      <c r="J2" s="57"/>
      <c r="K2" s="58"/>
    </row>
    <row r="3" spans="1:11" s="1" customFormat="1" ht="12.75" customHeight="1">
      <c r="A3" s="59" t="s">
        <v>0</v>
      </c>
      <c r="B3" s="61" t="s">
        <v>6</v>
      </c>
      <c r="C3" s="61" t="s">
        <v>10</v>
      </c>
      <c r="D3" s="47"/>
      <c r="E3" s="47" t="s">
        <v>4</v>
      </c>
      <c r="F3" s="47" t="s">
        <v>7</v>
      </c>
      <c r="G3" s="47"/>
      <c r="H3" s="47"/>
      <c r="I3" s="47" t="s">
        <v>455</v>
      </c>
      <c r="J3" s="47" t="s">
        <v>3</v>
      </c>
      <c r="K3" s="49" t="s">
        <v>2</v>
      </c>
    </row>
    <row r="4" spans="1:11" s="1" customFormat="1" ht="21" customHeight="1" thickBot="1">
      <c r="A4" s="60"/>
      <c r="B4" s="48"/>
      <c r="C4" s="48"/>
      <c r="D4" s="48"/>
      <c r="E4" s="48"/>
      <c r="F4" s="48"/>
      <c r="G4" s="6" t="s">
        <v>8</v>
      </c>
      <c r="H4" s="6" t="s">
        <v>9</v>
      </c>
      <c r="I4" s="48"/>
      <c r="J4" s="48"/>
      <c r="K4" s="50"/>
    </row>
    <row r="5" spans="1:11" ht="15">
      <c r="A5" s="63" t="s">
        <v>25</v>
      </c>
      <c r="B5" s="63"/>
      <c r="C5" s="63"/>
      <c r="D5" s="63"/>
      <c r="E5" s="63"/>
      <c r="F5" s="63"/>
      <c r="G5" s="63"/>
      <c r="H5" s="63"/>
      <c r="I5" s="63"/>
      <c r="J5" s="63"/>
      <c r="K5" s="63"/>
    </row>
    <row r="6" spans="1:11">
      <c r="A6" s="38" t="s">
        <v>678</v>
      </c>
      <c r="B6" s="38" t="s">
        <v>679</v>
      </c>
      <c r="C6" s="38" t="s">
        <v>569</v>
      </c>
      <c r="D6" s="7" t="str">
        <f>"0,6446"</f>
        <v>0,6446</v>
      </c>
      <c r="E6" s="38" t="s">
        <v>680</v>
      </c>
      <c r="F6" s="38" t="s">
        <v>681</v>
      </c>
      <c r="G6" s="39" t="s">
        <v>682</v>
      </c>
      <c r="H6" s="39" t="s">
        <v>683</v>
      </c>
      <c r="I6" s="21" t="s">
        <v>684</v>
      </c>
      <c r="J6" s="21"/>
      <c r="K6" s="7" t="s">
        <v>24</v>
      </c>
    </row>
    <row r="7" spans="1:11" ht="15">
      <c r="A7" s="62" t="s">
        <v>25</v>
      </c>
      <c r="B7" s="62"/>
      <c r="C7" s="62"/>
      <c r="D7" s="62"/>
      <c r="E7" s="62"/>
      <c r="F7" s="62"/>
      <c r="G7" s="62"/>
      <c r="H7" s="62"/>
      <c r="I7" s="62"/>
      <c r="J7" s="62"/>
      <c r="K7" s="62"/>
    </row>
    <row r="8" spans="1:11">
      <c r="A8" s="38" t="s">
        <v>685</v>
      </c>
      <c r="B8" s="38" t="s">
        <v>69</v>
      </c>
      <c r="C8" s="38" t="s">
        <v>686</v>
      </c>
      <c r="D8" s="7" t="str">
        <f>"0,6446"</f>
        <v>0,6446</v>
      </c>
      <c r="E8" s="38" t="s">
        <v>680</v>
      </c>
      <c r="F8" s="38" t="s">
        <v>681</v>
      </c>
      <c r="G8" s="39" t="s">
        <v>682</v>
      </c>
      <c r="H8" s="39" t="s">
        <v>687</v>
      </c>
      <c r="I8" s="21" t="s">
        <v>688</v>
      </c>
      <c r="J8" s="21"/>
      <c r="K8" s="7" t="s">
        <v>24</v>
      </c>
    </row>
    <row r="10" spans="1:11" ht="15">
      <c r="E10" s="18" t="s">
        <v>63</v>
      </c>
      <c r="F10" s="40" t="s">
        <v>693</v>
      </c>
    </row>
    <row r="11" spans="1:11" ht="15">
      <c r="E11" s="18" t="s">
        <v>64</v>
      </c>
      <c r="F11" s="40" t="s">
        <v>694</v>
      </c>
    </row>
    <row r="12" spans="1:11" ht="15">
      <c r="E12" s="18" t="s">
        <v>65</v>
      </c>
      <c r="F12" s="40" t="s">
        <v>695</v>
      </c>
    </row>
    <row r="13" spans="1:11" ht="15">
      <c r="E13" s="18" t="s">
        <v>66</v>
      </c>
      <c r="F13" s="40" t="s">
        <v>696</v>
      </c>
    </row>
    <row r="14" spans="1:11" ht="15">
      <c r="E14" s="18" t="s">
        <v>66</v>
      </c>
      <c r="F14" s="40" t="s">
        <v>697</v>
      </c>
    </row>
    <row r="15" spans="1:11" ht="15">
      <c r="E15" s="18"/>
    </row>
    <row r="16" spans="1:11" ht="15">
      <c r="C16" s="18"/>
      <c r="E16" s="18"/>
    </row>
    <row r="18" spans="1:2" ht="18">
      <c r="A18" s="26" t="s">
        <v>67</v>
      </c>
      <c r="B18" s="26"/>
    </row>
  </sheetData>
  <mergeCells count="13">
    <mergeCell ref="A1:K2"/>
    <mergeCell ref="A3:A4"/>
    <mergeCell ref="B3:B4"/>
    <mergeCell ref="C3:C4"/>
    <mergeCell ref="D3:D4"/>
    <mergeCell ref="E3:E4"/>
    <mergeCell ref="F3:F4"/>
    <mergeCell ref="A5:K5"/>
    <mergeCell ref="A7:K7"/>
    <mergeCell ref="G3:H3"/>
    <mergeCell ref="I3:I4"/>
    <mergeCell ref="J3:J4"/>
    <mergeCell ref="K3:K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E13" sqref="E13"/>
    </sheetView>
  </sheetViews>
  <sheetFormatPr defaultRowHeight="12.75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19.42578125" style="4" customWidth="1"/>
    <col min="7" max="7" width="5.5703125" style="3" customWidth="1"/>
    <col min="8" max="8" width="10.42578125" style="3" customWidth="1"/>
    <col min="9" max="9" width="7.85546875" style="19" bestFit="1" customWidth="1"/>
    <col min="10" max="10" width="9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>
      <c r="A1" s="53" t="s">
        <v>449</v>
      </c>
      <c r="B1" s="54"/>
      <c r="C1" s="54"/>
      <c r="D1" s="54"/>
      <c r="E1" s="54"/>
      <c r="F1" s="54"/>
      <c r="G1" s="54"/>
      <c r="H1" s="54"/>
      <c r="I1" s="54"/>
      <c r="J1" s="54"/>
      <c r="K1" s="55"/>
    </row>
    <row r="2" spans="1:11" s="2" customFormat="1" ht="62.1" customHeight="1" thickBot="1">
      <c r="A2" s="56"/>
      <c r="B2" s="57"/>
      <c r="C2" s="57"/>
      <c r="D2" s="57"/>
      <c r="E2" s="57"/>
      <c r="F2" s="57"/>
      <c r="G2" s="57"/>
      <c r="H2" s="57"/>
      <c r="I2" s="57"/>
      <c r="J2" s="57"/>
      <c r="K2" s="58"/>
    </row>
    <row r="3" spans="1:11" s="1" customFormat="1" ht="12.75" customHeight="1">
      <c r="A3" s="59" t="s">
        <v>0</v>
      </c>
      <c r="B3" s="61" t="s">
        <v>6</v>
      </c>
      <c r="C3" s="61" t="s">
        <v>10</v>
      </c>
      <c r="D3" s="47" t="s">
        <v>450</v>
      </c>
      <c r="E3" s="47" t="s">
        <v>4</v>
      </c>
      <c r="F3" s="47" t="s">
        <v>7</v>
      </c>
      <c r="G3" s="47" t="s">
        <v>432</v>
      </c>
      <c r="H3" s="47"/>
      <c r="I3" s="47" t="s">
        <v>455</v>
      </c>
      <c r="J3" s="47" t="s">
        <v>3</v>
      </c>
      <c r="K3" s="49" t="s">
        <v>2</v>
      </c>
    </row>
    <row r="4" spans="1:11" s="1" customFormat="1" ht="21" customHeight="1" thickBot="1">
      <c r="A4" s="60"/>
      <c r="B4" s="48"/>
      <c r="C4" s="48"/>
      <c r="D4" s="48"/>
      <c r="E4" s="48"/>
      <c r="F4" s="48"/>
      <c r="G4" s="6" t="s">
        <v>8</v>
      </c>
      <c r="H4" s="6" t="s">
        <v>9</v>
      </c>
      <c r="I4" s="48"/>
      <c r="J4" s="48"/>
      <c r="K4" s="50"/>
    </row>
    <row r="5" spans="1:11" ht="15">
      <c r="A5" s="51" t="s">
        <v>93</v>
      </c>
      <c r="B5" s="52"/>
      <c r="C5" s="52"/>
      <c r="D5" s="52"/>
      <c r="E5" s="52"/>
      <c r="F5" s="52"/>
      <c r="G5" s="52"/>
      <c r="H5" s="52"/>
    </row>
    <row r="6" spans="1:11">
      <c r="A6" s="7" t="s">
        <v>95</v>
      </c>
      <c r="B6" s="7" t="s">
        <v>102</v>
      </c>
      <c r="C6" s="7" t="s">
        <v>97</v>
      </c>
      <c r="D6" s="7" t="str">
        <f>"0,6446"</f>
        <v>0,6446</v>
      </c>
      <c r="E6" s="7" t="s">
        <v>98</v>
      </c>
      <c r="F6" s="7" t="s">
        <v>20</v>
      </c>
      <c r="G6" s="9" t="s">
        <v>21</v>
      </c>
      <c r="H6" s="9" t="s">
        <v>451</v>
      </c>
      <c r="I6" s="20" t="str">
        <f>"3190,0"</f>
        <v>3190,0</v>
      </c>
      <c r="J6" s="21" t="str">
        <f>"2056,2739"</f>
        <v>2056,2739</v>
      </c>
      <c r="K6" s="7" t="s">
        <v>24</v>
      </c>
    </row>
    <row r="8" spans="1:11" ht="15">
      <c r="E8" s="18" t="s">
        <v>63</v>
      </c>
      <c r="F8" s="40" t="s">
        <v>693</v>
      </c>
    </row>
    <row r="9" spans="1:11" ht="15">
      <c r="E9" s="18" t="s">
        <v>64</v>
      </c>
      <c r="F9" s="40" t="s">
        <v>694</v>
      </c>
    </row>
    <row r="10" spans="1:11" ht="15">
      <c r="E10" s="18" t="s">
        <v>65</v>
      </c>
      <c r="F10" s="40" t="s">
        <v>695</v>
      </c>
    </row>
    <row r="11" spans="1:11" ht="15">
      <c r="E11" s="18" t="s">
        <v>66</v>
      </c>
      <c r="F11" s="40" t="s">
        <v>696</v>
      </c>
    </row>
    <row r="12" spans="1:11" ht="15">
      <c r="E12" s="18" t="s">
        <v>66</v>
      </c>
      <c r="F12" s="40" t="s">
        <v>697</v>
      </c>
    </row>
    <row r="13" spans="1:11" ht="15">
      <c r="E13" s="18"/>
    </row>
    <row r="14" spans="1:11" ht="15">
      <c r="E14" s="18"/>
    </row>
    <row r="16" spans="1:11" ht="18">
      <c r="A16" s="26" t="s">
        <v>67</v>
      </c>
      <c r="B16" s="26"/>
    </row>
    <row r="17" spans="1:5" ht="15">
      <c r="A17" s="27" t="s">
        <v>68</v>
      </c>
      <c r="B17" s="27"/>
    </row>
    <row r="18" spans="1:5" ht="14.25">
      <c r="A18" s="29"/>
      <c r="B18" s="30" t="s">
        <v>80</v>
      </c>
    </row>
    <row r="19" spans="1:5" ht="15">
      <c r="A19" s="31" t="s">
        <v>70</v>
      </c>
      <c r="B19" s="31" t="s">
        <v>71</v>
      </c>
      <c r="C19" s="31" t="s">
        <v>72</v>
      </c>
      <c r="D19" s="31" t="s">
        <v>74</v>
      </c>
      <c r="E19" s="31" t="s">
        <v>452</v>
      </c>
    </row>
    <row r="20" spans="1:5">
      <c r="A20" s="28" t="s">
        <v>94</v>
      </c>
      <c r="B20" s="4" t="s">
        <v>105</v>
      </c>
      <c r="C20" s="4" t="s">
        <v>103</v>
      </c>
      <c r="D20" s="4" t="s">
        <v>453</v>
      </c>
      <c r="E20" s="19" t="s">
        <v>454</v>
      </c>
    </row>
  </sheetData>
  <mergeCells count="12"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  <mergeCell ref="A5:H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Q27"/>
  <sheetViews>
    <sheetView workbookViewId="0">
      <selection activeCell="E16" sqref="E16"/>
    </sheetView>
  </sheetViews>
  <sheetFormatPr defaultRowHeight="12.75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18.5703125" style="4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5" width="7.85546875" style="19" bestFit="1" customWidth="1"/>
    <col min="16" max="16" width="8.5703125" style="2" bestFit="1" customWidth="1"/>
    <col min="17" max="17" width="8.85546875" style="4" bestFit="1" customWidth="1"/>
    <col min="18" max="16384" width="9.140625" style="3"/>
  </cols>
  <sheetData>
    <row r="1" spans="1:17" s="2" customFormat="1" ht="29.1" customHeight="1">
      <c r="A1" s="53" t="s">
        <v>440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5"/>
    </row>
    <row r="2" spans="1:17" s="2" customFormat="1" ht="62.1" customHeight="1" thickBot="1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8"/>
    </row>
    <row r="3" spans="1:17" s="1" customFormat="1" ht="12.75" customHeight="1">
      <c r="A3" s="59" t="s">
        <v>0</v>
      </c>
      <c r="B3" s="61" t="s">
        <v>6</v>
      </c>
      <c r="C3" s="61" t="s">
        <v>10</v>
      </c>
      <c r="D3" s="47" t="s">
        <v>12</v>
      </c>
      <c r="E3" s="47" t="s">
        <v>4</v>
      </c>
      <c r="F3" s="47" t="s">
        <v>7</v>
      </c>
      <c r="G3" s="47" t="s">
        <v>13</v>
      </c>
      <c r="H3" s="47"/>
      <c r="I3" s="47"/>
      <c r="J3" s="47"/>
      <c r="K3" s="47" t="s">
        <v>366</v>
      </c>
      <c r="L3" s="47"/>
      <c r="M3" s="47"/>
      <c r="N3" s="47"/>
      <c r="O3" s="47" t="s">
        <v>1</v>
      </c>
      <c r="P3" s="47" t="s">
        <v>3</v>
      </c>
      <c r="Q3" s="49" t="s">
        <v>2</v>
      </c>
    </row>
    <row r="4" spans="1:17" s="1" customFormat="1" ht="21" customHeight="1" thickBot="1">
      <c r="A4" s="60"/>
      <c r="B4" s="48"/>
      <c r="C4" s="48"/>
      <c r="D4" s="48"/>
      <c r="E4" s="48"/>
      <c r="F4" s="48"/>
      <c r="G4" s="6">
        <v>1</v>
      </c>
      <c r="H4" s="6">
        <v>2</v>
      </c>
      <c r="I4" s="6">
        <v>3</v>
      </c>
      <c r="J4" s="6" t="s">
        <v>5</v>
      </c>
      <c r="K4" s="6">
        <v>1</v>
      </c>
      <c r="L4" s="6">
        <v>2</v>
      </c>
      <c r="M4" s="6">
        <v>3</v>
      </c>
      <c r="N4" s="6" t="s">
        <v>5</v>
      </c>
      <c r="O4" s="48"/>
      <c r="P4" s="48"/>
      <c r="Q4" s="50"/>
    </row>
    <row r="5" spans="1:17" ht="15">
      <c r="A5" s="51" t="s">
        <v>107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7">
      <c r="A6" s="7" t="s">
        <v>246</v>
      </c>
      <c r="B6" s="7" t="s">
        <v>247</v>
      </c>
      <c r="C6" s="7" t="s">
        <v>248</v>
      </c>
      <c r="D6" s="7" t="str">
        <f>"0,7278"</f>
        <v>0,7278</v>
      </c>
      <c r="E6" s="7" t="s">
        <v>112</v>
      </c>
      <c r="F6" s="7" t="s">
        <v>20</v>
      </c>
      <c r="G6" s="9" t="s">
        <v>249</v>
      </c>
      <c r="H6" s="9" t="s">
        <v>147</v>
      </c>
      <c r="I6" s="8"/>
      <c r="J6" s="8"/>
      <c r="K6" s="9" t="s">
        <v>47</v>
      </c>
      <c r="L6" s="9" t="s">
        <v>55</v>
      </c>
      <c r="M6" s="9" t="s">
        <v>395</v>
      </c>
      <c r="N6" s="8"/>
      <c r="O6" s="20" t="str">
        <f>"252,5"</f>
        <v>252,5</v>
      </c>
      <c r="P6" s="21" t="str">
        <f>"382,7919"</f>
        <v>382,7919</v>
      </c>
      <c r="Q6" s="7" t="s">
        <v>24</v>
      </c>
    </row>
    <row r="8" spans="1:17" ht="15">
      <c r="A8" s="62" t="s">
        <v>93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</row>
    <row r="9" spans="1:17">
      <c r="A9" s="7" t="s">
        <v>442</v>
      </c>
      <c r="B9" s="7" t="s">
        <v>443</v>
      </c>
      <c r="C9" s="7" t="s">
        <v>444</v>
      </c>
      <c r="D9" s="7" t="str">
        <f>"0,5410"</f>
        <v>0,5410</v>
      </c>
      <c r="E9" s="7" t="s">
        <v>30</v>
      </c>
      <c r="F9" s="7" t="s">
        <v>20</v>
      </c>
      <c r="G9" s="9" t="s">
        <v>56</v>
      </c>
      <c r="H9" s="9" t="s">
        <v>184</v>
      </c>
      <c r="I9" s="8" t="s">
        <v>62</v>
      </c>
      <c r="J9" s="8"/>
      <c r="K9" s="9" t="s">
        <v>362</v>
      </c>
      <c r="L9" s="9" t="s">
        <v>363</v>
      </c>
      <c r="M9" s="8" t="s">
        <v>321</v>
      </c>
      <c r="N9" s="8"/>
      <c r="O9" s="20" t="str">
        <f>"440,0"</f>
        <v>440,0</v>
      </c>
      <c r="P9" s="21" t="str">
        <f>"238,0400"</f>
        <v>238,0400</v>
      </c>
      <c r="Q9" s="7" t="s">
        <v>24</v>
      </c>
    </row>
    <row r="11" spans="1:17" ht="15">
      <c r="E11" s="18" t="s">
        <v>63</v>
      </c>
      <c r="F11" s="40" t="s">
        <v>693</v>
      </c>
    </row>
    <row r="12" spans="1:17" ht="15">
      <c r="E12" s="18" t="s">
        <v>64</v>
      </c>
      <c r="F12" s="40" t="s">
        <v>694</v>
      </c>
    </row>
    <row r="13" spans="1:17" ht="15">
      <c r="E13" s="18" t="s">
        <v>65</v>
      </c>
      <c r="F13" s="40" t="s">
        <v>695</v>
      </c>
    </row>
    <row r="14" spans="1:17" ht="15">
      <c r="E14" s="18" t="s">
        <v>66</v>
      </c>
      <c r="F14" s="40" t="s">
        <v>696</v>
      </c>
    </row>
    <row r="15" spans="1:17" ht="15">
      <c r="E15" s="18" t="s">
        <v>66</v>
      </c>
      <c r="F15" s="40" t="s">
        <v>697</v>
      </c>
    </row>
    <row r="16" spans="1:17" ht="15">
      <c r="E16" s="18"/>
    </row>
    <row r="17" spans="1:5" ht="15">
      <c r="E17" s="18"/>
    </row>
    <row r="19" spans="1:5" ht="18">
      <c r="A19" s="26" t="s">
        <v>67</v>
      </c>
      <c r="B19" s="26"/>
    </row>
    <row r="20" spans="1:5" ht="15">
      <c r="A20" s="27" t="s">
        <v>68</v>
      </c>
      <c r="B20" s="27"/>
    </row>
    <row r="21" spans="1:5" ht="14.25">
      <c r="A21" s="29"/>
      <c r="B21" s="30" t="s">
        <v>69</v>
      </c>
    </row>
    <row r="22" spans="1:5" ht="15">
      <c r="A22" s="31" t="s">
        <v>70</v>
      </c>
      <c r="B22" s="31" t="s">
        <v>71</v>
      </c>
      <c r="C22" s="31" t="s">
        <v>72</v>
      </c>
      <c r="D22" s="31" t="s">
        <v>73</v>
      </c>
      <c r="E22" s="31" t="s">
        <v>75</v>
      </c>
    </row>
    <row r="23" spans="1:5">
      <c r="A23" s="28" t="s">
        <v>441</v>
      </c>
      <c r="B23" s="4" t="s">
        <v>69</v>
      </c>
      <c r="C23" s="4" t="s">
        <v>103</v>
      </c>
      <c r="D23" s="4" t="s">
        <v>445</v>
      </c>
      <c r="E23" s="19" t="s">
        <v>446</v>
      </c>
    </row>
    <row r="25" spans="1:5" ht="14.25">
      <c r="A25" s="29"/>
      <c r="B25" s="30" t="s">
        <v>80</v>
      </c>
    </row>
    <row r="26" spans="1:5" ht="15">
      <c r="A26" s="31" t="s">
        <v>70</v>
      </c>
      <c r="B26" s="31" t="s">
        <v>71</v>
      </c>
      <c r="C26" s="31" t="s">
        <v>72</v>
      </c>
      <c r="D26" s="31" t="s">
        <v>73</v>
      </c>
      <c r="E26" s="31" t="s">
        <v>75</v>
      </c>
    </row>
    <row r="27" spans="1:5">
      <c r="A27" s="28" t="s">
        <v>245</v>
      </c>
      <c r="B27" s="4" t="s">
        <v>283</v>
      </c>
      <c r="C27" s="4" t="s">
        <v>213</v>
      </c>
      <c r="D27" s="4" t="s">
        <v>447</v>
      </c>
      <c r="E27" s="19" t="s">
        <v>448</v>
      </c>
    </row>
  </sheetData>
  <mergeCells count="14">
    <mergeCell ref="A1:Q2"/>
    <mergeCell ref="A3:A4"/>
    <mergeCell ref="B3:B4"/>
    <mergeCell ref="C3:C4"/>
    <mergeCell ref="D3:D4"/>
    <mergeCell ref="E3:E4"/>
    <mergeCell ref="F3:F4"/>
    <mergeCell ref="G3:J3"/>
    <mergeCell ref="K3:N3"/>
    <mergeCell ref="A8:N8"/>
    <mergeCell ref="O3:O4"/>
    <mergeCell ref="P3:P4"/>
    <mergeCell ref="Q3:Q4"/>
    <mergeCell ref="A5:N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O20"/>
  <sheetViews>
    <sheetView workbookViewId="0">
      <selection activeCell="E13" sqref="E13"/>
    </sheetView>
  </sheetViews>
  <sheetFormatPr defaultRowHeight="12.75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19.7109375" style="4" customWidth="1"/>
    <col min="7" max="9" width="5.5703125" style="3" customWidth="1"/>
    <col min="10" max="10" width="4.85546875" style="3" customWidth="1"/>
    <col min="11" max="11" width="5" style="3" customWidth="1"/>
    <col min="12" max="12" width="10.42578125" style="3" customWidth="1"/>
    <col min="13" max="13" width="7.85546875" style="19" bestFit="1" customWidth="1"/>
    <col min="14" max="14" width="6.5703125" style="2" bestFit="1" customWidth="1"/>
    <col min="15" max="15" width="8.85546875" style="4" bestFit="1" customWidth="1"/>
    <col min="16" max="16384" width="9.140625" style="3"/>
  </cols>
  <sheetData>
    <row r="1" spans="1:15" s="2" customFormat="1" ht="29.1" customHeight="1">
      <c r="A1" s="53" t="s">
        <v>431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</row>
    <row r="2" spans="1:15" s="2" customFormat="1" ht="62.1" customHeight="1" thickBot="1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8"/>
    </row>
    <row r="3" spans="1:15" s="1" customFormat="1" ht="12.75" customHeight="1">
      <c r="A3" s="59" t="s">
        <v>0</v>
      </c>
      <c r="B3" s="61" t="s">
        <v>6</v>
      </c>
      <c r="C3" s="61" t="s">
        <v>10</v>
      </c>
      <c r="D3" s="47" t="s">
        <v>439</v>
      </c>
      <c r="E3" s="47" t="s">
        <v>4</v>
      </c>
      <c r="F3" s="47" t="s">
        <v>7</v>
      </c>
      <c r="G3" s="47" t="s">
        <v>13</v>
      </c>
      <c r="H3" s="47"/>
      <c r="I3" s="47"/>
      <c r="J3" s="47"/>
      <c r="K3" s="47" t="s">
        <v>432</v>
      </c>
      <c r="L3" s="47"/>
      <c r="M3" s="47" t="s">
        <v>1</v>
      </c>
      <c r="N3" s="47" t="s">
        <v>3</v>
      </c>
      <c r="O3" s="49" t="s">
        <v>2</v>
      </c>
    </row>
    <row r="4" spans="1:15" s="1" customFormat="1" ht="21" customHeight="1" thickBot="1">
      <c r="A4" s="60"/>
      <c r="B4" s="48"/>
      <c r="C4" s="48"/>
      <c r="D4" s="48"/>
      <c r="E4" s="48"/>
      <c r="F4" s="48"/>
      <c r="G4" s="6">
        <v>1</v>
      </c>
      <c r="H4" s="6">
        <v>2</v>
      </c>
      <c r="I4" s="6">
        <v>3</v>
      </c>
      <c r="J4" s="6" t="s">
        <v>5</v>
      </c>
      <c r="K4" s="6" t="s">
        <v>8</v>
      </c>
      <c r="L4" s="6" t="s">
        <v>9</v>
      </c>
      <c r="M4" s="48"/>
      <c r="N4" s="48"/>
      <c r="O4" s="50"/>
    </row>
    <row r="5" spans="1:15" ht="15">
      <c r="A5" s="51" t="s">
        <v>14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</row>
    <row r="6" spans="1:15">
      <c r="A6" s="7" t="s">
        <v>434</v>
      </c>
      <c r="B6" s="7" t="s">
        <v>435</v>
      </c>
      <c r="C6" s="7" t="s">
        <v>436</v>
      </c>
      <c r="D6" s="7" t="str">
        <f>"0,6939"</f>
        <v>0,6939</v>
      </c>
      <c r="E6" s="7" t="s">
        <v>19</v>
      </c>
      <c r="F6" s="7" t="s">
        <v>20</v>
      </c>
      <c r="G6" s="9" t="s">
        <v>22</v>
      </c>
      <c r="H6" s="8" t="s">
        <v>23</v>
      </c>
      <c r="I6" s="9" t="s">
        <v>23</v>
      </c>
      <c r="J6" s="8"/>
      <c r="K6" s="39" t="s">
        <v>131</v>
      </c>
      <c r="L6" s="39" t="s">
        <v>689</v>
      </c>
      <c r="M6" s="21" t="s">
        <v>690</v>
      </c>
      <c r="N6" s="21" t="s">
        <v>690</v>
      </c>
      <c r="O6" s="7" t="s">
        <v>24</v>
      </c>
    </row>
    <row r="8" spans="1:15" ht="15">
      <c r="E8" s="18" t="s">
        <v>63</v>
      </c>
      <c r="F8" s="40" t="s">
        <v>693</v>
      </c>
    </row>
    <row r="9" spans="1:15" ht="15">
      <c r="E9" s="18" t="s">
        <v>64</v>
      </c>
      <c r="F9" s="40" t="s">
        <v>694</v>
      </c>
    </row>
    <row r="10" spans="1:15" ht="15">
      <c r="E10" s="18" t="s">
        <v>65</v>
      </c>
      <c r="F10" s="40" t="s">
        <v>695</v>
      </c>
    </row>
    <row r="11" spans="1:15" ht="15">
      <c r="E11" s="18" t="s">
        <v>66</v>
      </c>
      <c r="F11" s="40" t="s">
        <v>696</v>
      </c>
    </row>
    <row r="12" spans="1:15" ht="15">
      <c r="E12" s="18" t="s">
        <v>66</v>
      </c>
      <c r="F12" s="40" t="s">
        <v>697</v>
      </c>
    </row>
    <row r="13" spans="1:15" ht="15">
      <c r="E13" s="18"/>
    </row>
    <row r="14" spans="1:15" ht="15">
      <c r="E14" s="18"/>
    </row>
    <row r="16" spans="1:15" ht="18">
      <c r="A16" s="26" t="s">
        <v>67</v>
      </c>
      <c r="B16" s="26"/>
    </row>
    <row r="17" spans="1:5" ht="15">
      <c r="A17" s="27" t="s">
        <v>68</v>
      </c>
      <c r="B17" s="27"/>
    </row>
    <row r="18" spans="1:5" ht="14.25">
      <c r="A18" s="29"/>
      <c r="B18" s="30" t="s">
        <v>80</v>
      </c>
    </row>
    <row r="19" spans="1:5" ht="15">
      <c r="A19" s="31" t="s">
        <v>70</v>
      </c>
      <c r="B19" s="31" t="s">
        <v>71</v>
      </c>
      <c r="C19" s="31" t="s">
        <v>72</v>
      </c>
      <c r="D19" s="31" t="s">
        <v>73</v>
      </c>
      <c r="E19" s="31" t="s">
        <v>437</v>
      </c>
    </row>
    <row r="20" spans="1:5">
      <c r="A20" s="3" t="s">
        <v>433</v>
      </c>
      <c r="B20" s="3" t="s">
        <v>88</v>
      </c>
      <c r="C20" s="3" t="s">
        <v>89</v>
      </c>
      <c r="D20" s="5" t="s">
        <v>690</v>
      </c>
      <c r="E20" s="2" t="s">
        <v>438</v>
      </c>
    </row>
  </sheetData>
  <mergeCells count="13">
    <mergeCell ref="A1:O2"/>
    <mergeCell ref="A3:A4"/>
    <mergeCell ref="B3:B4"/>
    <mergeCell ref="C3:C4"/>
    <mergeCell ref="D3:D4"/>
    <mergeCell ref="E3:E4"/>
    <mergeCell ref="F3:F4"/>
    <mergeCell ref="G3:J3"/>
    <mergeCell ref="K3:L3"/>
    <mergeCell ref="M3:M4"/>
    <mergeCell ref="N3:N4"/>
    <mergeCell ref="O3:O4"/>
    <mergeCell ref="A5:L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E13" sqref="E13"/>
    </sheetView>
  </sheetViews>
  <sheetFormatPr defaultRowHeight="12.75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32.28515625" style="4" bestFit="1" customWidth="1"/>
    <col min="6" max="6" width="20.85546875" style="4" bestFit="1" customWidth="1"/>
    <col min="7" max="7" width="5" style="3" customWidth="1"/>
    <col min="8" max="8" width="10.42578125" style="3" customWidth="1"/>
    <col min="9" max="9" width="7.85546875" style="19" bestFit="1" customWidth="1"/>
    <col min="10" max="10" width="9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>
      <c r="A1" s="53" t="s">
        <v>672</v>
      </c>
      <c r="B1" s="54"/>
      <c r="C1" s="54"/>
      <c r="D1" s="54"/>
      <c r="E1" s="54"/>
      <c r="F1" s="54"/>
      <c r="G1" s="54"/>
      <c r="H1" s="54"/>
      <c r="I1" s="54"/>
      <c r="J1" s="54"/>
      <c r="K1" s="55"/>
    </row>
    <row r="2" spans="1:11" s="2" customFormat="1" ht="62.1" customHeight="1" thickBot="1">
      <c r="A2" s="56"/>
      <c r="B2" s="57"/>
      <c r="C2" s="57"/>
      <c r="D2" s="57"/>
      <c r="E2" s="57"/>
      <c r="F2" s="57"/>
      <c r="G2" s="57"/>
      <c r="H2" s="57"/>
      <c r="I2" s="57"/>
      <c r="J2" s="57"/>
      <c r="K2" s="58"/>
    </row>
    <row r="3" spans="1:11" s="1" customFormat="1" ht="12.75" customHeight="1">
      <c r="A3" s="59" t="s">
        <v>0</v>
      </c>
      <c r="B3" s="61" t="s">
        <v>6</v>
      </c>
      <c r="C3" s="61" t="s">
        <v>10</v>
      </c>
      <c r="D3" s="47" t="s">
        <v>450</v>
      </c>
      <c r="E3" s="47" t="s">
        <v>4</v>
      </c>
      <c r="F3" s="47" t="s">
        <v>7</v>
      </c>
      <c r="G3" s="47" t="s">
        <v>673</v>
      </c>
      <c r="H3" s="47"/>
      <c r="I3" s="47" t="s">
        <v>455</v>
      </c>
      <c r="J3" s="47" t="s">
        <v>3</v>
      </c>
      <c r="K3" s="49" t="s">
        <v>2</v>
      </c>
    </row>
    <row r="4" spans="1:11" s="1" customFormat="1" ht="21" customHeight="1" thickBot="1">
      <c r="A4" s="60"/>
      <c r="B4" s="48"/>
      <c r="C4" s="48"/>
      <c r="D4" s="48"/>
      <c r="E4" s="48"/>
      <c r="F4" s="48"/>
      <c r="G4" s="6" t="s">
        <v>8</v>
      </c>
      <c r="H4" s="6" t="s">
        <v>9</v>
      </c>
      <c r="I4" s="48"/>
      <c r="J4" s="48"/>
      <c r="K4" s="50"/>
    </row>
    <row r="5" spans="1:11" ht="15">
      <c r="A5" s="51" t="s">
        <v>25</v>
      </c>
      <c r="B5" s="52"/>
      <c r="C5" s="52"/>
      <c r="D5" s="52"/>
      <c r="E5" s="52"/>
      <c r="F5" s="52"/>
      <c r="G5" s="52"/>
      <c r="H5" s="52"/>
    </row>
    <row r="6" spans="1:11">
      <c r="A6" s="7" t="s">
        <v>34</v>
      </c>
      <c r="B6" s="7" t="s">
        <v>35</v>
      </c>
      <c r="C6" s="7" t="s">
        <v>36</v>
      </c>
      <c r="D6" s="7" t="str">
        <f>"0,7230"</f>
        <v>0,7230</v>
      </c>
      <c r="E6" s="7" t="s">
        <v>37</v>
      </c>
      <c r="F6" s="7" t="s">
        <v>38</v>
      </c>
      <c r="G6" s="9" t="s">
        <v>487</v>
      </c>
      <c r="H6" s="9" t="s">
        <v>139</v>
      </c>
      <c r="I6" s="20" t="str">
        <f>"2700,0"</f>
        <v>2700,0</v>
      </c>
      <c r="J6" s="21" t="str">
        <f>"1952,1000"</f>
        <v>1952,1000</v>
      </c>
      <c r="K6" s="7" t="s">
        <v>24</v>
      </c>
    </row>
    <row r="8" spans="1:11" ht="15">
      <c r="E8" s="18" t="s">
        <v>63</v>
      </c>
      <c r="F8" s="40" t="s">
        <v>693</v>
      </c>
    </row>
    <row r="9" spans="1:11" ht="15">
      <c r="E9" s="18" t="s">
        <v>64</v>
      </c>
      <c r="F9" s="40" t="s">
        <v>694</v>
      </c>
    </row>
    <row r="10" spans="1:11" ht="15">
      <c r="E10" s="18" t="s">
        <v>65</v>
      </c>
      <c r="F10" s="40" t="s">
        <v>695</v>
      </c>
    </row>
    <row r="11" spans="1:11" ht="15">
      <c r="E11" s="18" t="s">
        <v>66</v>
      </c>
      <c r="F11" s="40" t="s">
        <v>696</v>
      </c>
    </row>
    <row r="12" spans="1:11" ht="15">
      <c r="E12" s="18" t="s">
        <v>66</v>
      </c>
      <c r="F12" s="40" t="s">
        <v>697</v>
      </c>
    </row>
    <row r="13" spans="1:11" ht="15">
      <c r="E13" s="18"/>
    </row>
    <row r="14" spans="1:11" ht="15">
      <c r="E14" s="18"/>
    </row>
    <row r="16" spans="1:11" ht="18">
      <c r="A16" s="26" t="s">
        <v>67</v>
      </c>
      <c r="B16" s="26"/>
    </row>
    <row r="17" spans="1:5" ht="15">
      <c r="A17" s="27" t="s">
        <v>68</v>
      </c>
      <c r="B17" s="27"/>
    </row>
    <row r="18" spans="1:5" ht="14.25">
      <c r="A18" s="29"/>
      <c r="B18" s="30" t="s">
        <v>80</v>
      </c>
    </row>
    <row r="19" spans="1:5" ht="15">
      <c r="A19" s="31" t="s">
        <v>70</v>
      </c>
      <c r="B19" s="31" t="s">
        <v>71</v>
      </c>
      <c r="C19" s="31" t="s">
        <v>72</v>
      </c>
      <c r="D19" s="31" t="s">
        <v>74</v>
      </c>
      <c r="E19" s="31" t="s">
        <v>452</v>
      </c>
    </row>
    <row r="20" spans="1:5">
      <c r="A20" s="28" t="s">
        <v>33</v>
      </c>
      <c r="B20" s="4" t="s">
        <v>81</v>
      </c>
      <c r="C20" s="4" t="s">
        <v>82</v>
      </c>
      <c r="D20" s="4" t="s">
        <v>674</v>
      </c>
      <c r="E20" s="19" t="s">
        <v>675</v>
      </c>
    </row>
  </sheetData>
  <mergeCells count="12"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  <mergeCell ref="A5:H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Q20"/>
  <sheetViews>
    <sheetView workbookViewId="0">
      <selection activeCell="E13" sqref="E13"/>
    </sheetView>
  </sheetViews>
  <sheetFormatPr defaultRowHeight="12.75"/>
  <cols>
    <col min="1" max="1" width="26" style="4" bestFit="1" customWidth="1"/>
    <col min="2" max="2" width="27.710937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28.140625" style="4" bestFit="1" customWidth="1"/>
    <col min="7" max="9" width="4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5" width="7.85546875" style="19" bestFit="1" customWidth="1"/>
    <col min="16" max="16" width="8.5703125" style="2" bestFit="1" customWidth="1"/>
    <col min="17" max="17" width="8.85546875" style="4" bestFit="1" customWidth="1"/>
    <col min="18" max="16384" width="9.140625" style="3"/>
  </cols>
  <sheetData>
    <row r="1" spans="1:17" s="2" customFormat="1" ht="29.1" customHeight="1">
      <c r="A1" s="53" t="s">
        <v>422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5"/>
    </row>
    <row r="2" spans="1:17" s="2" customFormat="1" ht="62.1" customHeight="1" thickBot="1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8"/>
    </row>
    <row r="3" spans="1:17" s="1" customFormat="1" ht="12.75" customHeight="1">
      <c r="A3" s="59" t="s">
        <v>0</v>
      </c>
      <c r="B3" s="61" t="s">
        <v>6</v>
      </c>
      <c r="C3" s="61" t="s">
        <v>10</v>
      </c>
      <c r="D3" s="47" t="s">
        <v>12</v>
      </c>
      <c r="E3" s="47" t="s">
        <v>4</v>
      </c>
      <c r="F3" s="47" t="s">
        <v>7</v>
      </c>
      <c r="G3" s="47" t="s">
        <v>13</v>
      </c>
      <c r="H3" s="47"/>
      <c r="I3" s="47"/>
      <c r="J3" s="47"/>
      <c r="K3" s="47" t="s">
        <v>366</v>
      </c>
      <c r="L3" s="47"/>
      <c r="M3" s="47"/>
      <c r="N3" s="47"/>
      <c r="O3" s="47" t="s">
        <v>1</v>
      </c>
      <c r="P3" s="47" t="s">
        <v>3</v>
      </c>
      <c r="Q3" s="49" t="s">
        <v>2</v>
      </c>
    </row>
    <row r="4" spans="1:17" s="1" customFormat="1" ht="21" customHeight="1" thickBot="1">
      <c r="A4" s="60"/>
      <c r="B4" s="48"/>
      <c r="C4" s="48"/>
      <c r="D4" s="48"/>
      <c r="E4" s="48"/>
      <c r="F4" s="48"/>
      <c r="G4" s="6">
        <v>1</v>
      </c>
      <c r="H4" s="6">
        <v>2</v>
      </c>
      <c r="I4" s="6">
        <v>3</v>
      </c>
      <c r="J4" s="6" t="s">
        <v>5</v>
      </c>
      <c r="K4" s="6">
        <v>1</v>
      </c>
      <c r="L4" s="6">
        <v>2</v>
      </c>
      <c r="M4" s="6">
        <v>3</v>
      </c>
      <c r="N4" s="6" t="s">
        <v>5</v>
      </c>
      <c r="O4" s="48"/>
      <c r="P4" s="48"/>
      <c r="Q4" s="50"/>
    </row>
    <row r="5" spans="1:17" ht="15">
      <c r="A5" s="51" t="s">
        <v>25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7">
      <c r="A6" s="7" t="s">
        <v>424</v>
      </c>
      <c r="B6" s="7" t="s">
        <v>425</v>
      </c>
      <c r="C6" s="7" t="s">
        <v>426</v>
      </c>
      <c r="D6" s="7" t="str">
        <f>"0,6002"</f>
        <v>0,6002</v>
      </c>
      <c r="E6" s="7" t="s">
        <v>427</v>
      </c>
      <c r="F6" s="7" t="s">
        <v>428</v>
      </c>
      <c r="G6" s="9" t="s">
        <v>140</v>
      </c>
      <c r="H6" s="9" t="s">
        <v>377</v>
      </c>
      <c r="I6" s="8" t="s">
        <v>249</v>
      </c>
      <c r="J6" s="8"/>
      <c r="K6" s="9" t="s">
        <v>21</v>
      </c>
      <c r="L6" s="9" t="s">
        <v>23</v>
      </c>
      <c r="M6" s="9" t="s">
        <v>154</v>
      </c>
      <c r="N6" s="8"/>
      <c r="O6" s="20" t="str">
        <f>"205,0"</f>
        <v>205,0</v>
      </c>
      <c r="P6" s="21" t="str">
        <f>"132,8843"</f>
        <v>132,8843</v>
      </c>
      <c r="Q6" s="7" t="s">
        <v>24</v>
      </c>
    </row>
    <row r="8" spans="1:17" ht="15">
      <c r="E8" s="18" t="s">
        <v>63</v>
      </c>
      <c r="F8" s="40" t="s">
        <v>693</v>
      </c>
    </row>
    <row r="9" spans="1:17" ht="15">
      <c r="E9" s="18" t="s">
        <v>64</v>
      </c>
      <c r="F9" s="40" t="s">
        <v>694</v>
      </c>
    </row>
    <row r="10" spans="1:17" ht="15">
      <c r="E10" s="18" t="s">
        <v>65</v>
      </c>
      <c r="F10" s="40" t="s">
        <v>695</v>
      </c>
    </row>
    <row r="11" spans="1:17" ht="15">
      <c r="E11" s="18" t="s">
        <v>66</v>
      </c>
      <c r="F11" s="40" t="s">
        <v>696</v>
      </c>
    </row>
    <row r="12" spans="1:17" ht="15">
      <c r="E12" s="18" t="s">
        <v>66</v>
      </c>
      <c r="F12" s="40" t="s">
        <v>697</v>
      </c>
    </row>
    <row r="13" spans="1:17" ht="15">
      <c r="E13" s="18"/>
    </row>
    <row r="14" spans="1:17" ht="15">
      <c r="E14" s="18"/>
    </row>
    <row r="16" spans="1:17" ht="18">
      <c r="A16" s="26" t="s">
        <v>67</v>
      </c>
      <c r="B16" s="26"/>
    </row>
    <row r="17" spans="1:5" ht="15">
      <c r="A17" s="27" t="s">
        <v>68</v>
      </c>
      <c r="B17" s="27"/>
    </row>
    <row r="18" spans="1:5" ht="14.25">
      <c r="A18" s="29"/>
      <c r="B18" s="30" t="s">
        <v>218</v>
      </c>
    </row>
    <row r="19" spans="1:5" ht="15">
      <c r="A19" s="31" t="s">
        <v>70</v>
      </c>
      <c r="B19" s="31" t="s">
        <v>71</v>
      </c>
      <c r="C19" s="31" t="s">
        <v>72</v>
      </c>
      <c r="D19" s="31" t="s">
        <v>73</v>
      </c>
      <c r="E19" s="31" t="s">
        <v>75</v>
      </c>
    </row>
    <row r="20" spans="1:5">
      <c r="A20" s="28" t="s">
        <v>423</v>
      </c>
      <c r="B20" s="4" t="s">
        <v>219</v>
      </c>
      <c r="C20" s="4" t="s">
        <v>82</v>
      </c>
      <c r="D20" s="4" t="s">
        <v>429</v>
      </c>
      <c r="E20" s="19" t="s">
        <v>430</v>
      </c>
    </row>
  </sheetData>
  <mergeCells count="13">
    <mergeCell ref="O3:O4"/>
    <mergeCell ref="P3:P4"/>
    <mergeCell ref="Q3:Q4"/>
    <mergeCell ref="A5:N5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M37"/>
  <sheetViews>
    <sheetView workbookViewId="0">
      <selection activeCell="E22" sqref="E22"/>
    </sheetView>
  </sheetViews>
  <sheetFormatPr defaultRowHeight="12.75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3.42578125" style="4" bestFit="1" customWidth="1"/>
    <col min="7" max="9" width="5.5703125" style="3" customWidth="1"/>
    <col min="10" max="10" width="4.85546875" style="3" customWidth="1"/>
    <col min="11" max="11" width="7.85546875" style="19" bestFit="1" customWidth="1"/>
    <col min="12" max="12" width="8.5703125" style="2" bestFit="1" customWidth="1"/>
    <col min="13" max="13" width="26.85546875" style="4" bestFit="1" customWidth="1"/>
    <col min="14" max="16384" width="9.140625" style="3"/>
  </cols>
  <sheetData>
    <row r="1" spans="1:13" s="2" customFormat="1" ht="29.1" customHeight="1">
      <c r="A1" s="53" t="s">
        <v>394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.1" customHeight="1" thickBot="1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>
      <c r="A3" s="59" t="s">
        <v>0</v>
      </c>
      <c r="B3" s="61" t="s">
        <v>6</v>
      </c>
      <c r="C3" s="61" t="s">
        <v>10</v>
      </c>
      <c r="D3" s="47" t="s">
        <v>12</v>
      </c>
      <c r="E3" s="47" t="s">
        <v>4</v>
      </c>
      <c r="F3" s="47" t="s">
        <v>7</v>
      </c>
      <c r="G3" s="47" t="s">
        <v>366</v>
      </c>
      <c r="H3" s="47"/>
      <c r="I3" s="47"/>
      <c r="J3" s="47"/>
      <c r="K3" s="47" t="s">
        <v>91</v>
      </c>
      <c r="L3" s="47" t="s">
        <v>3</v>
      </c>
      <c r="M3" s="49" t="s">
        <v>2</v>
      </c>
    </row>
    <row r="4" spans="1:13" s="1" customFormat="1" ht="21" customHeight="1" thickBot="1">
      <c r="A4" s="60"/>
      <c r="B4" s="48"/>
      <c r="C4" s="48"/>
      <c r="D4" s="48"/>
      <c r="E4" s="48"/>
      <c r="F4" s="48"/>
      <c r="G4" s="6">
        <v>1</v>
      </c>
      <c r="H4" s="6">
        <v>2</v>
      </c>
      <c r="I4" s="6">
        <v>3</v>
      </c>
      <c r="J4" s="6" t="s">
        <v>5</v>
      </c>
      <c r="K4" s="48"/>
      <c r="L4" s="48"/>
      <c r="M4" s="50"/>
    </row>
    <row r="5" spans="1:13" ht="15">
      <c r="A5" s="51" t="s">
        <v>107</v>
      </c>
      <c r="B5" s="52"/>
      <c r="C5" s="52"/>
      <c r="D5" s="52"/>
      <c r="E5" s="52"/>
      <c r="F5" s="52"/>
      <c r="G5" s="52"/>
      <c r="H5" s="52"/>
      <c r="I5" s="52"/>
      <c r="J5" s="52"/>
    </row>
    <row r="6" spans="1:13">
      <c r="A6" s="7" t="s">
        <v>246</v>
      </c>
      <c r="B6" s="7" t="s">
        <v>247</v>
      </c>
      <c r="C6" s="7" t="s">
        <v>248</v>
      </c>
      <c r="D6" s="7" t="str">
        <f>"0,7278"</f>
        <v>0,7278</v>
      </c>
      <c r="E6" s="7" t="s">
        <v>112</v>
      </c>
      <c r="F6" s="7" t="s">
        <v>20</v>
      </c>
      <c r="G6" s="9" t="s">
        <v>47</v>
      </c>
      <c r="H6" s="9" t="s">
        <v>55</v>
      </c>
      <c r="I6" s="9" t="s">
        <v>395</v>
      </c>
      <c r="J6" s="8"/>
      <c r="K6" s="20" t="str">
        <f>"167,5"</f>
        <v>167,5</v>
      </c>
      <c r="L6" s="21" t="str">
        <f>"253,9312"</f>
        <v>253,9312</v>
      </c>
      <c r="M6" s="7" t="s">
        <v>24</v>
      </c>
    </row>
    <row r="8" spans="1:13" ht="15">
      <c r="A8" s="62" t="s">
        <v>25</v>
      </c>
      <c r="B8" s="62"/>
      <c r="C8" s="62"/>
      <c r="D8" s="62"/>
      <c r="E8" s="62"/>
      <c r="F8" s="62"/>
      <c r="G8" s="62"/>
      <c r="H8" s="62"/>
      <c r="I8" s="62"/>
      <c r="J8" s="62"/>
    </row>
    <row r="9" spans="1:13">
      <c r="A9" s="12" t="s">
        <v>397</v>
      </c>
      <c r="B9" s="12" t="s">
        <v>398</v>
      </c>
      <c r="C9" s="12" t="s">
        <v>399</v>
      </c>
      <c r="D9" s="12" t="str">
        <f>"0,5869"</f>
        <v>0,5869</v>
      </c>
      <c r="E9" s="12" t="s">
        <v>98</v>
      </c>
      <c r="F9" s="12" t="s">
        <v>20</v>
      </c>
      <c r="G9" s="14" t="s">
        <v>349</v>
      </c>
      <c r="H9" s="14" t="s">
        <v>400</v>
      </c>
      <c r="I9" s="14" t="s">
        <v>401</v>
      </c>
      <c r="J9" s="13"/>
      <c r="K9" s="22" t="str">
        <f>"332,5"</f>
        <v>332,5</v>
      </c>
      <c r="L9" s="23" t="str">
        <f>"195,1442"</f>
        <v>195,1442</v>
      </c>
      <c r="M9" s="12" t="s">
        <v>24</v>
      </c>
    </row>
    <row r="10" spans="1:13">
      <c r="A10" s="33" t="s">
        <v>403</v>
      </c>
      <c r="B10" s="33" t="s">
        <v>404</v>
      </c>
      <c r="C10" s="33" t="s">
        <v>405</v>
      </c>
      <c r="D10" s="33" t="str">
        <f>"0,5995"</f>
        <v>0,5995</v>
      </c>
      <c r="E10" s="33" t="s">
        <v>112</v>
      </c>
      <c r="F10" s="33" t="s">
        <v>20</v>
      </c>
      <c r="G10" s="35" t="s">
        <v>406</v>
      </c>
      <c r="H10" s="35" t="s">
        <v>191</v>
      </c>
      <c r="I10" s="35" t="s">
        <v>48</v>
      </c>
      <c r="J10" s="34"/>
      <c r="K10" s="36" t="str">
        <f>"162,5"</f>
        <v>162,5</v>
      </c>
      <c r="L10" s="37" t="str">
        <f>"102,0949"</f>
        <v>102,0949</v>
      </c>
      <c r="M10" s="33" t="s">
        <v>292</v>
      </c>
    </row>
    <row r="11" spans="1:13">
      <c r="A11" s="15" t="s">
        <v>408</v>
      </c>
      <c r="B11" s="15" t="s">
        <v>409</v>
      </c>
      <c r="C11" s="15" t="s">
        <v>410</v>
      </c>
      <c r="D11" s="15" t="str">
        <f>"0,5930"</f>
        <v>0,5930</v>
      </c>
      <c r="E11" s="15" t="s">
        <v>112</v>
      </c>
      <c r="F11" s="15" t="s">
        <v>20</v>
      </c>
      <c r="G11" s="17" t="s">
        <v>154</v>
      </c>
      <c r="H11" s="17" t="s">
        <v>155</v>
      </c>
      <c r="I11" s="16" t="s">
        <v>411</v>
      </c>
      <c r="J11" s="16"/>
      <c r="K11" s="24" t="str">
        <f>"135,0"</f>
        <v>135,0</v>
      </c>
      <c r="L11" s="25" t="str">
        <f>"136,0935"</f>
        <v>136,0935</v>
      </c>
      <c r="M11" s="15" t="s">
        <v>210</v>
      </c>
    </row>
    <row r="13" spans="1:13" ht="15">
      <c r="A13" s="62" t="s">
        <v>57</v>
      </c>
      <c r="B13" s="62"/>
      <c r="C13" s="62"/>
      <c r="D13" s="62"/>
      <c r="E13" s="62"/>
      <c r="F13" s="62"/>
      <c r="G13" s="62"/>
      <c r="H13" s="62"/>
      <c r="I13" s="62"/>
      <c r="J13" s="62"/>
    </row>
    <row r="14" spans="1:13">
      <c r="A14" s="12" t="s">
        <v>358</v>
      </c>
      <c r="B14" s="12" t="s">
        <v>359</v>
      </c>
      <c r="C14" s="12" t="s">
        <v>360</v>
      </c>
      <c r="D14" s="12" t="str">
        <f>"0,5358"</f>
        <v>0,5358</v>
      </c>
      <c r="E14" s="12" t="s">
        <v>112</v>
      </c>
      <c r="F14" s="12" t="s">
        <v>20</v>
      </c>
      <c r="G14" s="14" t="s">
        <v>198</v>
      </c>
      <c r="H14" s="14" t="s">
        <v>387</v>
      </c>
      <c r="I14" s="14" t="s">
        <v>361</v>
      </c>
      <c r="J14" s="13"/>
      <c r="K14" s="22" t="str">
        <f>"240,0"</f>
        <v>240,0</v>
      </c>
      <c r="L14" s="23" t="str">
        <f>"128,5920"</f>
        <v>128,5920</v>
      </c>
      <c r="M14" s="12" t="s">
        <v>24</v>
      </c>
    </row>
    <row r="15" spans="1:13">
      <c r="A15" s="15" t="s">
        <v>413</v>
      </c>
      <c r="B15" s="15" t="s">
        <v>414</v>
      </c>
      <c r="C15" s="15" t="s">
        <v>415</v>
      </c>
      <c r="D15" s="15" t="str">
        <f>"0,5340"</f>
        <v>0,5340</v>
      </c>
      <c r="E15" s="15" t="s">
        <v>128</v>
      </c>
      <c r="F15" s="15" t="s">
        <v>129</v>
      </c>
      <c r="G15" s="17" t="s">
        <v>184</v>
      </c>
      <c r="H15" s="17" t="s">
        <v>99</v>
      </c>
      <c r="I15" s="16" t="s">
        <v>197</v>
      </c>
      <c r="J15" s="16"/>
      <c r="K15" s="24" t="str">
        <f>"200,0"</f>
        <v>200,0</v>
      </c>
      <c r="L15" s="25" t="str">
        <f>"106,8000"</f>
        <v>106,8000</v>
      </c>
      <c r="M15" s="15" t="s">
        <v>24</v>
      </c>
    </row>
    <row r="17" spans="1:6" ht="15">
      <c r="E17" s="18" t="s">
        <v>63</v>
      </c>
      <c r="F17" s="40" t="s">
        <v>693</v>
      </c>
    </row>
    <row r="18" spans="1:6" ht="15">
      <c r="E18" s="18" t="s">
        <v>64</v>
      </c>
      <c r="F18" s="40" t="s">
        <v>694</v>
      </c>
    </row>
    <row r="19" spans="1:6" ht="15">
      <c r="E19" s="18" t="s">
        <v>65</v>
      </c>
      <c r="F19" s="40" t="s">
        <v>695</v>
      </c>
    </row>
    <row r="20" spans="1:6" ht="15">
      <c r="E20" s="18" t="s">
        <v>66</v>
      </c>
      <c r="F20" s="40" t="s">
        <v>696</v>
      </c>
    </row>
    <row r="21" spans="1:6" ht="15">
      <c r="E21" s="18" t="s">
        <v>66</v>
      </c>
      <c r="F21" s="40" t="s">
        <v>697</v>
      </c>
    </row>
    <row r="22" spans="1:6" ht="15">
      <c r="E22" s="18"/>
    </row>
    <row r="23" spans="1:6" ht="15">
      <c r="E23" s="18"/>
    </row>
    <row r="25" spans="1:6" ht="18">
      <c r="A25" s="26" t="s">
        <v>67</v>
      </c>
      <c r="B25" s="26"/>
    </row>
    <row r="26" spans="1:6" ht="15">
      <c r="A26" s="27" t="s">
        <v>68</v>
      </c>
      <c r="B26" s="27"/>
    </row>
    <row r="27" spans="1:6" ht="14.25">
      <c r="A27" s="29"/>
      <c r="B27" s="30" t="s">
        <v>69</v>
      </c>
    </row>
    <row r="28" spans="1:6" ht="15">
      <c r="A28" s="31" t="s">
        <v>70</v>
      </c>
      <c r="B28" s="31" t="s">
        <v>71</v>
      </c>
      <c r="C28" s="31" t="s">
        <v>72</v>
      </c>
      <c r="D28" s="31" t="s">
        <v>74</v>
      </c>
      <c r="E28" s="31" t="s">
        <v>75</v>
      </c>
    </row>
    <row r="29" spans="1:6">
      <c r="A29" s="28" t="s">
        <v>396</v>
      </c>
      <c r="B29" s="4" t="s">
        <v>69</v>
      </c>
      <c r="C29" s="4" t="s">
        <v>82</v>
      </c>
      <c r="D29" s="4" t="s">
        <v>401</v>
      </c>
      <c r="E29" s="19" t="s">
        <v>416</v>
      </c>
    </row>
    <row r="30" spans="1:6">
      <c r="A30" s="28" t="s">
        <v>357</v>
      </c>
      <c r="B30" s="4" t="s">
        <v>69</v>
      </c>
      <c r="C30" s="4" t="s">
        <v>76</v>
      </c>
      <c r="D30" s="4" t="s">
        <v>361</v>
      </c>
      <c r="E30" s="19" t="s">
        <v>417</v>
      </c>
    </row>
    <row r="31" spans="1:6">
      <c r="A31" s="28" t="s">
        <v>412</v>
      </c>
      <c r="B31" s="4" t="s">
        <v>69</v>
      </c>
      <c r="C31" s="4" t="s">
        <v>76</v>
      </c>
      <c r="D31" s="4" t="s">
        <v>99</v>
      </c>
      <c r="E31" s="19" t="s">
        <v>418</v>
      </c>
    </row>
    <row r="33" spans="1:5" ht="14.25">
      <c r="A33" s="29"/>
      <c r="B33" s="30" t="s">
        <v>80</v>
      </c>
    </row>
    <row r="34" spans="1:5" ht="15">
      <c r="A34" s="31" t="s">
        <v>70</v>
      </c>
      <c r="B34" s="31" t="s">
        <v>71</v>
      </c>
      <c r="C34" s="31" t="s">
        <v>72</v>
      </c>
      <c r="D34" s="31" t="s">
        <v>74</v>
      </c>
      <c r="E34" s="31" t="s">
        <v>75</v>
      </c>
    </row>
    <row r="35" spans="1:5">
      <c r="A35" s="28" t="s">
        <v>245</v>
      </c>
      <c r="B35" s="4" t="s">
        <v>283</v>
      </c>
      <c r="C35" s="4" t="s">
        <v>213</v>
      </c>
      <c r="D35" s="4" t="s">
        <v>395</v>
      </c>
      <c r="E35" s="19" t="s">
        <v>419</v>
      </c>
    </row>
    <row r="36" spans="1:5">
      <c r="A36" s="28" t="s">
        <v>407</v>
      </c>
      <c r="B36" s="4" t="s">
        <v>86</v>
      </c>
      <c r="C36" s="4" t="s">
        <v>82</v>
      </c>
      <c r="D36" s="4" t="s">
        <v>155</v>
      </c>
      <c r="E36" s="19" t="s">
        <v>420</v>
      </c>
    </row>
    <row r="37" spans="1:5">
      <c r="A37" s="28" t="s">
        <v>402</v>
      </c>
      <c r="B37" s="4" t="s">
        <v>215</v>
      </c>
      <c r="C37" s="4" t="s">
        <v>82</v>
      </c>
      <c r="D37" s="4" t="s">
        <v>48</v>
      </c>
      <c r="E37" s="19" t="s">
        <v>421</v>
      </c>
    </row>
  </sheetData>
  <mergeCells count="14">
    <mergeCell ref="A1:M2"/>
    <mergeCell ref="A3:A4"/>
    <mergeCell ref="B3:B4"/>
    <mergeCell ref="C3:C4"/>
    <mergeCell ref="D3:D4"/>
    <mergeCell ref="E3:E4"/>
    <mergeCell ref="F3:F4"/>
    <mergeCell ref="G3:J3"/>
    <mergeCell ref="A8:J8"/>
    <mergeCell ref="A13:J13"/>
    <mergeCell ref="K3:K4"/>
    <mergeCell ref="L3:L4"/>
    <mergeCell ref="M3:M4"/>
    <mergeCell ref="A5:J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M45"/>
  <sheetViews>
    <sheetView workbookViewId="0">
      <selection activeCell="E23" sqref="E23"/>
    </sheetView>
  </sheetViews>
  <sheetFormatPr defaultRowHeight="12.75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3.42578125" style="4" bestFit="1" customWidth="1"/>
    <col min="7" max="9" width="5.5703125" style="3" customWidth="1"/>
    <col min="10" max="10" width="4.85546875" style="3" customWidth="1"/>
    <col min="11" max="11" width="7.85546875" style="19" bestFit="1" customWidth="1"/>
    <col min="12" max="12" width="8.5703125" style="2" bestFit="1" customWidth="1"/>
    <col min="13" max="13" width="17.28515625" style="4" bestFit="1" customWidth="1"/>
    <col min="14" max="16384" width="9.140625" style="3"/>
  </cols>
  <sheetData>
    <row r="1" spans="1:13" s="2" customFormat="1" ht="29.1" customHeight="1">
      <c r="A1" s="53" t="s">
        <v>365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.1" customHeight="1" thickBot="1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>
      <c r="A3" s="59" t="s">
        <v>0</v>
      </c>
      <c r="B3" s="61" t="s">
        <v>6</v>
      </c>
      <c r="C3" s="61" t="s">
        <v>10</v>
      </c>
      <c r="D3" s="47" t="s">
        <v>12</v>
      </c>
      <c r="E3" s="47" t="s">
        <v>4</v>
      </c>
      <c r="F3" s="47" t="s">
        <v>7</v>
      </c>
      <c r="G3" s="47" t="s">
        <v>366</v>
      </c>
      <c r="H3" s="47"/>
      <c r="I3" s="47"/>
      <c r="J3" s="47"/>
      <c r="K3" s="47" t="s">
        <v>91</v>
      </c>
      <c r="L3" s="47" t="s">
        <v>3</v>
      </c>
      <c r="M3" s="49" t="s">
        <v>2</v>
      </c>
    </row>
    <row r="4" spans="1:13" s="1" customFormat="1" ht="21" customHeight="1" thickBot="1">
      <c r="A4" s="60"/>
      <c r="B4" s="48"/>
      <c r="C4" s="48"/>
      <c r="D4" s="48"/>
      <c r="E4" s="48"/>
      <c r="F4" s="48"/>
      <c r="G4" s="6">
        <v>1</v>
      </c>
      <c r="H4" s="6">
        <v>2</v>
      </c>
      <c r="I4" s="6">
        <v>3</v>
      </c>
      <c r="J4" s="6" t="s">
        <v>5</v>
      </c>
      <c r="K4" s="48"/>
      <c r="L4" s="48"/>
      <c r="M4" s="50"/>
    </row>
    <row r="5" spans="1:13" ht="15">
      <c r="A5" s="51" t="s">
        <v>237</v>
      </c>
      <c r="B5" s="52"/>
      <c r="C5" s="52"/>
      <c r="D5" s="52"/>
      <c r="E5" s="52"/>
      <c r="F5" s="52"/>
      <c r="G5" s="52"/>
      <c r="H5" s="52"/>
      <c r="I5" s="52"/>
      <c r="J5" s="52"/>
    </row>
    <row r="6" spans="1:13">
      <c r="A6" s="12" t="s">
        <v>368</v>
      </c>
      <c r="B6" s="12" t="s">
        <v>369</v>
      </c>
      <c r="C6" s="12" t="s">
        <v>370</v>
      </c>
      <c r="D6" s="12" t="str">
        <f>"0,8719"</f>
        <v>0,8719</v>
      </c>
      <c r="E6" s="12" t="s">
        <v>30</v>
      </c>
      <c r="F6" s="12" t="s">
        <v>371</v>
      </c>
      <c r="G6" s="14" t="s">
        <v>130</v>
      </c>
      <c r="H6" s="14" t="s">
        <v>140</v>
      </c>
      <c r="I6" s="13" t="s">
        <v>131</v>
      </c>
      <c r="J6" s="13"/>
      <c r="K6" s="22" t="str">
        <f>"70,0"</f>
        <v>70,0</v>
      </c>
      <c r="L6" s="23" t="str">
        <f>"72,0189"</f>
        <v>72,0189</v>
      </c>
      <c r="M6" s="12" t="s">
        <v>372</v>
      </c>
    </row>
    <row r="7" spans="1:13">
      <c r="A7" s="15" t="s">
        <v>374</v>
      </c>
      <c r="B7" s="15" t="s">
        <v>375</v>
      </c>
      <c r="C7" s="15" t="s">
        <v>376</v>
      </c>
      <c r="D7" s="15" t="str">
        <f>"0,9000"</f>
        <v>0,9000</v>
      </c>
      <c r="E7" s="15" t="s">
        <v>98</v>
      </c>
      <c r="F7" s="15" t="s">
        <v>20</v>
      </c>
      <c r="G7" s="17" t="s">
        <v>377</v>
      </c>
      <c r="H7" s="17" t="s">
        <v>249</v>
      </c>
      <c r="I7" s="16" t="s">
        <v>147</v>
      </c>
      <c r="J7" s="16"/>
      <c r="K7" s="24" t="str">
        <f>"80,0"</f>
        <v>80,0</v>
      </c>
      <c r="L7" s="25" t="str">
        <f>"71,9960"</f>
        <v>71,9960</v>
      </c>
      <c r="M7" s="15" t="s">
        <v>378</v>
      </c>
    </row>
    <row r="9" spans="1:13" ht="15">
      <c r="A9" s="62" t="s">
        <v>107</v>
      </c>
      <c r="B9" s="62"/>
      <c r="C9" s="62"/>
      <c r="D9" s="62"/>
      <c r="E9" s="62"/>
      <c r="F9" s="62"/>
      <c r="G9" s="62"/>
      <c r="H9" s="62"/>
      <c r="I9" s="62"/>
      <c r="J9" s="62"/>
    </row>
    <row r="10" spans="1:13">
      <c r="A10" s="7" t="s">
        <v>142</v>
      </c>
      <c r="B10" s="7" t="s">
        <v>143</v>
      </c>
      <c r="C10" s="7" t="s">
        <v>144</v>
      </c>
      <c r="D10" s="7" t="str">
        <f>"0,8019"</f>
        <v>0,8019</v>
      </c>
      <c r="E10" s="7" t="s">
        <v>145</v>
      </c>
      <c r="F10" s="7" t="s">
        <v>146</v>
      </c>
      <c r="G10" s="8" t="s">
        <v>55</v>
      </c>
      <c r="H10" s="8" t="s">
        <v>55</v>
      </c>
      <c r="I10" s="9" t="s">
        <v>55</v>
      </c>
      <c r="J10" s="8"/>
      <c r="K10" s="20" t="str">
        <f>"160,0"</f>
        <v>160,0</v>
      </c>
      <c r="L10" s="21" t="str">
        <f>"140,1080"</f>
        <v>140,1080</v>
      </c>
      <c r="M10" s="7" t="s">
        <v>24</v>
      </c>
    </row>
    <row r="12" spans="1:13" ht="15">
      <c r="A12" s="62" t="s">
        <v>25</v>
      </c>
      <c r="B12" s="62"/>
      <c r="C12" s="62"/>
      <c r="D12" s="62"/>
      <c r="E12" s="62"/>
      <c r="F12" s="62"/>
      <c r="G12" s="62"/>
      <c r="H12" s="62"/>
      <c r="I12" s="62"/>
      <c r="J12" s="62"/>
    </row>
    <row r="13" spans="1:13">
      <c r="A13" s="7" t="s">
        <v>380</v>
      </c>
      <c r="B13" s="7" t="s">
        <v>381</v>
      </c>
      <c r="C13" s="7" t="s">
        <v>382</v>
      </c>
      <c r="D13" s="7" t="str">
        <f>"0,5965"</f>
        <v>0,5965</v>
      </c>
      <c r="E13" s="7" t="s">
        <v>128</v>
      </c>
      <c r="F13" s="7" t="s">
        <v>129</v>
      </c>
      <c r="G13" s="9" t="s">
        <v>99</v>
      </c>
      <c r="H13" s="9" t="s">
        <v>199</v>
      </c>
      <c r="I13" s="8"/>
      <c r="J13" s="8"/>
      <c r="K13" s="20" t="str">
        <f>"225,0"</f>
        <v>225,0</v>
      </c>
      <c r="L13" s="21" t="str">
        <f>"134,2125"</f>
        <v>134,2125</v>
      </c>
      <c r="M13" s="7" t="s">
        <v>133</v>
      </c>
    </row>
    <row r="15" spans="1:13" ht="15">
      <c r="A15" s="62" t="s">
        <v>40</v>
      </c>
      <c r="B15" s="62"/>
      <c r="C15" s="62"/>
      <c r="D15" s="62"/>
      <c r="E15" s="62"/>
      <c r="F15" s="62"/>
      <c r="G15" s="62"/>
      <c r="H15" s="62"/>
      <c r="I15" s="62"/>
      <c r="J15" s="62"/>
    </row>
    <row r="16" spans="1:13">
      <c r="A16" s="7" t="s">
        <v>384</v>
      </c>
      <c r="B16" s="7" t="s">
        <v>385</v>
      </c>
      <c r="C16" s="7" t="s">
        <v>386</v>
      </c>
      <c r="D16" s="7" t="str">
        <f>"0,5556"</f>
        <v>0,5556</v>
      </c>
      <c r="E16" s="7" t="s">
        <v>30</v>
      </c>
      <c r="F16" s="7" t="s">
        <v>20</v>
      </c>
      <c r="G16" s="9" t="s">
        <v>197</v>
      </c>
      <c r="H16" s="9" t="s">
        <v>199</v>
      </c>
      <c r="I16" s="8" t="s">
        <v>387</v>
      </c>
      <c r="J16" s="8"/>
      <c r="K16" s="20" t="str">
        <f>"225,0"</f>
        <v>225,0</v>
      </c>
      <c r="L16" s="21" t="str">
        <f>"126,1464"</f>
        <v>126,1464</v>
      </c>
      <c r="M16" s="7" t="s">
        <v>24</v>
      </c>
    </row>
    <row r="18" spans="1:6" ht="15">
      <c r="E18" s="18" t="s">
        <v>63</v>
      </c>
      <c r="F18" s="40" t="s">
        <v>693</v>
      </c>
    </row>
    <row r="19" spans="1:6" ht="15">
      <c r="E19" s="18" t="s">
        <v>64</v>
      </c>
      <c r="F19" s="40" t="s">
        <v>694</v>
      </c>
    </row>
    <row r="20" spans="1:6" ht="15">
      <c r="E20" s="18" t="s">
        <v>65</v>
      </c>
      <c r="F20" s="40" t="s">
        <v>695</v>
      </c>
    </row>
    <row r="21" spans="1:6" ht="15">
      <c r="E21" s="18" t="s">
        <v>66</v>
      </c>
      <c r="F21" s="40" t="s">
        <v>696</v>
      </c>
    </row>
    <row r="22" spans="1:6" ht="15">
      <c r="E22" s="18" t="s">
        <v>66</v>
      </c>
      <c r="F22" s="40" t="s">
        <v>697</v>
      </c>
    </row>
    <row r="23" spans="1:6" ht="15">
      <c r="E23" s="18"/>
    </row>
    <row r="24" spans="1:6" ht="15">
      <c r="E24" s="18"/>
    </row>
    <row r="26" spans="1:6" ht="18">
      <c r="A26" s="26" t="s">
        <v>67</v>
      </c>
      <c r="B26" s="26"/>
    </row>
    <row r="27" spans="1:6" ht="15">
      <c r="A27" s="27" t="s">
        <v>211</v>
      </c>
      <c r="B27" s="27"/>
    </row>
    <row r="28" spans="1:6" ht="14.25">
      <c r="A28" s="29"/>
      <c r="B28" s="30" t="s">
        <v>388</v>
      </c>
    </row>
    <row r="29" spans="1:6" ht="15">
      <c r="A29" s="31" t="s">
        <v>70</v>
      </c>
      <c r="B29" s="31" t="s">
        <v>71</v>
      </c>
      <c r="C29" s="31" t="s">
        <v>72</v>
      </c>
      <c r="D29" s="31" t="s">
        <v>74</v>
      </c>
      <c r="E29" s="31" t="s">
        <v>75</v>
      </c>
    </row>
    <row r="30" spans="1:6">
      <c r="A30" s="28" t="s">
        <v>367</v>
      </c>
      <c r="B30" s="4" t="s">
        <v>274</v>
      </c>
      <c r="C30" s="4" t="s">
        <v>280</v>
      </c>
      <c r="D30" s="4" t="s">
        <v>140</v>
      </c>
      <c r="E30" s="19" t="s">
        <v>389</v>
      </c>
    </row>
    <row r="32" spans="1:6" ht="14.25">
      <c r="A32" s="29"/>
      <c r="B32" s="30" t="s">
        <v>69</v>
      </c>
    </row>
    <row r="33" spans="1:5" ht="15">
      <c r="A33" s="31" t="s">
        <v>70</v>
      </c>
      <c r="B33" s="31" t="s">
        <v>71</v>
      </c>
      <c r="C33" s="31" t="s">
        <v>72</v>
      </c>
      <c r="D33" s="31" t="s">
        <v>74</v>
      </c>
      <c r="E33" s="31" t="s">
        <v>75</v>
      </c>
    </row>
    <row r="34" spans="1:5">
      <c r="A34" s="28" t="s">
        <v>373</v>
      </c>
      <c r="B34" s="4" t="s">
        <v>69</v>
      </c>
      <c r="C34" s="4" t="s">
        <v>280</v>
      </c>
      <c r="D34" s="4" t="s">
        <v>249</v>
      </c>
      <c r="E34" s="19" t="s">
        <v>390</v>
      </c>
    </row>
    <row r="37" spans="1:5" ht="15">
      <c r="A37" s="27" t="s">
        <v>68</v>
      </c>
      <c r="B37" s="27"/>
    </row>
    <row r="38" spans="1:5" ht="14.25">
      <c r="A38" s="29"/>
      <c r="B38" s="30" t="s">
        <v>69</v>
      </c>
    </row>
    <row r="39" spans="1:5" ht="15">
      <c r="A39" s="31" t="s">
        <v>70</v>
      </c>
      <c r="B39" s="31" t="s">
        <v>71</v>
      </c>
      <c r="C39" s="31" t="s">
        <v>72</v>
      </c>
      <c r="D39" s="31" t="s">
        <v>74</v>
      </c>
      <c r="E39" s="31" t="s">
        <v>75</v>
      </c>
    </row>
    <row r="40" spans="1:5">
      <c r="A40" s="28" t="s">
        <v>379</v>
      </c>
      <c r="B40" s="4" t="s">
        <v>69</v>
      </c>
      <c r="C40" s="4" t="s">
        <v>82</v>
      </c>
      <c r="D40" s="4" t="s">
        <v>199</v>
      </c>
      <c r="E40" s="19" t="s">
        <v>391</v>
      </c>
    </row>
    <row r="42" spans="1:5" ht="14.25">
      <c r="A42" s="29"/>
      <c r="B42" s="30" t="s">
        <v>80</v>
      </c>
    </row>
    <row r="43" spans="1:5" ht="15">
      <c r="A43" s="31" t="s">
        <v>70</v>
      </c>
      <c r="B43" s="31" t="s">
        <v>71</v>
      </c>
      <c r="C43" s="31" t="s">
        <v>72</v>
      </c>
      <c r="D43" s="31" t="s">
        <v>74</v>
      </c>
      <c r="E43" s="31" t="s">
        <v>75</v>
      </c>
    </row>
    <row r="44" spans="1:5">
      <c r="A44" s="28" t="s">
        <v>141</v>
      </c>
      <c r="B44" s="4" t="s">
        <v>215</v>
      </c>
      <c r="C44" s="4" t="s">
        <v>213</v>
      </c>
      <c r="D44" s="4" t="s">
        <v>55</v>
      </c>
      <c r="E44" s="19" t="s">
        <v>392</v>
      </c>
    </row>
    <row r="45" spans="1:5">
      <c r="A45" s="28" t="s">
        <v>383</v>
      </c>
      <c r="B45" s="4" t="s">
        <v>105</v>
      </c>
      <c r="C45" s="4" t="s">
        <v>78</v>
      </c>
      <c r="D45" s="4" t="s">
        <v>199</v>
      </c>
      <c r="E45" s="19" t="s">
        <v>393</v>
      </c>
    </row>
  </sheetData>
  <mergeCells count="15"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  <mergeCell ref="A9:J9"/>
    <mergeCell ref="A12:J12"/>
    <mergeCell ref="A15:J15"/>
    <mergeCell ref="K3:K4"/>
    <mergeCell ref="L3:L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M20"/>
  <sheetViews>
    <sheetView workbookViewId="0">
      <selection activeCell="E13" sqref="E13"/>
    </sheetView>
  </sheetViews>
  <sheetFormatPr defaultRowHeight="12.75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19.7109375" style="4" customWidth="1"/>
    <col min="7" max="9" width="5.5703125" style="3" customWidth="1"/>
    <col min="10" max="10" width="4.85546875" style="3" customWidth="1"/>
    <col min="11" max="11" width="7.85546875" style="19" bestFit="1" customWidth="1"/>
    <col min="12" max="12" width="8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53" t="s">
        <v>356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.1" customHeight="1" thickBot="1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>
      <c r="A3" s="59" t="s">
        <v>0</v>
      </c>
      <c r="B3" s="61" t="s">
        <v>6</v>
      </c>
      <c r="C3" s="61" t="s">
        <v>10</v>
      </c>
      <c r="D3" s="47" t="s">
        <v>12</v>
      </c>
      <c r="E3" s="47" t="s">
        <v>4</v>
      </c>
      <c r="F3" s="47" t="s">
        <v>7</v>
      </c>
      <c r="G3" s="47" t="s">
        <v>13</v>
      </c>
      <c r="H3" s="47"/>
      <c r="I3" s="47"/>
      <c r="J3" s="47"/>
      <c r="K3" s="47" t="s">
        <v>91</v>
      </c>
      <c r="L3" s="47" t="s">
        <v>3</v>
      </c>
      <c r="M3" s="49" t="s">
        <v>2</v>
      </c>
    </row>
    <row r="4" spans="1:13" s="1" customFormat="1" ht="21" customHeight="1" thickBot="1">
      <c r="A4" s="60"/>
      <c r="B4" s="48"/>
      <c r="C4" s="48"/>
      <c r="D4" s="48"/>
      <c r="E4" s="48"/>
      <c r="F4" s="48"/>
      <c r="G4" s="6">
        <v>1</v>
      </c>
      <c r="H4" s="6">
        <v>2</v>
      </c>
      <c r="I4" s="6">
        <v>3</v>
      </c>
      <c r="J4" s="6" t="s">
        <v>5</v>
      </c>
      <c r="K4" s="48"/>
      <c r="L4" s="48"/>
      <c r="M4" s="50"/>
    </row>
    <row r="5" spans="1:13" ht="15">
      <c r="A5" s="51" t="s">
        <v>57</v>
      </c>
      <c r="B5" s="52"/>
      <c r="C5" s="52"/>
      <c r="D5" s="52"/>
      <c r="E5" s="52"/>
      <c r="F5" s="52"/>
      <c r="G5" s="52"/>
      <c r="H5" s="52"/>
      <c r="I5" s="52"/>
      <c r="J5" s="52"/>
    </row>
    <row r="6" spans="1:13">
      <c r="A6" s="7" t="s">
        <v>358</v>
      </c>
      <c r="B6" s="7" t="s">
        <v>359</v>
      </c>
      <c r="C6" s="7" t="s">
        <v>360</v>
      </c>
      <c r="D6" s="7" t="str">
        <f>"0,5358"</f>
        <v>0,5358</v>
      </c>
      <c r="E6" s="7" t="s">
        <v>112</v>
      </c>
      <c r="F6" s="7" t="s">
        <v>20</v>
      </c>
      <c r="G6" s="9" t="s">
        <v>361</v>
      </c>
      <c r="H6" s="9" t="s">
        <v>362</v>
      </c>
      <c r="I6" s="8" t="s">
        <v>363</v>
      </c>
      <c r="J6" s="8"/>
      <c r="K6" s="20" t="str">
        <f>"250,0"</f>
        <v>250,0</v>
      </c>
      <c r="L6" s="21" t="str">
        <f>"133,9500"</f>
        <v>133,9500</v>
      </c>
      <c r="M6" s="7" t="s">
        <v>24</v>
      </c>
    </row>
    <row r="8" spans="1:13" ht="15">
      <c r="E8" s="18" t="s">
        <v>63</v>
      </c>
      <c r="F8" s="40" t="s">
        <v>693</v>
      </c>
    </row>
    <row r="9" spans="1:13" ht="15">
      <c r="E9" s="18" t="s">
        <v>64</v>
      </c>
      <c r="F9" s="40" t="s">
        <v>694</v>
      </c>
    </row>
    <row r="10" spans="1:13" ht="15">
      <c r="E10" s="18" t="s">
        <v>65</v>
      </c>
      <c r="F10" s="40" t="s">
        <v>695</v>
      </c>
    </row>
    <row r="11" spans="1:13" ht="15">
      <c r="E11" s="18" t="s">
        <v>66</v>
      </c>
      <c r="F11" s="40" t="s">
        <v>696</v>
      </c>
    </row>
    <row r="12" spans="1:13" ht="15">
      <c r="E12" s="18" t="s">
        <v>66</v>
      </c>
      <c r="F12" s="40" t="s">
        <v>697</v>
      </c>
    </row>
    <row r="13" spans="1:13" ht="15">
      <c r="E13" s="18"/>
    </row>
    <row r="14" spans="1:13" ht="15">
      <c r="E14" s="18"/>
    </row>
    <row r="16" spans="1:13" ht="18">
      <c r="A16" s="26" t="s">
        <v>67</v>
      </c>
      <c r="B16" s="26"/>
    </row>
    <row r="17" spans="1:5" ht="15">
      <c r="A17" s="27" t="s">
        <v>68</v>
      </c>
      <c r="B17" s="27"/>
    </row>
    <row r="18" spans="1:5" ht="14.25">
      <c r="A18" s="29"/>
      <c r="B18" s="30" t="s">
        <v>69</v>
      </c>
    </row>
    <row r="19" spans="1:5" ht="15">
      <c r="A19" s="31" t="s">
        <v>70</v>
      </c>
      <c r="B19" s="31" t="s">
        <v>71</v>
      </c>
      <c r="C19" s="31" t="s">
        <v>72</v>
      </c>
      <c r="D19" s="31" t="s">
        <v>74</v>
      </c>
      <c r="E19" s="31" t="s">
        <v>75</v>
      </c>
    </row>
    <row r="20" spans="1:5">
      <c r="A20" s="28" t="s">
        <v>357</v>
      </c>
      <c r="B20" s="4" t="s">
        <v>69</v>
      </c>
      <c r="C20" s="4" t="s">
        <v>76</v>
      </c>
      <c r="D20" s="4" t="s">
        <v>362</v>
      </c>
      <c r="E20" s="19" t="s">
        <v>364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M27"/>
  <sheetViews>
    <sheetView workbookViewId="0">
      <selection activeCell="E19" sqref="E19"/>
    </sheetView>
  </sheetViews>
  <sheetFormatPr defaultRowHeight="12.75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19.42578125" style="4" customWidth="1"/>
    <col min="7" max="9" width="5.5703125" style="3" customWidth="1"/>
    <col min="10" max="10" width="4.85546875" style="3" customWidth="1"/>
    <col min="11" max="11" width="7.85546875" style="19" bestFit="1" customWidth="1"/>
    <col min="12" max="12" width="8.5703125" style="2" bestFit="1" customWidth="1"/>
    <col min="13" max="13" width="17" style="4" bestFit="1" customWidth="1"/>
    <col min="14" max="16384" width="9.140625" style="3"/>
  </cols>
  <sheetData>
    <row r="1" spans="1:13" s="2" customFormat="1" ht="29.1" customHeight="1">
      <c r="A1" s="53" t="s">
        <v>348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.1" customHeight="1" thickBot="1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>
      <c r="A3" s="59" t="s">
        <v>0</v>
      </c>
      <c r="B3" s="61" t="s">
        <v>6</v>
      </c>
      <c r="C3" s="61" t="s">
        <v>10</v>
      </c>
      <c r="D3" s="47" t="s">
        <v>12</v>
      </c>
      <c r="E3" s="47" t="s">
        <v>4</v>
      </c>
      <c r="F3" s="47" t="s">
        <v>7</v>
      </c>
      <c r="G3" s="47" t="s">
        <v>13</v>
      </c>
      <c r="H3" s="47"/>
      <c r="I3" s="47"/>
      <c r="J3" s="47"/>
      <c r="K3" s="47" t="s">
        <v>91</v>
      </c>
      <c r="L3" s="47" t="s">
        <v>3</v>
      </c>
      <c r="M3" s="49" t="s">
        <v>2</v>
      </c>
    </row>
    <row r="4" spans="1:13" s="1" customFormat="1" ht="21" customHeight="1" thickBot="1">
      <c r="A4" s="60"/>
      <c r="B4" s="48"/>
      <c r="C4" s="48"/>
      <c r="D4" s="48"/>
      <c r="E4" s="48"/>
      <c r="F4" s="48"/>
      <c r="G4" s="6">
        <v>1</v>
      </c>
      <c r="H4" s="6">
        <v>2</v>
      </c>
      <c r="I4" s="6">
        <v>3</v>
      </c>
      <c r="J4" s="6" t="s">
        <v>5</v>
      </c>
      <c r="K4" s="48"/>
      <c r="L4" s="48"/>
      <c r="M4" s="50"/>
    </row>
    <row r="5" spans="1:13" ht="15">
      <c r="A5" s="51" t="s">
        <v>14</v>
      </c>
      <c r="B5" s="52"/>
      <c r="C5" s="52"/>
      <c r="D5" s="52"/>
      <c r="E5" s="52"/>
      <c r="F5" s="52"/>
      <c r="G5" s="52"/>
      <c r="H5" s="52"/>
      <c r="I5" s="52"/>
      <c r="J5" s="52"/>
    </row>
    <row r="6" spans="1:13">
      <c r="A6" s="7" t="s">
        <v>294</v>
      </c>
      <c r="B6" s="7" t="s">
        <v>295</v>
      </c>
      <c r="C6" s="7" t="s">
        <v>153</v>
      </c>
      <c r="D6" s="7" t="str">
        <f>"0,6701"</f>
        <v>0,6701</v>
      </c>
      <c r="E6" s="7" t="s">
        <v>296</v>
      </c>
      <c r="F6" s="7" t="s">
        <v>31</v>
      </c>
      <c r="G6" s="8" t="s">
        <v>349</v>
      </c>
      <c r="H6" s="9" t="s">
        <v>349</v>
      </c>
      <c r="I6" s="8" t="s">
        <v>350</v>
      </c>
      <c r="J6" s="8"/>
      <c r="K6" s="20" t="str">
        <f>"300,0"</f>
        <v>300,0</v>
      </c>
      <c r="L6" s="21" t="str">
        <f>"201,0300"</f>
        <v>201,0300</v>
      </c>
      <c r="M6" s="7" t="s">
        <v>24</v>
      </c>
    </row>
    <row r="8" spans="1:13" ht="15">
      <c r="A8" s="62" t="s">
        <v>306</v>
      </c>
      <c r="B8" s="62"/>
      <c r="C8" s="62"/>
      <c r="D8" s="62"/>
      <c r="E8" s="62"/>
      <c r="F8" s="62"/>
      <c r="G8" s="62"/>
      <c r="H8" s="62"/>
      <c r="I8" s="62"/>
      <c r="J8" s="62"/>
    </row>
    <row r="9" spans="1:13">
      <c r="A9" s="7" t="s">
        <v>308</v>
      </c>
      <c r="B9" s="7" t="s">
        <v>309</v>
      </c>
      <c r="C9" s="7" t="s">
        <v>310</v>
      </c>
      <c r="D9" s="7" t="str">
        <f>"0,6301"</f>
        <v>0,6301</v>
      </c>
      <c r="E9" s="7" t="s">
        <v>296</v>
      </c>
      <c r="F9" s="7" t="s">
        <v>31</v>
      </c>
      <c r="G9" s="9" t="s">
        <v>351</v>
      </c>
      <c r="H9" s="8"/>
      <c r="I9" s="8"/>
      <c r="J9" s="8"/>
      <c r="K9" s="20" t="str">
        <f>"262,5"</f>
        <v>262,5</v>
      </c>
      <c r="L9" s="21" t="str">
        <f>"165,4013"</f>
        <v>165,4013</v>
      </c>
      <c r="M9" s="7" t="s">
        <v>24</v>
      </c>
    </row>
    <row r="11" spans="1:13" ht="15">
      <c r="A11" s="62" t="s">
        <v>57</v>
      </c>
      <c r="B11" s="62"/>
      <c r="C11" s="62"/>
      <c r="D11" s="62"/>
      <c r="E11" s="62"/>
      <c r="F11" s="62"/>
      <c r="G11" s="62"/>
      <c r="H11" s="62"/>
      <c r="I11" s="62"/>
      <c r="J11" s="62"/>
    </row>
    <row r="12" spans="1:13">
      <c r="A12" s="7" t="s">
        <v>352</v>
      </c>
      <c r="B12" s="7" t="s">
        <v>319</v>
      </c>
      <c r="C12" s="7" t="s">
        <v>320</v>
      </c>
      <c r="D12" s="7" t="str">
        <f>"0,5322"</f>
        <v>0,5322</v>
      </c>
      <c r="E12" s="7" t="s">
        <v>296</v>
      </c>
      <c r="F12" s="7" t="s">
        <v>31</v>
      </c>
      <c r="G12" s="8" t="s">
        <v>353</v>
      </c>
      <c r="H12" s="8"/>
      <c r="I12" s="8"/>
      <c r="J12" s="8"/>
      <c r="K12" s="20" t="str">
        <f>"0.00"</f>
        <v>0.00</v>
      </c>
      <c r="L12" s="21" t="str">
        <f>"0,0000"</f>
        <v>0,0000</v>
      </c>
      <c r="M12" s="7" t="s">
        <v>324</v>
      </c>
    </row>
    <row r="14" spans="1:13" ht="15">
      <c r="E14" s="18" t="s">
        <v>63</v>
      </c>
      <c r="F14" s="40" t="s">
        <v>693</v>
      </c>
    </row>
    <row r="15" spans="1:13" ht="15">
      <c r="E15" s="18" t="s">
        <v>64</v>
      </c>
      <c r="F15" s="40" t="s">
        <v>694</v>
      </c>
    </row>
    <row r="16" spans="1:13" ht="15">
      <c r="E16" s="18" t="s">
        <v>65</v>
      </c>
      <c r="F16" s="40" t="s">
        <v>695</v>
      </c>
    </row>
    <row r="17" spans="1:6" ht="15">
      <c r="E17" s="18" t="s">
        <v>66</v>
      </c>
      <c r="F17" s="40" t="s">
        <v>696</v>
      </c>
    </row>
    <row r="18" spans="1:6" ht="15">
      <c r="E18" s="18" t="s">
        <v>66</v>
      </c>
      <c r="F18" s="40" t="s">
        <v>697</v>
      </c>
    </row>
    <row r="19" spans="1:6" ht="15">
      <c r="E19" s="18"/>
    </row>
    <row r="20" spans="1:6" ht="15">
      <c r="E20" s="18"/>
    </row>
    <row r="22" spans="1:6" ht="18">
      <c r="A22" s="26" t="s">
        <v>67</v>
      </c>
      <c r="B22" s="26"/>
    </row>
    <row r="23" spans="1:6" ht="15">
      <c r="A23" s="27" t="s">
        <v>68</v>
      </c>
      <c r="B23" s="27"/>
    </row>
    <row r="24" spans="1:6" ht="14.25">
      <c r="A24" s="29"/>
      <c r="B24" s="30" t="s">
        <v>69</v>
      </c>
    </row>
    <row r="25" spans="1:6" ht="15">
      <c r="A25" s="31" t="s">
        <v>70</v>
      </c>
      <c r="B25" s="31" t="s">
        <v>71</v>
      </c>
      <c r="C25" s="31" t="s">
        <v>72</v>
      </c>
      <c r="D25" s="31" t="s">
        <v>74</v>
      </c>
      <c r="E25" s="31" t="s">
        <v>75</v>
      </c>
    </row>
    <row r="26" spans="1:6">
      <c r="A26" s="28" t="s">
        <v>293</v>
      </c>
      <c r="B26" s="4" t="s">
        <v>69</v>
      </c>
      <c r="C26" s="4" t="s">
        <v>89</v>
      </c>
      <c r="D26" s="4" t="s">
        <v>349</v>
      </c>
      <c r="E26" s="19" t="s">
        <v>354</v>
      </c>
    </row>
    <row r="27" spans="1:6">
      <c r="A27" s="28" t="s">
        <v>307</v>
      </c>
      <c r="B27" s="4" t="s">
        <v>69</v>
      </c>
      <c r="C27" s="4" t="s">
        <v>329</v>
      </c>
      <c r="D27" s="4" t="s">
        <v>351</v>
      </c>
      <c r="E27" s="19" t="s">
        <v>355</v>
      </c>
    </row>
  </sheetData>
  <mergeCells count="14">
    <mergeCell ref="A1:M2"/>
    <mergeCell ref="A3:A4"/>
    <mergeCell ref="B3:B4"/>
    <mergeCell ref="C3:C4"/>
    <mergeCell ref="D3:D4"/>
    <mergeCell ref="E3:E4"/>
    <mergeCell ref="F3:F4"/>
    <mergeCell ref="G3:J3"/>
    <mergeCell ref="A8:J8"/>
    <mergeCell ref="A11:J11"/>
    <mergeCell ref="K3:K4"/>
    <mergeCell ref="L3:L4"/>
    <mergeCell ref="M3:M4"/>
    <mergeCell ref="A5:J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M24"/>
  <sheetViews>
    <sheetView workbookViewId="0">
      <selection activeCell="E16" sqref="E16"/>
    </sheetView>
  </sheetViews>
  <sheetFormatPr defaultRowHeight="12.75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18.85546875" style="4" customWidth="1"/>
    <col min="7" max="9" width="5.5703125" style="3" customWidth="1"/>
    <col min="10" max="10" width="4.85546875" style="3" customWidth="1"/>
    <col min="11" max="11" width="7.85546875" style="19" bestFit="1" customWidth="1"/>
    <col min="12" max="12" width="8.5703125" style="2" bestFit="1" customWidth="1"/>
    <col min="13" max="13" width="19.42578125" style="4" bestFit="1" customWidth="1"/>
    <col min="14" max="16384" width="9.140625" style="3"/>
  </cols>
  <sheetData>
    <row r="1" spans="1:13" s="2" customFormat="1" ht="29.1" customHeight="1">
      <c r="A1" s="53" t="s">
        <v>336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.1" customHeight="1" thickBot="1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>
      <c r="A3" s="59" t="s">
        <v>0</v>
      </c>
      <c r="B3" s="61" t="s">
        <v>6</v>
      </c>
      <c r="C3" s="61" t="s">
        <v>10</v>
      </c>
      <c r="D3" s="47" t="s">
        <v>12</v>
      </c>
      <c r="E3" s="47" t="s">
        <v>4</v>
      </c>
      <c r="F3" s="47" t="s">
        <v>7</v>
      </c>
      <c r="G3" s="47" t="s">
        <v>13</v>
      </c>
      <c r="H3" s="47"/>
      <c r="I3" s="47"/>
      <c r="J3" s="47"/>
      <c r="K3" s="47" t="s">
        <v>91</v>
      </c>
      <c r="L3" s="47" t="s">
        <v>3</v>
      </c>
      <c r="M3" s="49" t="s">
        <v>2</v>
      </c>
    </row>
    <row r="4" spans="1:13" s="1" customFormat="1" ht="21" customHeight="1" thickBot="1">
      <c r="A4" s="60"/>
      <c r="B4" s="48"/>
      <c r="C4" s="48"/>
      <c r="D4" s="48"/>
      <c r="E4" s="48"/>
      <c r="F4" s="48"/>
      <c r="G4" s="6">
        <v>1</v>
      </c>
      <c r="H4" s="6">
        <v>2</v>
      </c>
      <c r="I4" s="6">
        <v>3</v>
      </c>
      <c r="J4" s="6" t="s">
        <v>5</v>
      </c>
      <c r="K4" s="48"/>
      <c r="L4" s="48"/>
      <c r="M4" s="50"/>
    </row>
    <row r="5" spans="1:13" ht="15">
      <c r="A5" s="51" t="s">
        <v>14</v>
      </c>
      <c r="B5" s="52"/>
      <c r="C5" s="52"/>
      <c r="D5" s="52"/>
      <c r="E5" s="52"/>
      <c r="F5" s="52"/>
      <c r="G5" s="52"/>
      <c r="H5" s="52"/>
      <c r="I5" s="52"/>
      <c r="J5" s="52"/>
    </row>
    <row r="6" spans="1:13">
      <c r="A6" s="7" t="s">
        <v>338</v>
      </c>
      <c r="B6" s="7" t="s">
        <v>339</v>
      </c>
      <c r="C6" s="7" t="s">
        <v>340</v>
      </c>
      <c r="D6" s="7" t="str">
        <f>"0,6870"</f>
        <v>0,6870</v>
      </c>
      <c r="E6" s="7" t="s">
        <v>341</v>
      </c>
      <c r="F6" s="7" t="s">
        <v>20</v>
      </c>
      <c r="G6" s="9" t="s">
        <v>183</v>
      </c>
      <c r="H6" s="9" t="s">
        <v>209</v>
      </c>
      <c r="I6" s="8" t="s">
        <v>184</v>
      </c>
      <c r="J6" s="8"/>
      <c r="K6" s="20" t="str">
        <f>"175,0"</f>
        <v>175,0</v>
      </c>
      <c r="L6" s="21" t="str">
        <f>"126,0050"</f>
        <v>126,0050</v>
      </c>
      <c r="M6" s="7" t="s">
        <v>342</v>
      </c>
    </row>
    <row r="8" spans="1:13" ht="15">
      <c r="A8" s="62" t="s">
        <v>306</v>
      </c>
      <c r="B8" s="62"/>
      <c r="C8" s="62"/>
      <c r="D8" s="62"/>
      <c r="E8" s="62"/>
      <c r="F8" s="62"/>
      <c r="G8" s="62"/>
      <c r="H8" s="62"/>
      <c r="I8" s="62"/>
      <c r="J8" s="62"/>
    </row>
    <row r="9" spans="1:13">
      <c r="A9" s="38" t="s">
        <v>691</v>
      </c>
      <c r="B9" s="7" t="s">
        <v>343</v>
      </c>
      <c r="C9" s="7" t="s">
        <v>344</v>
      </c>
      <c r="D9" s="7" t="str">
        <f>"0,6224"</f>
        <v>0,6224</v>
      </c>
      <c r="E9" s="7" t="s">
        <v>341</v>
      </c>
      <c r="F9" s="7" t="s">
        <v>20</v>
      </c>
      <c r="G9" s="8" t="s">
        <v>183</v>
      </c>
      <c r="H9" s="9" t="s">
        <v>183</v>
      </c>
      <c r="I9" s="8" t="s">
        <v>258</v>
      </c>
      <c r="J9" s="8"/>
      <c r="K9" s="20" t="str">
        <f>"165,0"</f>
        <v>165,0</v>
      </c>
      <c r="L9" s="21" t="str">
        <f>"124,1595"</f>
        <v>124,1595</v>
      </c>
      <c r="M9" s="7" t="s">
        <v>345</v>
      </c>
    </row>
    <row r="11" spans="1:13" ht="15">
      <c r="E11" s="18" t="s">
        <v>63</v>
      </c>
      <c r="F11" s="40" t="s">
        <v>693</v>
      </c>
    </row>
    <row r="12" spans="1:13" ht="15">
      <c r="E12" s="18" t="s">
        <v>64</v>
      </c>
      <c r="F12" s="40" t="s">
        <v>694</v>
      </c>
    </row>
    <row r="13" spans="1:13" ht="15">
      <c r="E13" s="18" t="s">
        <v>65</v>
      </c>
      <c r="F13" s="40" t="s">
        <v>695</v>
      </c>
    </row>
    <row r="14" spans="1:13" ht="15">
      <c r="E14" s="18" t="s">
        <v>66</v>
      </c>
      <c r="F14" s="40" t="s">
        <v>696</v>
      </c>
    </row>
    <row r="15" spans="1:13" ht="15">
      <c r="E15" s="18" t="s">
        <v>66</v>
      </c>
      <c r="F15" s="40" t="s">
        <v>697</v>
      </c>
    </row>
    <row r="16" spans="1:13" ht="15">
      <c r="E16" s="18"/>
    </row>
    <row r="17" spans="1:5" ht="15">
      <c r="E17" s="18"/>
    </row>
    <row r="19" spans="1:5" ht="18">
      <c r="A19" s="26" t="s">
        <v>67</v>
      </c>
      <c r="B19" s="26"/>
    </row>
    <row r="20" spans="1:5" ht="15">
      <c r="A20" s="27" t="s">
        <v>68</v>
      </c>
      <c r="B20" s="27"/>
    </row>
    <row r="21" spans="1:5" ht="14.25">
      <c r="A21" s="29"/>
      <c r="B21" s="30" t="s">
        <v>80</v>
      </c>
    </row>
    <row r="22" spans="1:5" ht="15">
      <c r="A22" s="31" t="s">
        <v>70</v>
      </c>
      <c r="B22" s="31" t="s">
        <v>71</v>
      </c>
      <c r="C22" s="31" t="s">
        <v>72</v>
      </c>
      <c r="D22" s="31" t="s">
        <v>74</v>
      </c>
      <c r="E22" s="31" t="s">
        <v>75</v>
      </c>
    </row>
    <row r="23" spans="1:5">
      <c r="A23" s="28" t="s">
        <v>337</v>
      </c>
      <c r="B23" s="4" t="s">
        <v>215</v>
      </c>
      <c r="C23" s="4" t="s">
        <v>89</v>
      </c>
      <c r="D23" s="4" t="s">
        <v>209</v>
      </c>
      <c r="E23" s="19" t="s">
        <v>346</v>
      </c>
    </row>
    <row r="24" spans="1:5">
      <c r="A24" s="41" t="s">
        <v>692</v>
      </c>
      <c r="B24" s="4" t="s">
        <v>88</v>
      </c>
      <c r="C24" s="4" t="s">
        <v>329</v>
      </c>
      <c r="D24" s="4" t="s">
        <v>183</v>
      </c>
      <c r="E24" s="19" t="s">
        <v>347</v>
      </c>
    </row>
  </sheetData>
  <mergeCells count="13">
    <mergeCell ref="A1:M2"/>
    <mergeCell ref="A3:A4"/>
    <mergeCell ref="B3:B4"/>
    <mergeCell ref="C3:C4"/>
    <mergeCell ref="D3:D4"/>
    <mergeCell ref="E3:E4"/>
    <mergeCell ref="F3:F4"/>
    <mergeCell ref="G3:J3"/>
    <mergeCell ref="A8:J8"/>
    <mergeCell ref="K3:K4"/>
    <mergeCell ref="L3:L4"/>
    <mergeCell ref="M3:M4"/>
    <mergeCell ref="A5:J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M50"/>
  <sheetViews>
    <sheetView workbookViewId="0">
      <selection activeCell="E28" sqref="E28"/>
    </sheetView>
  </sheetViews>
  <sheetFormatPr defaultRowHeight="12.75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1.42578125" style="4" bestFit="1" customWidth="1"/>
    <col min="7" max="9" width="5.5703125" style="3" customWidth="1"/>
    <col min="10" max="10" width="4.85546875" style="3" customWidth="1"/>
    <col min="11" max="11" width="7.85546875" style="19" bestFit="1" customWidth="1"/>
    <col min="12" max="12" width="8.5703125" style="2" bestFit="1" customWidth="1"/>
    <col min="13" max="13" width="17.5703125" style="4" bestFit="1" customWidth="1"/>
    <col min="14" max="16384" width="9.140625" style="3"/>
  </cols>
  <sheetData>
    <row r="1" spans="1:13" s="2" customFormat="1" ht="29.1" customHeight="1">
      <c r="A1" s="53" t="s">
        <v>285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.1" customHeight="1" thickBot="1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>
      <c r="A3" s="59" t="s">
        <v>0</v>
      </c>
      <c r="B3" s="61" t="s">
        <v>6</v>
      </c>
      <c r="C3" s="61" t="s">
        <v>10</v>
      </c>
      <c r="D3" s="47" t="s">
        <v>12</v>
      </c>
      <c r="E3" s="47" t="s">
        <v>4</v>
      </c>
      <c r="F3" s="47" t="s">
        <v>7</v>
      </c>
      <c r="G3" s="47" t="s">
        <v>13</v>
      </c>
      <c r="H3" s="47"/>
      <c r="I3" s="47"/>
      <c r="J3" s="47"/>
      <c r="K3" s="47" t="s">
        <v>91</v>
      </c>
      <c r="L3" s="47" t="s">
        <v>3</v>
      </c>
      <c r="M3" s="49" t="s">
        <v>2</v>
      </c>
    </row>
    <row r="4" spans="1:13" s="1" customFormat="1" ht="21" customHeight="1" thickBot="1">
      <c r="A4" s="60"/>
      <c r="B4" s="48"/>
      <c r="C4" s="48"/>
      <c r="D4" s="48"/>
      <c r="E4" s="48"/>
      <c r="F4" s="48"/>
      <c r="G4" s="6">
        <v>1</v>
      </c>
      <c r="H4" s="6">
        <v>2</v>
      </c>
      <c r="I4" s="6">
        <v>3</v>
      </c>
      <c r="J4" s="6" t="s">
        <v>5</v>
      </c>
      <c r="K4" s="48"/>
      <c r="L4" s="48"/>
      <c r="M4" s="50"/>
    </row>
    <row r="5" spans="1:13" ht="15">
      <c r="A5" s="51" t="s">
        <v>237</v>
      </c>
      <c r="B5" s="52"/>
      <c r="C5" s="52"/>
      <c r="D5" s="52"/>
      <c r="E5" s="52"/>
      <c r="F5" s="52"/>
      <c r="G5" s="52"/>
      <c r="H5" s="52"/>
      <c r="I5" s="52"/>
      <c r="J5" s="52"/>
    </row>
    <row r="6" spans="1:13">
      <c r="A6" s="7" t="s">
        <v>287</v>
      </c>
      <c r="B6" s="7" t="s">
        <v>288</v>
      </c>
      <c r="C6" s="7" t="s">
        <v>289</v>
      </c>
      <c r="D6" s="7" t="str">
        <f>"0,8609"</f>
        <v>0,8609</v>
      </c>
      <c r="E6" s="7" t="s">
        <v>290</v>
      </c>
      <c r="F6" s="7" t="s">
        <v>291</v>
      </c>
      <c r="G6" s="9" t="s">
        <v>122</v>
      </c>
      <c r="H6" s="8" t="s">
        <v>21</v>
      </c>
      <c r="I6" s="8" t="s">
        <v>22</v>
      </c>
      <c r="J6" s="8"/>
      <c r="K6" s="20" t="str">
        <f>"100,0"</f>
        <v>100,0</v>
      </c>
      <c r="L6" s="21" t="str">
        <f>"86,0900"</f>
        <v>86,0900</v>
      </c>
      <c r="M6" s="7" t="s">
        <v>292</v>
      </c>
    </row>
    <row r="8" spans="1:13" ht="15">
      <c r="A8" s="62" t="s">
        <v>14</v>
      </c>
      <c r="B8" s="62"/>
      <c r="C8" s="62"/>
      <c r="D8" s="62"/>
      <c r="E8" s="62"/>
      <c r="F8" s="62"/>
      <c r="G8" s="62"/>
      <c r="H8" s="62"/>
      <c r="I8" s="62"/>
      <c r="J8" s="62"/>
    </row>
    <row r="9" spans="1:13">
      <c r="A9" s="12" t="s">
        <v>294</v>
      </c>
      <c r="B9" s="12" t="s">
        <v>295</v>
      </c>
      <c r="C9" s="12" t="s">
        <v>153</v>
      </c>
      <c r="D9" s="12" t="str">
        <f>"0,6701"</f>
        <v>0,6701</v>
      </c>
      <c r="E9" s="12" t="s">
        <v>296</v>
      </c>
      <c r="F9" s="12" t="s">
        <v>31</v>
      </c>
      <c r="G9" s="14" t="s">
        <v>198</v>
      </c>
      <c r="H9" s="13"/>
      <c r="I9" s="13"/>
      <c r="J9" s="13"/>
      <c r="K9" s="22" t="str">
        <f>"220,0"</f>
        <v>220,0</v>
      </c>
      <c r="L9" s="23" t="str">
        <f>"147,4220"</f>
        <v>147,4220</v>
      </c>
      <c r="M9" s="12" t="s">
        <v>24</v>
      </c>
    </row>
    <row r="10" spans="1:13">
      <c r="A10" s="33" t="s">
        <v>298</v>
      </c>
      <c r="B10" s="33" t="s">
        <v>299</v>
      </c>
      <c r="C10" s="33" t="s">
        <v>300</v>
      </c>
      <c r="D10" s="33" t="str">
        <f>"0,6645"</f>
        <v>0,6645</v>
      </c>
      <c r="E10" s="33" t="s">
        <v>296</v>
      </c>
      <c r="F10" s="33" t="s">
        <v>301</v>
      </c>
      <c r="G10" s="35" t="s">
        <v>302</v>
      </c>
      <c r="H10" s="35" t="s">
        <v>204</v>
      </c>
      <c r="I10" s="34" t="s">
        <v>197</v>
      </c>
      <c r="J10" s="34"/>
      <c r="K10" s="36" t="str">
        <f>"202,5"</f>
        <v>202,5</v>
      </c>
      <c r="L10" s="37" t="str">
        <f>"134,5612"</f>
        <v>134,5612</v>
      </c>
      <c r="M10" s="33" t="s">
        <v>303</v>
      </c>
    </row>
    <row r="11" spans="1:13">
      <c r="A11" s="15" t="s">
        <v>304</v>
      </c>
      <c r="B11" s="15" t="s">
        <v>305</v>
      </c>
      <c r="C11" s="15" t="s">
        <v>300</v>
      </c>
      <c r="D11" s="15" t="str">
        <f>"0,6645"</f>
        <v>0,6645</v>
      </c>
      <c r="E11" s="15" t="s">
        <v>296</v>
      </c>
      <c r="F11" s="15" t="s">
        <v>301</v>
      </c>
      <c r="G11" s="17" t="s">
        <v>302</v>
      </c>
      <c r="H11" s="17" t="s">
        <v>204</v>
      </c>
      <c r="I11" s="16" t="s">
        <v>197</v>
      </c>
      <c r="J11" s="16"/>
      <c r="K11" s="24" t="str">
        <f>"202,5"</f>
        <v>202,5</v>
      </c>
      <c r="L11" s="25" t="str">
        <f>"143,8460"</f>
        <v>143,8460</v>
      </c>
      <c r="M11" s="15" t="s">
        <v>303</v>
      </c>
    </row>
    <row r="13" spans="1:13" ht="15">
      <c r="A13" s="62" t="s">
        <v>306</v>
      </c>
      <c r="B13" s="62"/>
      <c r="C13" s="62"/>
      <c r="D13" s="62"/>
      <c r="E13" s="62"/>
      <c r="F13" s="62"/>
      <c r="G13" s="62"/>
      <c r="H13" s="62"/>
      <c r="I13" s="62"/>
      <c r="J13" s="62"/>
    </row>
    <row r="14" spans="1:13">
      <c r="A14" s="7" t="s">
        <v>308</v>
      </c>
      <c r="B14" s="7" t="s">
        <v>309</v>
      </c>
      <c r="C14" s="7" t="s">
        <v>310</v>
      </c>
      <c r="D14" s="7" t="str">
        <f>"0,6301"</f>
        <v>0,6301</v>
      </c>
      <c r="E14" s="7" t="s">
        <v>296</v>
      </c>
      <c r="F14" s="7" t="s">
        <v>31</v>
      </c>
      <c r="G14" s="9" t="s">
        <v>311</v>
      </c>
      <c r="H14" s="8"/>
      <c r="I14" s="8"/>
      <c r="J14" s="8"/>
      <c r="K14" s="20" t="str">
        <f>"237,5"</f>
        <v>237,5</v>
      </c>
      <c r="L14" s="21" t="str">
        <f>"149,6488"</f>
        <v>149,6488</v>
      </c>
      <c r="M14" s="7" t="s">
        <v>24</v>
      </c>
    </row>
    <row r="16" spans="1:13" ht="15">
      <c r="A16" s="62" t="s">
        <v>40</v>
      </c>
      <c r="B16" s="62"/>
      <c r="C16" s="62"/>
      <c r="D16" s="62"/>
      <c r="E16" s="62"/>
      <c r="F16" s="62"/>
      <c r="G16" s="62"/>
      <c r="H16" s="62"/>
      <c r="I16" s="62"/>
      <c r="J16" s="62"/>
    </row>
    <row r="17" spans="1:13">
      <c r="A17" s="7" t="s">
        <v>313</v>
      </c>
      <c r="B17" s="7" t="s">
        <v>314</v>
      </c>
      <c r="C17" s="7" t="s">
        <v>315</v>
      </c>
      <c r="D17" s="7" t="str">
        <f>"0,5586"</f>
        <v>0,5586</v>
      </c>
      <c r="E17" s="7" t="s">
        <v>30</v>
      </c>
      <c r="F17" s="7" t="s">
        <v>20</v>
      </c>
      <c r="G17" s="8" t="s">
        <v>55</v>
      </c>
      <c r="H17" s="9" t="s">
        <v>55</v>
      </c>
      <c r="I17" s="8" t="s">
        <v>183</v>
      </c>
      <c r="J17" s="8"/>
      <c r="K17" s="20" t="str">
        <f>"160,0"</f>
        <v>160,0</v>
      </c>
      <c r="L17" s="21" t="str">
        <f>"89,3760"</f>
        <v>89,3760</v>
      </c>
      <c r="M17" s="7" t="s">
        <v>316</v>
      </c>
    </row>
    <row r="19" spans="1:13" ht="15">
      <c r="A19" s="62" t="s">
        <v>57</v>
      </c>
      <c r="B19" s="62"/>
      <c r="C19" s="62"/>
      <c r="D19" s="62"/>
      <c r="E19" s="62"/>
      <c r="F19" s="62"/>
      <c r="G19" s="62"/>
      <c r="H19" s="62"/>
      <c r="I19" s="62"/>
      <c r="J19" s="62"/>
    </row>
    <row r="20" spans="1:13">
      <c r="A20" s="12" t="s">
        <v>318</v>
      </c>
      <c r="B20" s="12" t="s">
        <v>319</v>
      </c>
      <c r="C20" s="12" t="s">
        <v>320</v>
      </c>
      <c r="D20" s="12" t="str">
        <f>"0,5322"</f>
        <v>0,5322</v>
      </c>
      <c r="E20" s="12" t="s">
        <v>296</v>
      </c>
      <c r="F20" s="12" t="s">
        <v>31</v>
      </c>
      <c r="G20" s="14" t="s">
        <v>321</v>
      </c>
      <c r="H20" s="14" t="s">
        <v>322</v>
      </c>
      <c r="I20" s="14" t="s">
        <v>323</v>
      </c>
      <c r="J20" s="13"/>
      <c r="K20" s="22" t="str">
        <f>"307,5"</f>
        <v>307,5</v>
      </c>
      <c r="L20" s="23" t="str">
        <f>"163,6515"</f>
        <v>163,6515</v>
      </c>
      <c r="M20" s="12" t="s">
        <v>324</v>
      </c>
    </row>
    <row r="21" spans="1:13">
      <c r="A21" s="15" t="s">
        <v>318</v>
      </c>
      <c r="B21" s="15" t="s">
        <v>325</v>
      </c>
      <c r="C21" s="15" t="s">
        <v>326</v>
      </c>
      <c r="D21" s="15" t="str">
        <f>"0,5321"</f>
        <v>0,5321</v>
      </c>
      <c r="E21" s="15" t="s">
        <v>296</v>
      </c>
      <c r="F21" s="15" t="s">
        <v>31</v>
      </c>
      <c r="G21" s="17" t="s">
        <v>321</v>
      </c>
      <c r="H21" s="17" t="s">
        <v>322</v>
      </c>
      <c r="I21" s="17" t="s">
        <v>323</v>
      </c>
      <c r="J21" s="16"/>
      <c r="K21" s="24" t="str">
        <f>"307,5"</f>
        <v>307,5</v>
      </c>
      <c r="L21" s="25" t="str">
        <f>"171,4746"</f>
        <v>171,4746</v>
      </c>
      <c r="M21" s="15" t="s">
        <v>324</v>
      </c>
    </row>
    <row r="23" spans="1:13" ht="15">
      <c r="E23" s="18" t="s">
        <v>63</v>
      </c>
      <c r="F23" s="40" t="s">
        <v>693</v>
      </c>
    </row>
    <row r="24" spans="1:13" ht="15">
      <c r="E24" s="18" t="s">
        <v>64</v>
      </c>
      <c r="F24" s="40" t="s">
        <v>694</v>
      </c>
    </row>
    <row r="25" spans="1:13" ht="15">
      <c r="E25" s="18" t="s">
        <v>65</v>
      </c>
      <c r="F25" s="40" t="s">
        <v>695</v>
      </c>
    </row>
    <row r="26" spans="1:13" ht="15">
      <c r="E26" s="18" t="s">
        <v>66</v>
      </c>
      <c r="F26" s="40" t="s">
        <v>696</v>
      </c>
    </row>
    <row r="27" spans="1:13" ht="15">
      <c r="E27" s="18" t="s">
        <v>66</v>
      </c>
      <c r="F27" s="40" t="s">
        <v>697</v>
      </c>
    </row>
    <row r="28" spans="1:13" ht="15">
      <c r="E28" s="18"/>
    </row>
    <row r="29" spans="1:13" ht="15">
      <c r="E29" s="18"/>
    </row>
    <row r="31" spans="1:13" ht="18">
      <c r="A31" s="26" t="s">
        <v>67</v>
      </c>
      <c r="B31" s="26"/>
    </row>
    <row r="32" spans="1:13" ht="15">
      <c r="A32" s="27" t="s">
        <v>211</v>
      </c>
      <c r="B32" s="27"/>
    </row>
    <row r="33" spans="1:5" ht="14.25">
      <c r="A33" s="29"/>
      <c r="B33" s="30" t="s">
        <v>69</v>
      </c>
    </row>
    <row r="34" spans="1:5" ht="15">
      <c r="A34" s="31" t="s">
        <v>70</v>
      </c>
      <c r="B34" s="31" t="s">
        <v>71</v>
      </c>
      <c r="C34" s="31" t="s">
        <v>72</v>
      </c>
      <c r="D34" s="31" t="s">
        <v>74</v>
      </c>
      <c r="E34" s="31" t="s">
        <v>75</v>
      </c>
    </row>
    <row r="35" spans="1:5">
      <c r="A35" s="28" t="s">
        <v>286</v>
      </c>
      <c r="B35" s="4" t="s">
        <v>69</v>
      </c>
      <c r="C35" s="4" t="s">
        <v>280</v>
      </c>
      <c r="D35" s="4" t="s">
        <v>122</v>
      </c>
      <c r="E35" s="19" t="s">
        <v>327</v>
      </c>
    </row>
    <row r="38" spans="1:5" ht="15">
      <c r="A38" s="27" t="s">
        <v>68</v>
      </c>
      <c r="B38" s="27"/>
    </row>
    <row r="39" spans="1:5" ht="14.25">
      <c r="A39" s="29"/>
      <c r="B39" s="30" t="s">
        <v>69</v>
      </c>
    </row>
    <row r="40" spans="1:5" ht="15">
      <c r="A40" s="31" t="s">
        <v>70</v>
      </c>
      <c r="B40" s="31" t="s">
        <v>71</v>
      </c>
      <c r="C40" s="31" t="s">
        <v>72</v>
      </c>
      <c r="D40" s="31" t="s">
        <v>74</v>
      </c>
      <c r="E40" s="31" t="s">
        <v>75</v>
      </c>
    </row>
    <row r="41" spans="1:5">
      <c r="A41" s="28" t="s">
        <v>317</v>
      </c>
      <c r="B41" s="4" t="s">
        <v>69</v>
      </c>
      <c r="C41" s="4" t="s">
        <v>76</v>
      </c>
      <c r="D41" s="4" t="s">
        <v>323</v>
      </c>
      <c r="E41" s="19" t="s">
        <v>328</v>
      </c>
    </row>
    <row r="42" spans="1:5">
      <c r="A42" s="28" t="s">
        <v>307</v>
      </c>
      <c r="B42" s="4" t="s">
        <v>69</v>
      </c>
      <c r="C42" s="4" t="s">
        <v>329</v>
      </c>
      <c r="D42" s="4" t="s">
        <v>311</v>
      </c>
      <c r="E42" s="19" t="s">
        <v>330</v>
      </c>
    </row>
    <row r="43" spans="1:5">
      <c r="A43" s="28" t="s">
        <v>293</v>
      </c>
      <c r="B43" s="4" t="s">
        <v>69</v>
      </c>
      <c r="C43" s="4" t="s">
        <v>89</v>
      </c>
      <c r="D43" s="4" t="s">
        <v>198</v>
      </c>
      <c r="E43" s="19" t="s">
        <v>331</v>
      </c>
    </row>
    <row r="44" spans="1:5">
      <c r="A44" s="28" t="s">
        <v>297</v>
      </c>
      <c r="B44" s="4" t="s">
        <v>69</v>
      </c>
      <c r="C44" s="4" t="s">
        <v>89</v>
      </c>
      <c r="D44" s="4" t="s">
        <v>204</v>
      </c>
      <c r="E44" s="19" t="s">
        <v>332</v>
      </c>
    </row>
    <row r="45" spans="1:5">
      <c r="A45" s="28" t="s">
        <v>312</v>
      </c>
      <c r="B45" s="4" t="s">
        <v>69</v>
      </c>
      <c r="C45" s="4" t="s">
        <v>78</v>
      </c>
      <c r="D45" s="4" t="s">
        <v>55</v>
      </c>
      <c r="E45" s="19" t="s">
        <v>333</v>
      </c>
    </row>
    <row r="47" spans="1:5" ht="14.25">
      <c r="A47" s="29"/>
      <c r="B47" s="30" t="s">
        <v>80</v>
      </c>
    </row>
    <row r="48" spans="1:5" ht="15">
      <c r="A48" s="31" t="s">
        <v>70</v>
      </c>
      <c r="B48" s="31" t="s">
        <v>71</v>
      </c>
      <c r="C48" s="31" t="s">
        <v>72</v>
      </c>
      <c r="D48" s="31" t="s">
        <v>74</v>
      </c>
      <c r="E48" s="31" t="s">
        <v>75</v>
      </c>
    </row>
    <row r="49" spans="1:5">
      <c r="A49" s="28" t="s">
        <v>317</v>
      </c>
      <c r="B49" s="4" t="s">
        <v>215</v>
      </c>
      <c r="C49" s="4" t="s">
        <v>76</v>
      </c>
      <c r="D49" s="4" t="s">
        <v>323</v>
      </c>
      <c r="E49" s="19" t="s">
        <v>334</v>
      </c>
    </row>
    <row r="50" spans="1:5">
      <c r="A50" s="28" t="s">
        <v>297</v>
      </c>
      <c r="B50" s="4" t="s">
        <v>215</v>
      </c>
      <c r="C50" s="4" t="s">
        <v>89</v>
      </c>
      <c r="D50" s="4" t="s">
        <v>204</v>
      </c>
      <c r="E50" s="19" t="s">
        <v>335</v>
      </c>
    </row>
  </sheetData>
  <mergeCells count="16"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  <mergeCell ref="A8:J8"/>
    <mergeCell ref="A13:J13"/>
    <mergeCell ref="A16:J16"/>
    <mergeCell ref="A19:J19"/>
    <mergeCell ref="K3:K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M48"/>
  <sheetViews>
    <sheetView workbookViewId="0">
      <selection activeCell="E28" sqref="E28"/>
    </sheetView>
  </sheetViews>
  <sheetFormatPr defaultRowHeight="12.75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32.28515625" style="4" bestFit="1" customWidth="1"/>
    <col min="6" max="6" width="33.42578125" style="4" bestFit="1" customWidth="1"/>
    <col min="7" max="9" width="5.5703125" style="3" customWidth="1"/>
    <col min="10" max="10" width="4.85546875" style="3" customWidth="1"/>
    <col min="11" max="11" width="7.85546875" style="19" bestFit="1" customWidth="1"/>
    <col min="12" max="12" width="8.5703125" style="2" bestFit="1" customWidth="1"/>
    <col min="13" max="13" width="17" style="4" bestFit="1" customWidth="1"/>
    <col min="14" max="16384" width="9.140625" style="3"/>
  </cols>
  <sheetData>
    <row r="1" spans="1:13" s="2" customFormat="1" ht="29.1" customHeight="1">
      <c r="A1" s="53" t="s">
        <v>236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.1" customHeight="1" thickBot="1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>
      <c r="A3" s="59" t="s">
        <v>0</v>
      </c>
      <c r="B3" s="61" t="s">
        <v>6</v>
      </c>
      <c r="C3" s="61" t="s">
        <v>10</v>
      </c>
      <c r="D3" s="47" t="s">
        <v>12</v>
      </c>
      <c r="E3" s="47" t="s">
        <v>4</v>
      </c>
      <c r="F3" s="47" t="s">
        <v>7</v>
      </c>
      <c r="G3" s="47" t="s">
        <v>13</v>
      </c>
      <c r="H3" s="47"/>
      <c r="I3" s="47"/>
      <c r="J3" s="47"/>
      <c r="K3" s="47" t="s">
        <v>91</v>
      </c>
      <c r="L3" s="47" t="s">
        <v>3</v>
      </c>
      <c r="M3" s="49" t="s">
        <v>2</v>
      </c>
    </row>
    <row r="4" spans="1:13" s="1" customFormat="1" ht="21" customHeight="1" thickBot="1">
      <c r="A4" s="60"/>
      <c r="B4" s="48"/>
      <c r="C4" s="48"/>
      <c r="D4" s="48"/>
      <c r="E4" s="48"/>
      <c r="F4" s="48"/>
      <c r="G4" s="6">
        <v>1</v>
      </c>
      <c r="H4" s="6">
        <v>2</v>
      </c>
      <c r="I4" s="6">
        <v>3</v>
      </c>
      <c r="J4" s="6" t="s">
        <v>5</v>
      </c>
      <c r="K4" s="48"/>
      <c r="L4" s="48"/>
      <c r="M4" s="50"/>
    </row>
    <row r="5" spans="1:13" ht="15">
      <c r="A5" s="51" t="s">
        <v>237</v>
      </c>
      <c r="B5" s="52"/>
      <c r="C5" s="52"/>
      <c r="D5" s="52"/>
      <c r="E5" s="52"/>
      <c r="F5" s="52"/>
      <c r="G5" s="52"/>
      <c r="H5" s="52"/>
      <c r="I5" s="52"/>
      <c r="J5" s="52"/>
    </row>
    <row r="6" spans="1:13">
      <c r="A6" s="7" t="s">
        <v>239</v>
      </c>
      <c r="B6" s="7" t="s">
        <v>240</v>
      </c>
      <c r="C6" s="7" t="s">
        <v>241</v>
      </c>
      <c r="D6" s="7" t="str">
        <f>"0,8142"</f>
        <v>0,8142</v>
      </c>
      <c r="E6" s="7" t="s">
        <v>37</v>
      </c>
      <c r="F6" s="7" t="s">
        <v>242</v>
      </c>
      <c r="G6" s="9" t="s">
        <v>243</v>
      </c>
      <c r="H6" s="9" t="s">
        <v>121</v>
      </c>
      <c r="I6" s="8" t="s">
        <v>122</v>
      </c>
      <c r="J6" s="8"/>
      <c r="K6" s="20" t="str">
        <f>"95,0"</f>
        <v>95,0</v>
      </c>
      <c r="L6" s="21" t="str">
        <f>"77,3490"</f>
        <v>77,3490</v>
      </c>
      <c r="M6" s="7" t="s">
        <v>244</v>
      </c>
    </row>
    <row r="8" spans="1:13" ht="15">
      <c r="A8" s="62" t="s">
        <v>107</v>
      </c>
      <c r="B8" s="62"/>
      <c r="C8" s="62"/>
      <c r="D8" s="62"/>
      <c r="E8" s="62"/>
      <c r="F8" s="62"/>
      <c r="G8" s="62"/>
      <c r="H8" s="62"/>
      <c r="I8" s="62"/>
      <c r="J8" s="62"/>
    </row>
    <row r="9" spans="1:13">
      <c r="A9" s="7" t="s">
        <v>246</v>
      </c>
      <c r="B9" s="7" t="s">
        <v>247</v>
      </c>
      <c r="C9" s="7" t="s">
        <v>248</v>
      </c>
      <c r="D9" s="7" t="str">
        <f>"0,7278"</f>
        <v>0,7278</v>
      </c>
      <c r="E9" s="7" t="s">
        <v>112</v>
      </c>
      <c r="F9" s="7" t="s">
        <v>20</v>
      </c>
      <c r="G9" s="9" t="s">
        <v>249</v>
      </c>
      <c r="H9" s="9" t="s">
        <v>147</v>
      </c>
      <c r="I9" s="8"/>
      <c r="J9" s="8"/>
      <c r="K9" s="20" t="str">
        <f>"85,0"</f>
        <v>85,0</v>
      </c>
      <c r="L9" s="21" t="str">
        <f>"128,8606"</f>
        <v>128,8606</v>
      </c>
      <c r="M9" s="7" t="s">
        <v>24</v>
      </c>
    </row>
    <row r="11" spans="1:13" ht="15">
      <c r="A11" s="62" t="s">
        <v>93</v>
      </c>
      <c r="B11" s="62"/>
      <c r="C11" s="62"/>
      <c r="D11" s="62"/>
      <c r="E11" s="62"/>
      <c r="F11" s="62"/>
      <c r="G11" s="62"/>
      <c r="H11" s="62"/>
      <c r="I11" s="62"/>
      <c r="J11" s="62"/>
    </row>
    <row r="12" spans="1:13">
      <c r="A12" s="7" t="s">
        <v>251</v>
      </c>
      <c r="B12" s="7" t="s">
        <v>252</v>
      </c>
      <c r="C12" s="7" t="s">
        <v>253</v>
      </c>
      <c r="D12" s="7" t="str">
        <f>"0,5487"</f>
        <v>0,5487</v>
      </c>
      <c r="E12" s="7" t="s">
        <v>128</v>
      </c>
      <c r="F12" s="7" t="s">
        <v>129</v>
      </c>
      <c r="G12" s="9" t="s">
        <v>249</v>
      </c>
      <c r="H12" s="9" t="s">
        <v>243</v>
      </c>
      <c r="I12" s="9" t="s">
        <v>122</v>
      </c>
      <c r="J12" s="8"/>
      <c r="K12" s="20" t="str">
        <f>"100,0"</f>
        <v>100,0</v>
      </c>
      <c r="L12" s="21" t="str">
        <f>"64,7466"</f>
        <v>64,7466</v>
      </c>
      <c r="M12" s="7" t="s">
        <v>133</v>
      </c>
    </row>
    <row r="14" spans="1:13" ht="15">
      <c r="A14" s="62" t="s">
        <v>57</v>
      </c>
      <c r="B14" s="62"/>
      <c r="C14" s="62"/>
      <c r="D14" s="62"/>
      <c r="E14" s="62"/>
      <c r="F14" s="62"/>
      <c r="G14" s="62"/>
      <c r="H14" s="62"/>
      <c r="I14" s="62"/>
      <c r="J14" s="62"/>
    </row>
    <row r="15" spans="1:13">
      <c r="A15" s="12" t="s">
        <v>255</v>
      </c>
      <c r="B15" s="12" t="s">
        <v>256</v>
      </c>
      <c r="C15" s="12" t="s">
        <v>257</v>
      </c>
      <c r="D15" s="12" t="str">
        <f>"0,5285"</f>
        <v>0,5285</v>
      </c>
      <c r="E15" s="12" t="s">
        <v>98</v>
      </c>
      <c r="F15" s="12" t="s">
        <v>20</v>
      </c>
      <c r="G15" s="14" t="s">
        <v>209</v>
      </c>
      <c r="H15" s="14" t="s">
        <v>258</v>
      </c>
      <c r="I15" s="14" t="s">
        <v>169</v>
      </c>
      <c r="J15" s="13"/>
      <c r="K15" s="22" t="str">
        <f>"187,5"</f>
        <v>187,5</v>
      </c>
      <c r="L15" s="23" t="str">
        <f>"99,0938"</f>
        <v>99,0938</v>
      </c>
      <c r="M15" s="12" t="s">
        <v>24</v>
      </c>
    </row>
    <row r="16" spans="1:13">
      <c r="A16" s="33" t="s">
        <v>255</v>
      </c>
      <c r="B16" s="33" t="s">
        <v>259</v>
      </c>
      <c r="C16" s="33" t="s">
        <v>257</v>
      </c>
      <c r="D16" s="33" t="str">
        <f>"0,5285"</f>
        <v>0,5285</v>
      </c>
      <c r="E16" s="33" t="s">
        <v>98</v>
      </c>
      <c r="F16" s="33" t="s">
        <v>20</v>
      </c>
      <c r="G16" s="35" t="s">
        <v>209</v>
      </c>
      <c r="H16" s="35" t="s">
        <v>258</v>
      </c>
      <c r="I16" s="35" t="s">
        <v>169</v>
      </c>
      <c r="J16" s="34"/>
      <c r="K16" s="36" t="str">
        <f>"187,5"</f>
        <v>187,5</v>
      </c>
      <c r="L16" s="37" t="str">
        <f>"99,0938"</f>
        <v>99,0938</v>
      </c>
      <c r="M16" s="33" t="s">
        <v>24</v>
      </c>
    </row>
    <row r="17" spans="1:13">
      <c r="A17" s="15" t="s">
        <v>261</v>
      </c>
      <c r="B17" s="15" t="s">
        <v>262</v>
      </c>
      <c r="C17" s="15" t="s">
        <v>263</v>
      </c>
      <c r="D17" s="15" t="str">
        <f>"0,5274"</f>
        <v>0,5274</v>
      </c>
      <c r="E17" s="15" t="s">
        <v>112</v>
      </c>
      <c r="F17" s="15" t="s">
        <v>20</v>
      </c>
      <c r="G17" s="17" t="s">
        <v>62</v>
      </c>
      <c r="H17" s="17" t="s">
        <v>99</v>
      </c>
      <c r="I17" s="17" t="s">
        <v>100</v>
      </c>
      <c r="J17" s="16"/>
      <c r="K17" s="24" t="str">
        <f>"207,5"</f>
        <v>207,5</v>
      </c>
      <c r="L17" s="25" t="str">
        <f>"156,4928"</f>
        <v>156,4928</v>
      </c>
      <c r="M17" s="15" t="s">
        <v>264</v>
      </c>
    </row>
    <row r="19" spans="1:13" ht="15">
      <c r="A19" s="62" t="s">
        <v>265</v>
      </c>
      <c r="B19" s="62"/>
      <c r="C19" s="62"/>
      <c r="D19" s="62"/>
      <c r="E19" s="62"/>
      <c r="F19" s="62"/>
      <c r="G19" s="62"/>
      <c r="H19" s="62"/>
      <c r="I19" s="62"/>
      <c r="J19" s="62"/>
    </row>
    <row r="20" spans="1:13">
      <c r="A20" s="12" t="s">
        <v>267</v>
      </c>
      <c r="B20" s="12" t="s">
        <v>268</v>
      </c>
      <c r="C20" s="12" t="s">
        <v>269</v>
      </c>
      <c r="D20" s="12" t="str">
        <f>"0,5164"</f>
        <v>0,5164</v>
      </c>
      <c r="E20" s="12" t="s">
        <v>128</v>
      </c>
      <c r="F20" s="12" t="s">
        <v>129</v>
      </c>
      <c r="G20" s="14" t="s">
        <v>140</v>
      </c>
      <c r="H20" s="14" t="s">
        <v>249</v>
      </c>
      <c r="I20" s="14" t="s">
        <v>243</v>
      </c>
      <c r="J20" s="13"/>
      <c r="K20" s="22" t="str">
        <f>"90,0"</f>
        <v>90,0</v>
      </c>
      <c r="L20" s="23" t="str">
        <f>"57,1699"</f>
        <v>57,1699</v>
      </c>
      <c r="M20" s="12" t="s">
        <v>133</v>
      </c>
    </row>
    <row r="21" spans="1:13">
      <c r="A21" s="15" t="s">
        <v>271</v>
      </c>
      <c r="B21" s="15" t="s">
        <v>272</v>
      </c>
      <c r="C21" s="15" t="s">
        <v>273</v>
      </c>
      <c r="D21" s="15" t="str">
        <f>"0,5148"</f>
        <v>0,5148</v>
      </c>
      <c r="E21" s="15" t="s">
        <v>128</v>
      </c>
      <c r="F21" s="15" t="s">
        <v>129</v>
      </c>
      <c r="G21" s="17" t="s">
        <v>56</v>
      </c>
      <c r="H21" s="17" t="s">
        <v>62</v>
      </c>
      <c r="I21" s="17" t="s">
        <v>99</v>
      </c>
      <c r="J21" s="16"/>
      <c r="K21" s="24" t="str">
        <f>"200,0"</f>
        <v>200,0</v>
      </c>
      <c r="L21" s="25" t="str">
        <f>"102,9520"</f>
        <v>102,9520</v>
      </c>
      <c r="M21" s="15" t="s">
        <v>133</v>
      </c>
    </row>
    <row r="23" spans="1:13" ht="15">
      <c r="E23" s="18" t="s">
        <v>63</v>
      </c>
      <c r="F23" s="40" t="s">
        <v>693</v>
      </c>
    </row>
    <row r="24" spans="1:13" ht="15">
      <c r="E24" s="18" t="s">
        <v>64</v>
      </c>
      <c r="F24" s="40" t="s">
        <v>694</v>
      </c>
    </row>
    <row r="25" spans="1:13" ht="15">
      <c r="E25" s="18" t="s">
        <v>65</v>
      </c>
      <c r="F25" s="40" t="s">
        <v>695</v>
      </c>
    </row>
    <row r="26" spans="1:13" ht="15">
      <c r="E26" s="18" t="s">
        <v>66</v>
      </c>
      <c r="F26" s="40" t="s">
        <v>696</v>
      </c>
    </row>
    <row r="27" spans="1:13" ht="15">
      <c r="E27" s="18" t="s">
        <v>66</v>
      </c>
      <c r="F27" s="40" t="s">
        <v>697</v>
      </c>
    </row>
    <row r="28" spans="1:13" ht="15">
      <c r="E28" s="18"/>
    </row>
    <row r="29" spans="1:13" ht="15">
      <c r="E29" s="18"/>
    </row>
    <row r="31" spans="1:13" ht="18">
      <c r="A31" s="26" t="s">
        <v>67</v>
      </c>
      <c r="B31" s="26"/>
    </row>
    <row r="32" spans="1:13" ht="15">
      <c r="A32" s="27" t="s">
        <v>68</v>
      </c>
      <c r="B32" s="27"/>
    </row>
    <row r="33" spans="1:5" ht="14.25">
      <c r="A33" s="29"/>
      <c r="B33" s="30" t="s">
        <v>218</v>
      </c>
    </row>
    <row r="34" spans="1:5" ht="15">
      <c r="A34" s="31" t="s">
        <v>70</v>
      </c>
      <c r="B34" s="31" t="s">
        <v>71</v>
      </c>
      <c r="C34" s="31" t="s">
        <v>72</v>
      </c>
      <c r="D34" s="31" t="s">
        <v>74</v>
      </c>
      <c r="E34" s="31" t="s">
        <v>75</v>
      </c>
    </row>
    <row r="35" spans="1:5">
      <c r="A35" s="28" t="s">
        <v>250</v>
      </c>
      <c r="B35" s="4" t="s">
        <v>274</v>
      </c>
      <c r="C35" s="4" t="s">
        <v>103</v>
      </c>
      <c r="D35" s="4" t="s">
        <v>122</v>
      </c>
      <c r="E35" s="19" t="s">
        <v>275</v>
      </c>
    </row>
    <row r="36" spans="1:5">
      <c r="A36" s="28" t="s">
        <v>266</v>
      </c>
      <c r="B36" s="4" t="s">
        <v>274</v>
      </c>
      <c r="C36" s="4" t="s">
        <v>276</v>
      </c>
      <c r="D36" s="4" t="s">
        <v>243</v>
      </c>
      <c r="E36" s="19" t="s">
        <v>277</v>
      </c>
    </row>
    <row r="38" spans="1:5" ht="14.25">
      <c r="A38" s="29"/>
      <c r="B38" s="30" t="s">
        <v>69</v>
      </c>
    </row>
    <row r="39" spans="1:5" ht="15">
      <c r="A39" s="31" t="s">
        <v>70</v>
      </c>
      <c r="B39" s="31" t="s">
        <v>71</v>
      </c>
      <c r="C39" s="31" t="s">
        <v>72</v>
      </c>
      <c r="D39" s="31" t="s">
        <v>74</v>
      </c>
      <c r="E39" s="31" t="s">
        <v>75</v>
      </c>
    </row>
    <row r="40" spans="1:5">
      <c r="A40" s="28" t="s">
        <v>270</v>
      </c>
      <c r="B40" s="4" t="s">
        <v>69</v>
      </c>
      <c r="C40" s="4" t="s">
        <v>276</v>
      </c>
      <c r="D40" s="4" t="s">
        <v>99</v>
      </c>
      <c r="E40" s="19" t="s">
        <v>278</v>
      </c>
    </row>
    <row r="41" spans="1:5">
      <c r="A41" s="28" t="s">
        <v>254</v>
      </c>
      <c r="B41" s="4" t="s">
        <v>69</v>
      </c>
      <c r="C41" s="4" t="s">
        <v>76</v>
      </c>
      <c r="D41" s="4" t="s">
        <v>169</v>
      </c>
      <c r="E41" s="19" t="s">
        <v>279</v>
      </c>
    </row>
    <row r="42" spans="1:5">
      <c r="A42" s="28" t="s">
        <v>238</v>
      </c>
      <c r="B42" s="4" t="s">
        <v>69</v>
      </c>
      <c r="C42" s="4" t="s">
        <v>280</v>
      </c>
      <c r="D42" s="4" t="s">
        <v>121</v>
      </c>
      <c r="E42" s="19" t="s">
        <v>281</v>
      </c>
    </row>
    <row r="44" spans="1:5" ht="14.25">
      <c r="A44" s="29"/>
      <c r="B44" s="30" t="s">
        <v>80</v>
      </c>
    </row>
    <row r="45" spans="1:5" ht="15">
      <c r="A45" s="31" t="s">
        <v>70</v>
      </c>
      <c r="B45" s="31" t="s">
        <v>71</v>
      </c>
      <c r="C45" s="31" t="s">
        <v>72</v>
      </c>
      <c r="D45" s="31" t="s">
        <v>74</v>
      </c>
      <c r="E45" s="31" t="s">
        <v>75</v>
      </c>
    </row>
    <row r="46" spans="1:5">
      <c r="A46" s="28" t="s">
        <v>260</v>
      </c>
      <c r="B46" s="4" t="s">
        <v>84</v>
      </c>
      <c r="C46" s="4" t="s">
        <v>76</v>
      </c>
      <c r="D46" s="4" t="s">
        <v>100</v>
      </c>
      <c r="E46" s="19" t="s">
        <v>282</v>
      </c>
    </row>
    <row r="47" spans="1:5">
      <c r="A47" s="28" t="s">
        <v>245</v>
      </c>
      <c r="B47" s="4" t="s">
        <v>283</v>
      </c>
      <c r="C47" s="4" t="s">
        <v>213</v>
      </c>
      <c r="D47" s="4" t="s">
        <v>147</v>
      </c>
      <c r="E47" s="19" t="s">
        <v>284</v>
      </c>
    </row>
    <row r="48" spans="1:5">
      <c r="A48" s="28" t="s">
        <v>254</v>
      </c>
      <c r="B48" s="4" t="s">
        <v>105</v>
      </c>
      <c r="C48" s="4" t="s">
        <v>76</v>
      </c>
      <c r="D48" s="4" t="s">
        <v>169</v>
      </c>
      <c r="E48" s="19" t="s">
        <v>279</v>
      </c>
    </row>
  </sheetData>
  <mergeCells count="16"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  <mergeCell ref="A8:J8"/>
    <mergeCell ref="A11:J11"/>
    <mergeCell ref="A14:J14"/>
    <mergeCell ref="A19:J19"/>
    <mergeCell ref="K3:K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M88"/>
  <sheetViews>
    <sheetView topLeftCell="A19" workbookViewId="0">
      <selection activeCell="E40" sqref="E40"/>
    </sheetView>
  </sheetViews>
  <sheetFormatPr defaultRowHeight="12.75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32.28515625" style="4" bestFit="1" customWidth="1"/>
    <col min="6" max="6" width="33.42578125" style="4" bestFit="1" customWidth="1"/>
    <col min="7" max="9" width="5.5703125" style="3" customWidth="1"/>
    <col min="10" max="10" width="4.85546875" style="3" customWidth="1"/>
    <col min="11" max="11" width="7.85546875" style="19" bestFit="1" customWidth="1"/>
    <col min="12" max="12" width="8.5703125" style="2" bestFit="1" customWidth="1"/>
    <col min="13" max="13" width="26.85546875" style="4" bestFit="1" customWidth="1"/>
    <col min="14" max="16384" width="9.140625" style="3"/>
  </cols>
  <sheetData>
    <row r="1" spans="1:13" s="2" customFormat="1" ht="29.1" customHeight="1">
      <c r="A1" s="53" t="s">
        <v>106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.1" customHeight="1" thickBot="1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>
      <c r="A3" s="59" t="s">
        <v>0</v>
      </c>
      <c r="B3" s="61" t="s">
        <v>6</v>
      </c>
      <c r="C3" s="61" t="s">
        <v>10</v>
      </c>
      <c r="D3" s="47" t="s">
        <v>12</v>
      </c>
      <c r="E3" s="47" t="s">
        <v>4</v>
      </c>
      <c r="F3" s="47" t="s">
        <v>7</v>
      </c>
      <c r="G3" s="47" t="s">
        <v>13</v>
      </c>
      <c r="H3" s="47"/>
      <c r="I3" s="47"/>
      <c r="J3" s="47"/>
      <c r="K3" s="47" t="s">
        <v>91</v>
      </c>
      <c r="L3" s="47" t="s">
        <v>3</v>
      </c>
      <c r="M3" s="49" t="s">
        <v>2</v>
      </c>
    </row>
    <row r="4" spans="1:13" s="1" customFormat="1" ht="21" customHeight="1" thickBot="1">
      <c r="A4" s="60"/>
      <c r="B4" s="48"/>
      <c r="C4" s="48"/>
      <c r="D4" s="48"/>
      <c r="E4" s="48"/>
      <c r="F4" s="48"/>
      <c r="G4" s="6">
        <v>1</v>
      </c>
      <c r="H4" s="6">
        <v>2</v>
      </c>
      <c r="I4" s="6">
        <v>3</v>
      </c>
      <c r="J4" s="6" t="s">
        <v>5</v>
      </c>
      <c r="K4" s="48"/>
      <c r="L4" s="48"/>
      <c r="M4" s="50"/>
    </row>
    <row r="5" spans="1:13" ht="15">
      <c r="A5" s="51" t="s">
        <v>107</v>
      </c>
      <c r="B5" s="52"/>
      <c r="C5" s="52"/>
      <c r="D5" s="52"/>
      <c r="E5" s="52"/>
      <c r="F5" s="52"/>
      <c r="G5" s="52"/>
      <c r="H5" s="52"/>
      <c r="I5" s="52"/>
      <c r="J5" s="52"/>
    </row>
    <row r="6" spans="1:13">
      <c r="A6" s="7" t="s">
        <v>109</v>
      </c>
      <c r="B6" s="7" t="s">
        <v>110</v>
      </c>
      <c r="C6" s="7" t="s">
        <v>111</v>
      </c>
      <c r="D6" s="7" t="str">
        <f>"0,8392"</f>
        <v>0,8392</v>
      </c>
      <c r="E6" s="7" t="s">
        <v>112</v>
      </c>
      <c r="F6" s="7" t="s">
        <v>20</v>
      </c>
      <c r="G6" s="9" t="s">
        <v>113</v>
      </c>
      <c r="H6" s="9" t="s">
        <v>114</v>
      </c>
      <c r="I6" s="9" t="s">
        <v>115</v>
      </c>
      <c r="J6" s="8"/>
      <c r="K6" s="20" t="str">
        <f>"55,0"</f>
        <v>55,0</v>
      </c>
      <c r="L6" s="21" t="str">
        <f>"46,1560"</f>
        <v>46,1560</v>
      </c>
      <c r="M6" s="7" t="s">
        <v>116</v>
      </c>
    </row>
    <row r="8" spans="1:13" ht="15">
      <c r="A8" s="62" t="s">
        <v>14</v>
      </c>
      <c r="B8" s="62"/>
      <c r="C8" s="62"/>
      <c r="D8" s="62"/>
      <c r="E8" s="62"/>
      <c r="F8" s="62"/>
      <c r="G8" s="62"/>
      <c r="H8" s="62"/>
      <c r="I8" s="62"/>
      <c r="J8" s="62"/>
    </row>
    <row r="9" spans="1:13">
      <c r="A9" s="7" t="s">
        <v>118</v>
      </c>
      <c r="B9" s="7" t="s">
        <v>119</v>
      </c>
      <c r="C9" s="7" t="s">
        <v>120</v>
      </c>
      <c r="D9" s="7" t="str">
        <f>"0,7523"</f>
        <v>0,7523</v>
      </c>
      <c r="E9" s="7" t="s">
        <v>112</v>
      </c>
      <c r="F9" s="7" t="s">
        <v>20</v>
      </c>
      <c r="G9" s="9" t="s">
        <v>121</v>
      </c>
      <c r="H9" s="9" t="s">
        <v>122</v>
      </c>
      <c r="I9" s="8" t="s">
        <v>39</v>
      </c>
      <c r="J9" s="8"/>
      <c r="K9" s="20" t="str">
        <f>"100,0"</f>
        <v>100,0</v>
      </c>
      <c r="L9" s="21" t="str">
        <f>"75,2350"</f>
        <v>75,2350</v>
      </c>
      <c r="M9" s="7" t="s">
        <v>24</v>
      </c>
    </row>
    <row r="11" spans="1:13" ht="15">
      <c r="A11" s="62" t="s">
        <v>123</v>
      </c>
      <c r="B11" s="62"/>
      <c r="C11" s="62"/>
      <c r="D11" s="62"/>
      <c r="E11" s="62"/>
      <c r="F11" s="62"/>
      <c r="G11" s="62"/>
      <c r="H11" s="62"/>
      <c r="I11" s="62"/>
      <c r="J11" s="62"/>
    </row>
    <row r="12" spans="1:13">
      <c r="A12" s="7" t="s">
        <v>125</v>
      </c>
      <c r="B12" s="7" t="s">
        <v>126</v>
      </c>
      <c r="C12" s="7" t="s">
        <v>127</v>
      </c>
      <c r="D12" s="7" t="str">
        <f>"0,6181"</f>
        <v>0,6181</v>
      </c>
      <c r="E12" s="7" t="s">
        <v>128</v>
      </c>
      <c r="F12" s="7" t="s">
        <v>129</v>
      </c>
      <c r="G12" s="9" t="s">
        <v>130</v>
      </c>
      <c r="H12" s="9" t="s">
        <v>131</v>
      </c>
      <c r="I12" s="8" t="s">
        <v>132</v>
      </c>
      <c r="J12" s="8"/>
      <c r="K12" s="20" t="str">
        <f>"72,5"</f>
        <v>72,5</v>
      </c>
      <c r="L12" s="21" t="str">
        <f>"47,9082"</f>
        <v>47,9082</v>
      </c>
      <c r="M12" s="7" t="s">
        <v>133</v>
      </c>
    </row>
    <row r="14" spans="1:13" ht="15">
      <c r="A14" s="62" t="s">
        <v>134</v>
      </c>
      <c r="B14" s="62"/>
      <c r="C14" s="62"/>
      <c r="D14" s="62"/>
      <c r="E14" s="62"/>
      <c r="F14" s="62"/>
      <c r="G14" s="62"/>
      <c r="H14" s="62"/>
      <c r="I14" s="62"/>
      <c r="J14" s="62"/>
    </row>
    <row r="15" spans="1:13">
      <c r="A15" s="7" t="s">
        <v>136</v>
      </c>
      <c r="B15" s="7" t="s">
        <v>137</v>
      </c>
      <c r="C15" s="7" t="s">
        <v>138</v>
      </c>
      <c r="D15" s="7" t="str">
        <f>"1,0312"</f>
        <v>1,0312</v>
      </c>
      <c r="E15" s="7" t="s">
        <v>19</v>
      </c>
      <c r="F15" s="7" t="s">
        <v>20</v>
      </c>
      <c r="G15" s="9" t="s">
        <v>139</v>
      </c>
      <c r="H15" s="9" t="s">
        <v>130</v>
      </c>
      <c r="I15" s="9" t="s">
        <v>140</v>
      </c>
      <c r="J15" s="8"/>
      <c r="K15" s="20" t="str">
        <f>"70,0"</f>
        <v>70,0</v>
      </c>
      <c r="L15" s="21" t="str">
        <f>"77,9587"</f>
        <v>77,9587</v>
      </c>
      <c r="M15" s="7" t="s">
        <v>24</v>
      </c>
    </row>
    <row r="17" spans="1:13" ht="15">
      <c r="A17" s="62" t="s">
        <v>107</v>
      </c>
      <c r="B17" s="62"/>
      <c r="C17" s="62"/>
      <c r="D17" s="62"/>
      <c r="E17" s="62"/>
      <c r="F17" s="62"/>
      <c r="G17" s="62"/>
      <c r="H17" s="62"/>
      <c r="I17" s="62"/>
      <c r="J17" s="62"/>
    </row>
    <row r="18" spans="1:13">
      <c r="A18" s="7" t="s">
        <v>142</v>
      </c>
      <c r="B18" s="7" t="s">
        <v>143</v>
      </c>
      <c r="C18" s="7" t="s">
        <v>144</v>
      </c>
      <c r="D18" s="7" t="str">
        <f>"0,8019"</f>
        <v>0,8019</v>
      </c>
      <c r="E18" s="7" t="s">
        <v>145</v>
      </c>
      <c r="F18" s="7" t="s">
        <v>146</v>
      </c>
      <c r="G18" s="8" t="s">
        <v>147</v>
      </c>
      <c r="H18" s="9" t="s">
        <v>148</v>
      </c>
      <c r="I18" s="8" t="s">
        <v>149</v>
      </c>
      <c r="J18" s="8"/>
      <c r="K18" s="20" t="str">
        <f>"87,5"</f>
        <v>87,5</v>
      </c>
      <c r="L18" s="21" t="str">
        <f>"76,6215"</f>
        <v>76,6215</v>
      </c>
      <c r="M18" s="7" t="s">
        <v>24</v>
      </c>
    </row>
    <row r="20" spans="1:13" ht="15">
      <c r="A20" s="62" t="s">
        <v>14</v>
      </c>
      <c r="B20" s="62"/>
      <c r="C20" s="62"/>
      <c r="D20" s="62"/>
      <c r="E20" s="62"/>
      <c r="F20" s="62"/>
      <c r="G20" s="62"/>
      <c r="H20" s="62"/>
      <c r="I20" s="62"/>
      <c r="J20" s="62"/>
    </row>
    <row r="21" spans="1:13">
      <c r="A21" s="12" t="s">
        <v>151</v>
      </c>
      <c r="B21" s="12" t="s">
        <v>152</v>
      </c>
      <c r="C21" s="12" t="s">
        <v>153</v>
      </c>
      <c r="D21" s="12" t="str">
        <f>"0,6701"</f>
        <v>0,6701</v>
      </c>
      <c r="E21" s="12" t="s">
        <v>30</v>
      </c>
      <c r="F21" s="12" t="s">
        <v>20</v>
      </c>
      <c r="G21" s="14" t="s">
        <v>154</v>
      </c>
      <c r="H21" s="14" t="s">
        <v>155</v>
      </c>
      <c r="I21" s="14" t="s">
        <v>156</v>
      </c>
      <c r="J21" s="13"/>
      <c r="K21" s="22" t="str">
        <f>"137,5"</f>
        <v>137,5</v>
      </c>
      <c r="L21" s="23" t="str">
        <f>"92,1387"</f>
        <v>92,1387</v>
      </c>
      <c r="M21" s="12" t="s">
        <v>157</v>
      </c>
    </row>
    <row r="22" spans="1:13">
      <c r="A22" s="15" t="s">
        <v>159</v>
      </c>
      <c r="B22" s="15" t="s">
        <v>160</v>
      </c>
      <c r="C22" s="15" t="s">
        <v>161</v>
      </c>
      <c r="D22" s="15" t="str">
        <f>"0,6741"</f>
        <v>0,6741</v>
      </c>
      <c r="E22" s="15" t="s">
        <v>30</v>
      </c>
      <c r="F22" s="15" t="s">
        <v>20</v>
      </c>
      <c r="G22" s="17" t="s">
        <v>162</v>
      </c>
      <c r="H22" s="17" t="s">
        <v>163</v>
      </c>
      <c r="I22" s="16" t="s">
        <v>156</v>
      </c>
      <c r="J22" s="16"/>
      <c r="K22" s="24" t="str">
        <f>"132,5"</f>
        <v>132,5</v>
      </c>
      <c r="L22" s="25" t="str">
        <f>"89,5862"</f>
        <v>89,5862</v>
      </c>
      <c r="M22" s="15" t="s">
        <v>24</v>
      </c>
    </row>
    <row r="24" spans="1:13" ht="15">
      <c r="A24" s="62" t="s">
        <v>25</v>
      </c>
      <c r="B24" s="62"/>
      <c r="C24" s="62"/>
      <c r="D24" s="62"/>
      <c r="E24" s="62"/>
      <c r="F24" s="62"/>
      <c r="G24" s="62"/>
      <c r="H24" s="62"/>
      <c r="I24" s="62"/>
      <c r="J24" s="62"/>
    </row>
    <row r="25" spans="1:13">
      <c r="A25" s="12" t="s">
        <v>165</v>
      </c>
      <c r="B25" s="12" t="s">
        <v>166</v>
      </c>
      <c r="C25" s="12" t="s">
        <v>167</v>
      </c>
      <c r="D25" s="12" t="str">
        <f>"0,5867"</f>
        <v>0,5867</v>
      </c>
      <c r="E25" s="12" t="s">
        <v>30</v>
      </c>
      <c r="F25" s="12" t="s">
        <v>31</v>
      </c>
      <c r="G25" s="14" t="s">
        <v>168</v>
      </c>
      <c r="H25" s="14" t="s">
        <v>169</v>
      </c>
      <c r="I25" s="13" t="s">
        <v>62</v>
      </c>
      <c r="J25" s="13"/>
      <c r="K25" s="22" t="str">
        <f>"187,5"</f>
        <v>187,5</v>
      </c>
      <c r="L25" s="23" t="str">
        <f>"110,0063"</f>
        <v>110,0063</v>
      </c>
      <c r="M25" s="12" t="s">
        <v>170</v>
      </c>
    </row>
    <row r="26" spans="1:13">
      <c r="A26" s="33" t="s">
        <v>27</v>
      </c>
      <c r="B26" s="33" t="s">
        <v>28</v>
      </c>
      <c r="C26" s="33" t="s">
        <v>29</v>
      </c>
      <c r="D26" s="33" t="str">
        <f>"0,5871"</f>
        <v>0,5871</v>
      </c>
      <c r="E26" s="33" t="s">
        <v>30</v>
      </c>
      <c r="F26" s="33" t="s">
        <v>31</v>
      </c>
      <c r="G26" s="34" t="s">
        <v>171</v>
      </c>
      <c r="H26" s="35" t="s">
        <v>171</v>
      </c>
      <c r="I26" s="34" t="s">
        <v>162</v>
      </c>
      <c r="J26" s="34"/>
      <c r="K26" s="36" t="str">
        <f>"117,5"</f>
        <v>117,5</v>
      </c>
      <c r="L26" s="37" t="str">
        <f>"124,8615"</f>
        <v>124,8615</v>
      </c>
      <c r="M26" s="33" t="s">
        <v>24</v>
      </c>
    </row>
    <row r="27" spans="1:13">
      <c r="A27" s="15" t="s">
        <v>34</v>
      </c>
      <c r="B27" s="15" t="s">
        <v>35</v>
      </c>
      <c r="C27" s="15" t="s">
        <v>36</v>
      </c>
      <c r="D27" s="15" t="str">
        <f>"0,5899"</f>
        <v>0,5899</v>
      </c>
      <c r="E27" s="15" t="s">
        <v>37</v>
      </c>
      <c r="F27" s="15" t="s">
        <v>38</v>
      </c>
      <c r="G27" s="17" t="s">
        <v>39</v>
      </c>
      <c r="H27" s="17" t="s">
        <v>22</v>
      </c>
      <c r="I27" s="17" t="s">
        <v>23</v>
      </c>
      <c r="J27" s="16"/>
      <c r="K27" s="24" t="str">
        <f>"120,0"</f>
        <v>120,0</v>
      </c>
      <c r="L27" s="25" t="str">
        <f>"139,4524"</f>
        <v>139,4524</v>
      </c>
      <c r="M27" s="15" t="s">
        <v>24</v>
      </c>
    </row>
    <row r="29" spans="1:13" ht="15">
      <c r="A29" s="62" t="s">
        <v>40</v>
      </c>
      <c r="B29" s="62"/>
      <c r="C29" s="62"/>
      <c r="D29" s="62"/>
      <c r="E29" s="62"/>
      <c r="F29" s="62"/>
      <c r="G29" s="62"/>
      <c r="H29" s="62"/>
      <c r="I29" s="62"/>
      <c r="J29" s="62"/>
    </row>
    <row r="30" spans="1:13">
      <c r="A30" s="12" t="s">
        <v>42</v>
      </c>
      <c r="B30" s="12" t="s">
        <v>43</v>
      </c>
      <c r="C30" s="12" t="s">
        <v>44</v>
      </c>
      <c r="D30" s="12" t="str">
        <f>"0,5584"</f>
        <v>0,5584</v>
      </c>
      <c r="E30" s="12" t="s">
        <v>45</v>
      </c>
      <c r="F30" s="12" t="s">
        <v>46</v>
      </c>
      <c r="G30" s="14" t="s">
        <v>172</v>
      </c>
      <c r="H30" s="14" t="s">
        <v>48</v>
      </c>
      <c r="I30" s="14" t="s">
        <v>49</v>
      </c>
      <c r="J30" s="13"/>
      <c r="K30" s="22" t="str">
        <f>"172,5"</f>
        <v>172,5</v>
      </c>
      <c r="L30" s="23" t="str">
        <f>"96,3326"</f>
        <v>96,3326</v>
      </c>
      <c r="M30" s="12" t="s">
        <v>50</v>
      </c>
    </row>
    <row r="31" spans="1:13">
      <c r="A31" s="33" t="s">
        <v>174</v>
      </c>
      <c r="B31" s="33" t="s">
        <v>175</v>
      </c>
      <c r="C31" s="33" t="s">
        <v>176</v>
      </c>
      <c r="D31" s="33" t="str">
        <f>"0,5541"</f>
        <v>0,5541</v>
      </c>
      <c r="E31" s="33" t="s">
        <v>128</v>
      </c>
      <c r="F31" s="33" t="s">
        <v>129</v>
      </c>
      <c r="G31" s="35" t="s">
        <v>47</v>
      </c>
      <c r="H31" s="34" t="s">
        <v>48</v>
      </c>
      <c r="I31" s="34" t="s">
        <v>48</v>
      </c>
      <c r="J31" s="34"/>
      <c r="K31" s="36" t="str">
        <f>"150,0"</f>
        <v>150,0</v>
      </c>
      <c r="L31" s="37" t="str">
        <f>"83,1225"</f>
        <v>83,1225</v>
      </c>
      <c r="M31" s="33" t="s">
        <v>133</v>
      </c>
    </row>
    <row r="32" spans="1:13">
      <c r="A32" s="33" t="s">
        <v>178</v>
      </c>
      <c r="B32" s="33" t="s">
        <v>179</v>
      </c>
      <c r="C32" s="33" t="s">
        <v>180</v>
      </c>
      <c r="D32" s="33" t="str">
        <f>"0,5678"</f>
        <v>0,5678</v>
      </c>
      <c r="E32" s="33" t="s">
        <v>181</v>
      </c>
      <c r="F32" s="33" t="s">
        <v>182</v>
      </c>
      <c r="G32" s="35" t="s">
        <v>183</v>
      </c>
      <c r="H32" s="35" t="s">
        <v>49</v>
      </c>
      <c r="I32" s="34" t="s">
        <v>184</v>
      </c>
      <c r="J32" s="34"/>
      <c r="K32" s="36" t="str">
        <f>"172,5"</f>
        <v>172,5</v>
      </c>
      <c r="L32" s="37" t="str">
        <f>"98,2393"</f>
        <v>98,2393</v>
      </c>
      <c r="M32" s="33" t="s">
        <v>185</v>
      </c>
    </row>
    <row r="33" spans="1:13">
      <c r="A33" s="33" t="s">
        <v>187</v>
      </c>
      <c r="B33" s="33" t="s">
        <v>188</v>
      </c>
      <c r="C33" s="33" t="s">
        <v>189</v>
      </c>
      <c r="D33" s="33" t="str">
        <f>"0,5790"</f>
        <v>0,5790</v>
      </c>
      <c r="E33" s="33" t="s">
        <v>190</v>
      </c>
      <c r="F33" s="33" t="s">
        <v>20</v>
      </c>
      <c r="G33" s="35" t="s">
        <v>47</v>
      </c>
      <c r="H33" s="35" t="s">
        <v>191</v>
      </c>
      <c r="I33" s="35" t="s">
        <v>55</v>
      </c>
      <c r="J33" s="34"/>
      <c r="K33" s="36" t="str">
        <f>"160,0"</f>
        <v>160,0</v>
      </c>
      <c r="L33" s="37" t="str">
        <f>"97,0867"</f>
        <v>97,0867</v>
      </c>
      <c r="M33" s="33" t="s">
        <v>24</v>
      </c>
    </row>
    <row r="34" spans="1:13">
      <c r="A34" s="15" t="s">
        <v>52</v>
      </c>
      <c r="B34" s="15" t="s">
        <v>53</v>
      </c>
      <c r="C34" s="15" t="s">
        <v>54</v>
      </c>
      <c r="D34" s="15" t="str">
        <f>"0,5569"</f>
        <v>0,5569</v>
      </c>
      <c r="E34" s="15" t="s">
        <v>30</v>
      </c>
      <c r="F34" s="15" t="s">
        <v>20</v>
      </c>
      <c r="G34" s="16" t="s">
        <v>56</v>
      </c>
      <c r="H34" s="17" t="s">
        <v>56</v>
      </c>
      <c r="I34" s="17" t="s">
        <v>184</v>
      </c>
      <c r="J34" s="16"/>
      <c r="K34" s="24" t="str">
        <f>"180,0"</f>
        <v>180,0</v>
      </c>
      <c r="L34" s="25" t="str">
        <f>"138,3340"</f>
        <v>138,3340</v>
      </c>
      <c r="M34" s="15" t="s">
        <v>24</v>
      </c>
    </row>
    <row r="36" spans="1:13" ht="15">
      <c r="A36" s="62" t="s">
        <v>93</v>
      </c>
      <c r="B36" s="62"/>
      <c r="C36" s="62"/>
      <c r="D36" s="62"/>
      <c r="E36" s="62"/>
      <c r="F36" s="62"/>
      <c r="G36" s="62"/>
      <c r="H36" s="62"/>
      <c r="I36" s="62"/>
      <c r="J36" s="62"/>
    </row>
    <row r="37" spans="1:13">
      <c r="A37" s="7" t="s">
        <v>193</v>
      </c>
      <c r="B37" s="7" t="s">
        <v>194</v>
      </c>
      <c r="C37" s="7" t="s">
        <v>195</v>
      </c>
      <c r="D37" s="7" t="str">
        <f>"0,5372"</f>
        <v>0,5372</v>
      </c>
      <c r="E37" s="7" t="s">
        <v>181</v>
      </c>
      <c r="F37" s="7" t="s">
        <v>182</v>
      </c>
      <c r="G37" s="9" t="s">
        <v>184</v>
      </c>
      <c r="H37" s="8" t="s">
        <v>62</v>
      </c>
      <c r="I37" s="9" t="s">
        <v>196</v>
      </c>
      <c r="J37" s="8"/>
      <c r="K37" s="20" t="str">
        <f>"192,5"</f>
        <v>192,5</v>
      </c>
      <c r="L37" s="21" t="str">
        <f>"103,4110"</f>
        <v>103,4110</v>
      </c>
      <c r="M37" s="7" t="s">
        <v>185</v>
      </c>
    </row>
    <row r="39" spans="1:13" ht="15">
      <c r="A39" s="62" t="s">
        <v>57</v>
      </c>
      <c r="B39" s="62"/>
      <c r="C39" s="62"/>
      <c r="D39" s="62"/>
      <c r="E39" s="62"/>
      <c r="F39" s="62"/>
      <c r="G39" s="62"/>
      <c r="H39" s="62"/>
      <c r="I39" s="62"/>
      <c r="J39" s="62"/>
    </row>
    <row r="40" spans="1:13">
      <c r="A40" s="12" t="s">
        <v>59</v>
      </c>
      <c r="B40" s="12" t="s">
        <v>60</v>
      </c>
      <c r="C40" s="12" t="s">
        <v>61</v>
      </c>
      <c r="D40" s="12" t="str">
        <f>"0,5298"</f>
        <v>0,5298</v>
      </c>
      <c r="E40" s="12" t="s">
        <v>45</v>
      </c>
      <c r="F40" s="12" t="s">
        <v>46</v>
      </c>
      <c r="G40" s="14" t="s">
        <v>197</v>
      </c>
      <c r="H40" s="14" t="s">
        <v>198</v>
      </c>
      <c r="I40" s="13" t="s">
        <v>199</v>
      </c>
      <c r="J40" s="13"/>
      <c r="K40" s="22" t="str">
        <f>"220,0"</f>
        <v>220,0</v>
      </c>
      <c r="L40" s="23" t="str">
        <f>"116,5560"</f>
        <v>116,5560</v>
      </c>
      <c r="M40" s="12" t="s">
        <v>24</v>
      </c>
    </row>
    <row r="41" spans="1:13">
      <c r="A41" s="33" t="s">
        <v>201</v>
      </c>
      <c r="B41" s="33" t="s">
        <v>202</v>
      </c>
      <c r="C41" s="33" t="s">
        <v>203</v>
      </c>
      <c r="D41" s="33" t="str">
        <f>"0,5267"</f>
        <v>0,5267</v>
      </c>
      <c r="E41" s="33" t="s">
        <v>30</v>
      </c>
      <c r="F41" s="33" t="s">
        <v>20</v>
      </c>
      <c r="G41" s="35" t="s">
        <v>204</v>
      </c>
      <c r="H41" s="35" t="s">
        <v>100</v>
      </c>
      <c r="I41" s="35" t="s">
        <v>197</v>
      </c>
      <c r="J41" s="34"/>
      <c r="K41" s="36" t="str">
        <f>"210,0"</f>
        <v>210,0</v>
      </c>
      <c r="L41" s="37" t="str">
        <f>"110,6070"</f>
        <v>110,6070</v>
      </c>
      <c r="M41" s="33" t="s">
        <v>24</v>
      </c>
    </row>
    <row r="42" spans="1:13">
      <c r="A42" s="15" t="s">
        <v>206</v>
      </c>
      <c r="B42" s="15" t="s">
        <v>207</v>
      </c>
      <c r="C42" s="15" t="s">
        <v>208</v>
      </c>
      <c r="D42" s="15" t="str">
        <f>"0,5224"</f>
        <v>0,5224</v>
      </c>
      <c r="E42" s="15" t="s">
        <v>112</v>
      </c>
      <c r="F42" s="15" t="s">
        <v>20</v>
      </c>
      <c r="G42" s="17" t="s">
        <v>183</v>
      </c>
      <c r="H42" s="17" t="s">
        <v>209</v>
      </c>
      <c r="I42" s="17" t="s">
        <v>184</v>
      </c>
      <c r="J42" s="16"/>
      <c r="K42" s="24" t="str">
        <f>"180,0"</f>
        <v>180,0</v>
      </c>
      <c r="L42" s="25" t="str">
        <f>"96,9470"</f>
        <v>96,9470</v>
      </c>
      <c r="M42" s="15" t="s">
        <v>210</v>
      </c>
    </row>
    <row r="44" spans="1:13" ht="15">
      <c r="E44" s="18" t="s">
        <v>63</v>
      </c>
      <c r="F44" s="40" t="s">
        <v>693</v>
      </c>
    </row>
    <row r="45" spans="1:13" ht="15">
      <c r="E45" s="18" t="s">
        <v>64</v>
      </c>
      <c r="F45" s="40" t="s">
        <v>694</v>
      </c>
    </row>
    <row r="46" spans="1:13" ht="15">
      <c r="E46" s="18" t="s">
        <v>65</v>
      </c>
      <c r="F46" s="40" t="s">
        <v>695</v>
      </c>
    </row>
    <row r="47" spans="1:13" ht="15">
      <c r="E47" s="18" t="s">
        <v>66</v>
      </c>
      <c r="F47" s="40" t="s">
        <v>696</v>
      </c>
    </row>
    <row r="48" spans="1:13" ht="15">
      <c r="E48" s="18" t="s">
        <v>66</v>
      </c>
      <c r="F48" s="40" t="s">
        <v>697</v>
      </c>
    </row>
    <row r="49" spans="1:5" ht="15">
      <c r="E49" s="18"/>
    </row>
    <row r="50" spans="1:5" ht="15">
      <c r="E50" s="18"/>
    </row>
    <row r="52" spans="1:5" ht="18">
      <c r="A52" s="26" t="s">
        <v>67</v>
      </c>
      <c r="B52" s="26"/>
    </row>
    <row r="53" spans="1:5" ht="15">
      <c r="A53" s="27" t="s">
        <v>211</v>
      </c>
      <c r="B53" s="27"/>
    </row>
    <row r="54" spans="1:5" ht="14.25">
      <c r="A54" s="29"/>
      <c r="B54" s="30" t="s">
        <v>69</v>
      </c>
    </row>
    <row r="55" spans="1:5" ht="15">
      <c r="A55" s="31" t="s">
        <v>70</v>
      </c>
      <c r="B55" s="31" t="s">
        <v>71</v>
      </c>
      <c r="C55" s="31" t="s">
        <v>72</v>
      </c>
      <c r="D55" s="31" t="s">
        <v>74</v>
      </c>
      <c r="E55" s="31" t="s">
        <v>75</v>
      </c>
    </row>
    <row r="56" spans="1:5">
      <c r="A56" s="28" t="s">
        <v>117</v>
      </c>
      <c r="B56" s="4" t="s">
        <v>69</v>
      </c>
      <c r="C56" s="4" t="s">
        <v>89</v>
      </c>
      <c r="D56" s="4" t="s">
        <v>122</v>
      </c>
      <c r="E56" s="19" t="s">
        <v>212</v>
      </c>
    </row>
    <row r="57" spans="1:5">
      <c r="A57" s="28" t="s">
        <v>108</v>
      </c>
      <c r="B57" s="4" t="s">
        <v>69</v>
      </c>
      <c r="C57" s="4" t="s">
        <v>213</v>
      </c>
      <c r="D57" s="4" t="s">
        <v>115</v>
      </c>
      <c r="E57" s="19" t="s">
        <v>214</v>
      </c>
    </row>
    <row r="59" spans="1:5" ht="14.25">
      <c r="A59" s="29"/>
      <c r="B59" s="30" t="s">
        <v>80</v>
      </c>
    </row>
    <row r="60" spans="1:5" ht="15">
      <c r="A60" s="31" t="s">
        <v>70</v>
      </c>
      <c r="B60" s="31" t="s">
        <v>71</v>
      </c>
      <c r="C60" s="31" t="s">
        <v>72</v>
      </c>
      <c r="D60" s="31" t="s">
        <v>74</v>
      </c>
      <c r="E60" s="31" t="s">
        <v>75</v>
      </c>
    </row>
    <row r="61" spans="1:5">
      <c r="A61" s="28" t="s">
        <v>124</v>
      </c>
      <c r="B61" s="4" t="s">
        <v>215</v>
      </c>
      <c r="C61" s="4" t="s">
        <v>216</v>
      </c>
      <c r="D61" s="4" t="s">
        <v>131</v>
      </c>
      <c r="E61" s="19" t="s">
        <v>217</v>
      </c>
    </row>
    <row r="64" spans="1:5" ht="15">
      <c r="A64" s="27" t="s">
        <v>68</v>
      </c>
      <c r="B64" s="27"/>
    </row>
    <row r="65" spans="1:5" ht="14.25">
      <c r="A65" s="29"/>
      <c r="B65" s="30" t="s">
        <v>218</v>
      </c>
    </row>
    <row r="66" spans="1:5" ht="15">
      <c r="A66" s="31" t="s">
        <v>70</v>
      </c>
      <c r="B66" s="31" t="s">
        <v>71</v>
      </c>
      <c r="C66" s="31" t="s">
        <v>72</v>
      </c>
      <c r="D66" s="31" t="s">
        <v>74</v>
      </c>
      <c r="E66" s="31" t="s">
        <v>75</v>
      </c>
    </row>
    <row r="67" spans="1:5">
      <c r="A67" s="28" t="s">
        <v>135</v>
      </c>
      <c r="B67" s="4" t="s">
        <v>219</v>
      </c>
      <c r="C67" s="4" t="s">
        <v>220</v>
      </c>
      <c r="D67" s="4" t="s">
        <v>140</v>
      </c>
      <c r="E67" s="19" t="s">
        <v>221</v>
      </c>
    </row>
    <row r="69" spans="1:5" ht="14.25">
      <c r="A69" s="29"/>
      <c r="B69" s="30" t="s">
        <v>69</v>
      </c>
    </row>
    <row r="70" spans="1:5" ht="15">
      <c r="A70" s="31" t="s">
        <v>70</v>
      </c>
      <c r="B70" s="31" t="s">
        <v>71</v>
      </c>
      <c r="C70" s="31" t="s">
        <v>72</v>
      </c>
      <c r="D70" s="31" t="s">
        <v>74</v>
      </c>
      <c r="E70" s="31" t="s">
        <v>75</v>
      </c>
    </row>
    <row r="71" spans="1:5">
      <c r="A71" s="28" t="s">
        <v>58</v>
      </c>
      <c r="B71" s="4" t="s">
        <v>69</v>
      </c>
      <c r="C71" s="4" t="s">
        <v>76</v>
      </c>
      <c r="D71" s="4" t="s">
        <v>198</v>
      </c>
      <c r="E71" s="19" t="s">
        <v>222</v>
      </c>
    </row>
    <row r="72" spans="1:5">
      <c r="A72" s="28" t="s">
        <v>164</v>
      </c>
      <c r="B72" s="4" t="s">
        <v>69</v>
      </c>
      <c r="C72" s="4" t="s">
        <v>82</v>
      </c>
      <c r="D72" s="4" t="s">
        <v>169</v>
      </c>
      <c r="E72" s="19" t="s">
        <v>223</v>
      </c>
    </row>
    <row r="73" spans="1:5">
      <c r="A73" s="28" t="s">
        <v>192</v>
      </c>
      <c r="B73" s="4" t="s">
        <v>69</v>
      </c>
      <c r="C73" s="4" t="s">
        <v>103</v>
      </c>
      <c r="D73" s="4" t="s">
        <v>196</v>
      </c>
      <c r="E73" s="19" t="s">
        <v>224</v>
      </c>
    </row>
    <row r="74" spans="1:5">
      <c r="A74" s="28" t="s">
        <v>41</v>
      </c>
      <c r="B74" s="4" t="s">
        <v>69</v>
      </c>
      <c r="C74" s="4" t="s">
        <v>78</v>
      </c>
      <c r="D74" s="4" t="s">
        <v>49</v>
      </c>
      <c r="E74" s="19" t="s">
        <v>225</v>
      </c>
    </row>
    <row r="75" spans="1:5">
      <c r="A75" s="28" t="s">
        <v>150</v>
      </c>
      <c r="B75" s="4" t="s">
        <v>69</v>
      </c>
      <c r="C75" s="4" t="s">
        <v>89</v>
      </c>
      <c r="D75" s="4" t="s">
        <v>156</v>
      </c>
      <c r="E75" s="19" t="s">
        <v>226</v>
      </c>
    </row>
    <row r="76" spans="1:5">
      <c r="A76" s="28" t="s">
        <v>173</v>
      </c>
      <c r="B76" s="4" t="s">
        <v>69</v>
      </c>
      <c r="C76" s="4" t="s">
        <v>78</v>
      </c>
      <c r="D76" s="4" t="s">
        <v>47</v>
      </c>
      <c r="E76" s="19" t="s">
        <v>227</v>
      </c>
    </row>
    <row r="78" spans="1:5" ht="14.25">
      <c r="A78" s="29"/>
      <c r="B78" s="30" t="s">
        <v>80</v>
      </c>
    </row>
    <row r="79" spans="1:5" ht="15">
      <c r="A79" s="31" t="s">
        <v>70</v>
      </c>
      <c r="B79" s="31" t="s">
        <v>71</v>
      </c>
      <c r="C79" s="31" t="s">
        <v>72</v>
      </c>
      <c r="D79" s="31" t="s">
        <v>74</v>
      </c>
      <c r="E79" s="31" t="s">
        <v>75</v>
      </c>
    </row>
    <row r="80" spans="1:5">
      <c r="A80" s="28" t="s">
        <v>33</v>
      </c>
      <c r="B80" s="4" t="s">
        <v>81</v>
      </c>
      <c r="C80" s="4" t="s">
        <v>82</v>
      </c>
      <c r="D80" s="4" t="s">
        <v>23</v>
      </c>
      <c r="E80" s="19" t="s">
        <v>83</v>
      </c>
    </row>
    <row r="81" spans="1:5">
      <c r="A81" s="28" t="s">
        <v>51</v>
      </c>
      <c r="B81" s="4" t="s">
        <v>84</v>
      </c>
      <c r="C81" s="4" t="s">
        <v>78</v>
      </c>
      <c r="D81" s="4" t="s">
        <v>184</v>
      </c>
      <c r="E81" s="19" t="s">
        <v>228</v>
      </c>
    </row>
    <row r="82" spans="1:5">
      <c r="A82" s="28" t="s">
        <v>26</v>
      </c>
      <c r="B82" s="4" t="s">
        <v>86</v>
      </c>
      <c r="C82" s="4" t="s">
        <v>82</v>
      </c>
      <c r="D82" s="4" t="s">
        <v>171</v>
      </c>
      <c r="E82" s="19" t="s">
        <v>229</v>
      </c>
    </row>
    <row r="83" spans="1:5">
      <c r="A83" s="28" t="s">
        <v>200</v>
      </c>
      <c r="B83" s="4" t="s">
        <v>105</v>
      </c>
      <c r="C83" s="4" t="s">
        <v>76</v>
      </c>
      <c r="D83" s="4" t="s">
        <v>197</v>
      </c>
      <c r="E83" s="19" t="s">
        <v>230</v>
      </c>
    </row>
    <row r="84" spans="1:5">
      <c r="A84" s="28" t="s">
        <v>177</v>
      </c>
      <c r="B84" s="4" t="s">
        <v>105</v>
      </c>
      <c r="C84" s="4" t="s">
        <v>78</v>
      </c>
      <c r="D84" s="4" t="s">
        <v>49</v>
      </c>
      <c r="E84" s="19" t="s">
        <v>231</v>
      </c>
    </row>
    <row r="85" spans="1:5">
      <c r="A85" s="28" t="s">
        <v>186</v>
      </c>
      <c r="B85" s="4" t="s">
        <v>215</v>
      </c>
      <c r="C85" s="4" t="s">
        <v>78</v>
      </c>
      <c r="D85" s="4" t="s">
        <v>55</v>
      </c>
      <c r="E85" s="19" t="s">
        <v>232</v>
      </c>
    </row>
    <row r="86" spans="1:5">
      <c r="A86" s="28" t="s">
        <v>205</v>
      </c>
      <c r="B86" s="4" t="s">
        <v>105</v>
      </c>
      <c r="C86" s="4" t="s">
        <v>76</v>
      </c>
      <c r="D86" s="4" t="s">
        <v>184</v>
      </c>
      <c r="E86" s="19" t="s">
        <v>233</v>
      </c>
    </row>
    <row r="87" spans="1:5">
      <c r="A87" s="28" t="s">
        <v>158</v>
      </c>
      <c r="B87" s="4" t="s">
        <v>105</v>
      </c>
      <c r="C87" s="4" t="s">
        <v>89</v>
      </c>
      <c r="D87" s="4" t="s">
        <v>163</v>
      </c>
      <c r="E87" s="19" t="s">
        <v>234</v>
      </c>
    </row>
    <row r="88" spans="1:5">
      <c r="A88" s="28" t="s">
        <v>141</v>
      </c>
      <c r="B88" s="4" t="s">
        <v>215</v>
      </c>
      <c r="C88" s="4" t="s">
        <v>213</v>
      </c>
      <c r="D88" s="4" t="s">
        <v>148</v>
      </c>
      <c r="E88" s="19" t="s">
        <v>235</v>
      </c>
    </row>
  </sheetData>
  <mergeCells count="21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  <mergeCell ref="A29:J29"/>
    <mergeCell ref="A36:J36"/>
    <mergeCell ref="A39:J39"/>
    <mergeCell ref="A8:J8"/>
    <mergeCell ref="A11:J11"/>
    <mergeCell ref="A14:J14"/>
    <mergeCell ref="A17:J17"/>
    <mergeCell ref="A20:J20"/>
    <mergeCell ref="A24:J2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M25"/>
  <sheetViews>
    <sheetView workbookViewId="0">
      <selection activeCell="E14" sqref="E14"/>
    </sheetView>
  </sheetViews>
  <sheetFormatPr defaultRowHeight="12.75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19.7109375" style="4" customWidth="1"/>
    <col min="7" max="9" width="5.5703125" style="3" customWidth="1"/>
    <col min="10" max="10" width="4.85546875" style="3" customWidth="1"/>
    <col min="11" max="11" width="7.85546875" style="19" bestFit="1" customWidth="1"/>
    <col min="12" max="12" width="8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53" t="s">
        <v>92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.1" customHeight="1" thickBot="1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>
      <c r="A3" s="59" t="s">
        <v>0</v>
      </c>
      <c r="B3" s="61" t="s">
        <v>6</v>
      </c>
      <c r="C3" s="61" t="s">
        <v>10</v>
      </c>
      <c r="D3" s="47" t="s">
        <v>12</v>
      </c>
      <c r="E3" s="47" t="s">
        <v>4</v>
      </c>
      <c r="F3" s="47" t="s">
        <v>7</v>
      </c>
      <c r="G3" s="47" t="s">
        <v>13</v>
      </c>
      <c r="H3" s="47"/>
      <c r="I3" s="47"/>
      <c r="J3" s="47"/>
      <c r="K3" s="47" t="s">
        <v>91</v>
      </c>
      <c r="L3" s="47" t="s">
        <v>3</v>
      </c>
      <c r="M3" s="49" t="s">
        <v>2</v>
      </c>
    </row>
    <row r="4" spans="1:13" s="1" customFormat="1" ht="21" customHeight="1" thickBot="1">
      <c r="A4" s="60"/>
      <c r="B4" s="48"/>
      <c r="C4" s="48"/>
      <c r="D4" s="48"/>
      <c r="E4" s="48"/>
      <c r="F4" s="48"/>
      <c r="G4" s="6">
        <v>1</v>
      </c>
      <c r="H4" s="6">
        <v>2</v>
      </c>
      <c r="I4" s="6">
        <v>3</v>
      </c>
      <c r="J4" s="6" t="s">
        <v>5</v>
      </c>
      <c r="K4" s="48"/>
      <c r="L4" s="48"/>
      <c r="M4" s="50"/>
    </row>
    <row r="5" spans="1:13" ht="15">
      <c r="A5" s="51" t="s">
        <v>93</v>
      </c>
      <c r="B5" s="52"/>
      <c r="C5" s="52"/>
      <c r="D5" s="52"/>
      <c r="E5" s="52"/>
      <c r="F5" s="52"/>
      <c r="G5" s="52"/>
      <c r="H5" s="52"/>
      <c r="I5" s="52"/>
      <c r="J5" s="52"/>
    </row>
    <row r="6" spans="1:13">
      <c r="A6" s="12" t="s">
        <v>95</v>
      </c>
      <c r="B6" s="12" t="s">
        <v>96</v>
      </c>
      <c r="C6" s="12" t="s">
        <v>97</v>
      </c>
      <c r="D6" s="12" t="str">
        <f>"0,5373"</f>
        <v>0,5373</v>
      </c>
      <c r="E6" s="12" t="s">
        <v>98</v>
      </c>
      <c r="F6" s="12" t="s">
        <v>20</v>
      </c>
      <c r="G6" s="14" t="s">
        <v>99</v>
      </c>
      <c r="H6" s="14" t="s">
        <v>100</v>
      </c>
      <c r="I6" s="13" t="s">
        <v>101</v>
      </c>
      <c r="J6" s="13"/>
      <c r="K6" s="22" t="str">
        <f>"207,5"</f>
        <v>207,5</v>
      </c>
      <c r="L6" s="23" t="str">
        <f>"111,4897"</f>
        <v>111,4897</v>
      </c>
      <c r="M6" s="12" t="s">
        <v>24</v>
      </c>
    </row>
    <row r="7" spans="1:13">
      <c r="A7" s="15" t="s">
        <v>95</v>
      </c>
      <c r="B7" s="15" t="s">
        <v>102</v>
      </c>
      <c r="C7" s="15" t="s">
        <v>97</v>
      </c>
      <c r="D7" s="15" t="str">
        <f>"0,5373"</f>
        <v>0,5373</v>
      </c>
      <c r="E7" s="15" t="s">
        <v>98</v>
      </c>
      <c r="F7" s="15" t="s">
        <v>20</v>
      </c>
      <c r="G7" s="17" t="s">
        <v>99</v>
      </c>
      <c r="H7" s="17" t="s">
        <v>100</v>
      </c>
      <c r="I7" s="16" t="s">
        <v>101</v>
      </c>
      <c r="J7" s="16"/>
      <c r="K7" s="24" t="str">
        <f>"207,5"</f>
        <v>207,5</v>
      </c>
      <c r="L7" s="25" t="str">
        <f>"111,4897"</f>
        <v>111,4897</v>
      </c>
      <c r="M7" s="15" t="s">
        <v>24</v>
      </c>
    </row>
    <row r="9" spans="1:13" ht="15">
      <c r="E9" s="18" t="s">
        <v>63</v>
      </c>
      <c r="F9" s="40" t="s">
        <v>693</v>
      </c>
    </row>
    <row r="10" spans="1:13" ht="15">
      <c r="E10" s="18" t="s">
        <v>64</v>
      </c>
      <c r="F10" s="40" t="s">
        <v>694</v>
      </c>
    </row>
    <row r="11" spans="1:13" ht="15">
      <c r="E11" s="18" t="s">
        <v>65</v>
      </c>
      <c r="F11" s="40" t="s">
        <v>695</v>
      </c>
    </row>
    <row r="12" spans="1:13" ht="15">
      <c r="E12" s="18" t="s">
        <v>66</v>
      </c>
      <c r="F12" s="40" t="s">
        <v>696</v>
      </c>
    </row>
    <row r="13" spans="1:13" ht="15">
      <c r="E13" s="18" t="s">
        <v>66</v>
      </c>
      <c r="F13" s="40" t="s">
        <v>697</v>
      </c>
    </row>
    <row r="14" spans="1:13" ht="15">
      <c r="E14" s="18"/>
    </row>
    <row r="15" spans="1:13" ht="15">
      <c r="E15" s="18"/>
    </row>
    <row r="17" spans="1:5" ht="18">
      <c r="A17" s="26" t="s">
        <v>67</v>
      </c>
      <c r="B17" s="26"/>
    </row>
    <row r="18" spans="1:5" ht="15">
      <c r="A18" s="27" t="s">
        <v>68</v>
      </c>
      <c r="B18" s="27"/>
    </row>
    <row r="19" spans="1:5" ht="14.25">
      <c r="A19" s="29"/>
      <c r="B19" s="30" t="s">
        <v>69</v>
      </c>
    </row>
    <row r="20" spans="1:5" ht="15">
      <c r="A20" s="31" t="s">
        <v>70</v>
      </c>
      <c r="B20" s="31" t="s">
        <v>71</v>
      </c>
      <c r="C20" s="31" t="s">
        <v>72</v>
      </c>
      <c r="D20" s="31" t="s">
        <v>74</v>
      </c>
      <c r="E20" s="31" t="s">
        <v>75</v>
      </c>
    </row>
    <row r="21" spans="1:5">
      <c r="A21" s="28" t="s">
        <v>94</v>
      </c>
      <c r="B21" s="4" t="s">
        <v>69</v>
      </c>
      <c r="C21" s="4" t="s">
        <v>103</v>
      </c>
      <c r="D21" s="4" t="s">
        <v>100</v>
      </c>
      <c r="E21" s="19" t="s">
        <v>104</v>
      </c>
    </row>
    <row r="23" spans="1:5" ht="14.25">
      <c r="A23" s="29"/>
      <c r="B23" s="30" t="s">
        <v>80</v>
      </c>
    </row>
    <row r="24" spans="1:5" ht="15">
      <c r="A24" s="31" t="s">
        <v>70</v>
      </c>
      <c r="B24" s="31" t="s">
        <v>71</v>
      </c>
      <c r="C24" s="31" t="s">
        <v>72</v>
      </c>
      <c r="D24" s="31" t="s">
        <v>74</v>
      </c>
      <c r="E24" s="31" t="s">
        <v>75</v>
      </c>
    </row>
    <row r="25" spans="1:5">
      <c r="A25" s="28" t="s">
        <v>94</v>
      </c>
      <c r="B25" s="4" t="s">
        <v>105</v>
      </c>
      <c r="C25" s="4" t="s">
        <v>103</v>
      </c>
      <c r="D25" s="4" t="s">
        <v>100</v>
      </c>
      <c r="E25" s="19" t="s">
        <v>104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42"/>
  <sheetViews>
    <sheetView workbookViewId="0">
      <selection activeCell="E23" sqref="E23"/>
    </sheetView>
  </sheetViews>
  <sheetFormatPr defaultRowHeight="12.75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9.85546875" style="4" bestFit="1" customWidth="1"/>
    <col min="7" max="10" width="5.5703125" style="3" customWidth="1"/>
    <col min="11" max="11" width="7.85546875" style="19" bestFit="1" customWidth="1"/>
    <col min="12" max="12" width="7.5703125" style="2" bestFit="1" customWidth="1"/>
    <col min="13" max="13" width="21" style="4" bestFit="1" customWidth="1"/>
    <col min="14" max="16384" width="9.140625" style="3"/>
  </cols>
  <sheetData>
    <row r="1" spans="1:13" s="2" customFormat="1" ht="29.1" customHeight="1">
      <c r="A1" s="53" t="s">
        <v>652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.1" customHeight="1" thickBot="1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>
      <c r="A3" s="59" t="s">
        <v>0</v>
      </c>
      <c r="B3" s="61" t="s">
        <v>6</v>
      </c>
      <c r="C3" s="61" t="s">
        <v>10</v>
      </c>
      <c r="D3" s="47" t="s">
        <v>602</v>
      </c>
      <c r="E3" s="47" t="s">
        <v>4</v>
      </c>
      <c r="F3" s="47" t="s">
        <v>7</v>
      </c>
      <c r="G3" s="47" t="s">
        <v>603</v>
      </c>
      <c r="H3" s="47"/>
      <c r="I3" s="47"/>
      <c r="J3" s="47"/>
      <c r="K3" s="47" t="s">
        <v>91</v>
      </c>
      <c r="L3" s="47" t="s">
        <v>3</v>
      </c>
      <c r="M3" s="49" t="s">
        <v>2</v>
      </c>
    </row>
    <row r="4" spans="1:13" s="1" customFormat="1" ht="21" customHeight="1" thickBot="1">
      <c r="A4" s="60"/>
      <c r="B4" s="48"/>
      <c r="C4" s="48"/>
      <c r="D4" s="48"/>
      <c r="E4" s="48"/>
      <c r="F4" s="48"/>
      <c r="G4" s="6">
        <v>1</v>
      </c>
      <c r="H4" s="6">
        <v>2</v>
      </c>
      <c r="I4" s="6">
        <v>3</v>
      </c>
      <c r="J4" s="6" t="s">
        <v>5</v>
      </c>
      <c r="K4" s="48"/>
      <c r="L4" s="48"/>
      <c r="M4" s="50"/>
    </row>
    <row r="5" spans="1:13" ht="15">
      <c r="A5" s="51" t="s">
        <v>25</v>
      </c>
      <c r="B5" s="52"/>
      <c r="C5" s="52"/>
      <c r="D5" s="52"/>
      <c r="E5" s="52"/>
      <c r="F5" s="52"/>
      <c r="G5" s="52"/>
      <c r="H5" s="52"/>
      <c r="I5" s="52"/>
      <c r="J5" s="52"/>
    </row>
    <row r="6" spans="1:13">
      <c r="A6" s="12" t="s">
        <v>653</v>
      </c>
      <c r="B6" s="12" t="s">
        <v>501</v>
      </c>
      <c r="C6" s="12" t="s">
        <v>29</v>
      </c>
      <c r="D6" s="12" t="str">
        <f>"0,6136"</f>
        <v>0,6136</v>
      </c>
      <c r="E6" s="12" t="s">
        <v>30</v>
      </c>
      <c r="F6" s="12" t="s">
        <v>20</v>
      </c>
      <c r="G6" s="14" t="s">
        <v>377</v>
      </c>
      <c r="H6" s="14" t="s">
        <v>147</v>
      </c>
      <c r="I6" s="14" t="s">
        <v>121</v>
      </c>
      <c r="J6" s="14" t="s">
        <v>39</v>
      </c>
      <c r="K6" s="22" t="str">
        <f>"105,0"</f>
        <v>105,0</v>
      </c>
      <c r="L6" s="23" t="str">
        <f>"64,4228"</f>
        <v>64,4228</v>
      </c>
      <c r="M6" s="12" t="s">
        <v>24</v>
      </c>
    </row>
    <row r="7" spans="1:13">
      <c r="A7" s="15" t="s">
        <v>654</v>
      </c>
      <c r="B7" s="15" t="s">
        <v>626</v>
      </c>
      <c r="C7" s="15" t="s">
        <v>627</v>
      </c>
      <c r="D7" s="15" t="str">
        <f>"0,6487"</f>
        <v>0,6487</v>
      </c>
      <c r="E7" s="15" t="s">
        <v>112</v>
      </c>
      <c r="F7" s="15" t="s">
        <v>20</v>
      </c>
      <c r="G7" s="17" t="s">
        <v>486</v>
      </c>
      <c r="H7" s="17" t="s">
        <v>541</v>
      </c>
      <c r="I7" s="17" t="s">
        <v>140</v>
      </c>
      <c r="J7" s="17" t="s">
        <v>377</v>
      </c>
      <c r="K7" s="24" t="str">
        <f>"75,0"</f>
        <v>75,0</v>
      </c>
      <c r="L7" s="25" t="str">
        <f>"48,6525"</f>
        <v>48,6525</v>
      </c>
      <c r="M7" s="15" t="s">
        <v>264</v>
      </c>
    </row>
    <row r="9" spans="1:13" ht="15">
      <c r="A9" s="62" t="s">
        <v>40</v>
      </c>
      <c r="B9" s="62"/>
      <c r="C9" s="62"/>
      <c r="D9" s="62"/>
      <c r="E9" s="62"/>
      <c r="F9" s="62"/>
      <c r="G9" s="62"/>
      <c r="H9" s="62"/>
      <c r="I9" s="62"/>
      <c r="J9" s="62"/>
    </row>
    <row r="10" spans="1:13">
      <c r="A10" s="12" t="s">
        <v>656</v>
      </c>
      <c r="B10" s="12" t="s">
        <v>657</v>
      </c>
      <c r="C10" s="12" t="s">
        <v>658</v>
      </c>
      <c r="D10" s="12" t="str">
        <f>"0,5952"</f>
        <v>0,5952</v>
      </c>
      <c r="E10" s="12" t="s">
        <v>45</v>
      </c>
      <c r="F10" s="12" t="s">
        <v>46</v>
      </c>
      <c r="G10" s="14" t="s">
        <v>140</v>
      </c>
      <c r="H10" s="14" t="s">
        <v>249</v>
      </c>
      <c r="I10" s="14" t="s">
        <v>149</v>
      </c>
      <c r="J10" s="13" t="s">
        <v>122</v>
      </c>
      <c r="K10" s="22" t="str">
        <f>"92,5"</f>
        <v>92,5</v>
      </c>
      <c r="L10" s="23" t="str">
        <f>"55,0560"</f>
        <v>55,0560</v>
      </c>
      <c r="M10" s="12" t="s">
        <v>50</v>
      </c>
    </row>
    <row r="11" spans="1:13">
      <c r="A11" s="33" t="s">
        <v>660</v>
      </c>
      <c r="B11" s="33" t="s">
        <v>661</v>
      </c>
      <c r="C11" s="33" t="s">
        <v>662</v>
      </c>
      <c r="D11" s="33" t="str">
        <f>"0,5837"</f>
        <v>0,5837</v>
      </c>
      <c r="E11" s="33" t="s">
        <v>98</v>
      </c>
      <c r="F11" s="33" t="s">
        <v>20</v>
      </c>
      <c r="G11" s="35" t="s">
        <v>21</v>
      </c>
      <c r="H11" s="35" t="s">
        <v>23</v>
      </c>
      <c r="I11" s="35" t="s">
        <v>162</v>
      </c>
      <c r="J11" s="35" t="s">
        <v>154</v>
      </c>
      <c r="K11" s="36" t="str">
        <f>"130,0"</f>
        <v>130,0</v>
      </c>
      <c r="L11" s="37" t="str">
        <f>"75,8778"</f>
        <v>75,8778</v>
      </c>
      <c r="M11" s="33" t="s">
        <v>24</v>
      </c>
    </row>
    <row r="12" spans="1:13">
      <c r="A12" s="15" t="s">
        <v>660</v>
      </c>
      <c r="B12" s="15" t="s">
        <v>663</v>
      </c>
      <c r="C12" s="15" t="s">
        <v>662</v>
      </c>
      <c r="D12" s="15" t="str">
        <f>"0,5837"</f>
        <v>0,5837</v>
      </c>
      <c r="E12" s="15" t="s">
        <v>98</v>
      </c>
      <c r="F12" s="15" t="s">
        <v>20</v>
      </c>
      <c r="G12" s="17" t="s">
        <v>21</v>
      </c>
      <c r="H12" s="17" t="s">
        <v>23</v>
      </c>
      <c r="I12" s="17" t="s">
        <v>162</v>
      </c>
      <c r="J12" s="17" t="s">
        <v>154</v>
      </c>
      <c r="K12" s="24" t="str">
        <f>"130,0"</f>
        <v>130,0</v>
      </c>
      <c r="L12" s="25" t="str">
        <f>"77,3953"</f>
        <v>77,3953</v>
      </c>
      <c r="M12" s="15" t="s">
        <v>24</v>
      </c>
    </row>
    <row r="14" spans="1:13" ht="15">
      <c r="A14" s="62" t="s">
        <v>57</v>
      </c>
      <c r="B14" s="62"/>
      <c r="C14" s="62"/>
      <c r="D14" s="62"/>
      <c r="E14" s="62"/>
      <c r="F14" s="62"/>
      <c r="G14" s="62"/>
      <c r="H14" s="62"/>
      <c r="I14" s="62"/>
      <c r="J14" s="62"/>
    </row>
    <row r="15" spans="1:13">
      <c r="A15" s="12" t="s">
        <v>358</v>
      </c>
      <c r="B15" s="12" t="s">
        <v>359</v>
      </c>
      <c r="C15" s="12" t="s">
        <v>360</v>
      </c>
      <c r="D15" s="12" t="str">
        <f>"0,5616"</f>
        <v>0,5616</v>
      </c>
      <c r="E15" s="12" t="s">
        <v>112</v>
      </c>
      <c r="F15" s="12" t="s">
        <v>20</v>
      </c>
      <c r="G15" s="14" t="s">
        <v>140</v>
      </c>
      <c r="H15" s="14" t="s">
        <v>249</v>
      </c>
      <c r="I15" s="13" t="s">
        <v>493</v>
      </c>
      <c r="J15" s="13"/>
      <c r="K15" s="22" t="str">
        <f>"80,0"</f>
        <v>80,0</v>
      </c>
      <c r="L15" s="23" t="str">
        <f>"44,9320"</f>
        <v>44,9320</v>
      </c>
      <c r="M15" s="12" t="s">
        <v>24</v>
      </c>
    </row>
    <row r="16" spans="1:13">
      <c r="A16" s="15" t="s">
        <v>664</v>
      </c>
      <c r="B16" s="15" t="s">
        <v>60</v>
      </c>
      <c r="C16" s="15" t="s">
        <v>61</v>
      </c>
      <c r="D16" s="15" t="str">
        <f>"0,5543"</f>
        <v>0,5543</v>
      </c>
      <c r="E16" s="15" t="s">
        <v>45</v>
      </c>
      <c r="F16" s="15" t="s">
        <v>46</v>
      </c>
      <c r="G16" s="17" t="s">
        <v>113</v>
      </c>
      <c r="H16" s="17" t="s">
        <v>486</v>
      </c>
      <c r="I16" s="17" t="s">
        <v>377</v>
      </c>
      <c r="J16" s="17" t="s">
        <v>249</v>
      </c>
      <c r="K16" s="24" t="str">
        <f>"80,0"</f>
        <v>80,0</v>
      </c>
      <c r="L16" s="25" t="str">
        <f>"44,3400"</f>
        <v>44,3400</v>
      </c>
      <c r="M16" s="15" t="s">
        <v>24</v>
      </c>
    </row>
    <row r="18" spans="1:6" ht="15">
      <c r="E18" s="18" t="s">
        <v>63</v>
      </c>
      <c r="F18" s="40" t="s">
        <v>693</v>
      </c>
    </row>
    <row r="19" spans="1:6" ht="15">
      <c r="E19" s="18" t="s">
        <v>64</v>
      </c>
      <c r="F19" s="40" t="s">
        <v>694</v>
      </c>
    </row>
    <row r="20" spans="1:6" ht="15">
      <c r="E20" s="18" t="s">
        <v>65</v>
      </c>
      <c r="F20" s="40" t="s">
        <v>695</v>
      </c>
    </row>
    <row r="21" spans="1:6" ht="15">
      <c r="E21" s="18" t="s">
        <v>66</v>
      </c>
      <c r="F21" s="40" t="s">
        <v>696</v>
      </c>
    </row>
    <row r="22" spans="1:6" ht="15">
      <c r="E22" s="18" t="s">
        <v>66</v>
      </c>
      <c r="F22" s="40" t="s">
        <v>697</v>
      </c>
    </row>
    <row r="23" spans="1:6" ht="15">
      <c r="E23" s="18"/>
    </row>
    <row r="24" spans="1:6" ht="15">
      <c r="E24" s="18"/>
    </row>
    <row r="26" spans="1:6" ht="18">
      <c r="A26" s="26" t="s">
        <v>67</v>
      </c>
      <c r="B26" s="26"/>
    </row>
    <row r="27" spans="1:6" ht="15">
      <c r="A27" s="27" t="s">
        <v>68</v>
      </c>
      <c r="B27" s="27"/>
    </row>
    <row r="28" spans="1:6" ht="14.25">
      <c r="A28" s="29"/>
      <c r="B28" s="30" t="s">
        <v>503</v>
      </c>
    </row>
    <row r="29" spans="1:6" ht="15">
      <c r="A29" s="31" t="s">
        <v>70</v>
      </c>
      <c r="B29" s="31" t="s">
        <v>71</v>
      </c>
      <c r="C29" s="31" t="s">
        <v>72</v>
      </c>
      <c r="D29" s="31" t="s">
        <v>74</v>
      </c>
      <c r="E29" s="31" t="s">
        <v>612</v>
      </c>
    </row>
    <row r="30" spans="1:6">
      <c r="A30" s="28" t="s">
        <v>655</v>
      </c>
      <c r="B30" s="4" t="s">
        <v>503</v>
      </c>
      <c r="C30" s="4" t="s">
        <v>78</v>
      </c>
      <c r="D30" s="4" t="s">
        <v>149</v>
      </c>
      <c r="E30" s="19" t="s">
        <v>665</v>
      </c>
    </row>
    <row r="32" spans="1:6" ht="14.25">
      <c r="A32" s="29"/>
      <c r="B32" s="30" t="s">
        <v>69</v>
      </c>
    </row>
    <row r="33" spans="1:5" ht="15">
      <c r="A33" s="31" t="s">
        <v>70</v>
      </c>
      <c r="B33" s="31" t="s">
        <v>71</v>
      </c>
      <c r="C33" s="31" t="s">
        <v>72</v>
      </c>
      <c r="D33" s="31" t="s">
        <v>74</v>
      </c>
      <c r="E33" s="31" t="s">
        <v>612</v>
      </c>
    </row>
    <row r="34" spans="1:5">
      <c r="A34" s="28" t="s">
        <v>659</v>
      </c>
      <c r="B34" s="4" t="s">
        <v>69</v>
      </c>
      <c r="C34" s="4" t="s">
        <v>78</v>
      </c>
      <c r="D34" s="4" t="s">
        <v>154</v>
      </c>
      <c r="E34" s="19" t="s">
        <v>666</v>
      </c>
    </row>
    <row r="35" spans="1:5">
      <c r="A35" s="28" t="s">
        <v>499</v>
      </c>
      <c r="B35" s="4" t="s">
        <v>69</v>
      </c>
      <c r="C35" s="4" t="s">
        <v>82</v>
      </c>
      <c r="D35" s="4" t="s">
        <v>39</v>
      </c>
      <c r="E35" s="19" t="s">
        <v>667</v>
      </c>
    </row>
    <row r="36" spans="1:5">
      <c r="A36" s="28" t="s">
        <v>624</v>
      </c>
      <c r="B36" s="4" t="s">
        <v>69</v>
      </c>
      <c r="C36" s="4" t="s">
        <v>82</v>
      </c>
      <c r="D36" s="4" t="s">
        <v>377</v>
      </c>
      <c r="E36" s="19" t="s">
        <v>668</v>
      </c>
    </row>
    <row r="37" spans="1:5">
      <c r="A37" s="28" t="s">
        <v>357</v>
      </c>
      <c r="B37" s="4" t="s">
        <v>69</v>
      </c>
      <c r="C37" s="4" t="s">
        <v>76</v>
      </c>
      <c r="D37" s="4" t="s">
        <v>249</v>
      </c>
      <c r="E37" s="19" t="s">
        <v>669</v>
      </c>
    </row>
    <row r="38" spans="1:5">
      <c r="A38" s="28" t="s">
        <v>58</v>
      </c>
      <c r="B38" s="4" t="s">
        <v>69</v>
      </c>
      <c r="C38" s="4" t="s">
        <v>76</v>
      </c>
      <c r="D38" s="4" t="s">
        <v>249</v>
      </c>
      <c r="E38" s="19" t="s">
        <v>670</v>
      </c>
    </row>
    <row r="40" spans="1:5" ht="14.25">
      <c r="A40" s="29"/>
      <c r="B40" s="30" t="s">
        <v>80</v>
      </c>
    </row>
    <row r="41" spans="1:5" ht="15">
      <c r="A41" s="31" t="s">
        <v>70</v>
      </c>
      <c r="B41" s="31" t="s">
        <v>71</v>
      </c>
      <c r="C41" s="31" t="s">
        <v>72</v>
      </c>
      <c r="D41" s="31" t="s">
        <v>74</v>
      </c>
      <c r="E41" s="31" t="s">
        <v>612</v>
      </c>
    </row>
    <row r="42" spans="1:5">
      <c r="A42" s="28" t="s">
        <v>659</v>
      </c>
      <c r="B42" s="4" t="s">
        <v>614</v>
      </c>
      <c r="C42" s="4" t="s">
        <v>78</v>
      </c>
      <c r="D42" s="4" t="s">
        <v>154</v>
      </c>
      <c r="E42" s="19" t="s">
        <v>671</v>
      </c>
    </row>
  </sheetData>
  <mergeCells count="14">
    <mergeCell ref="A1:M2"/>
    <mergeCell ref="A3:A4"/>
    <mergeCell ref="B3:B4"/>
    <mergeCell ref="C3:C4"/>
    <mergeCell ref="D3:D4"/>
    <mergeCell ref="E3:E4"/>
    <mergeCell ref="F3:F4"/>
    <mergeCell ref="G3:J3"/>
    <mergeCell ref="A9:J9"/>
    <mergeCell ref="A14:J1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M39"/>
  <sheetViews>
    <sheetView workbookViewId="0">
      <selection activeCell="E24" sqref="E24"/>
    </sheetView>
  </sheetViews>
  <sheetFormatPr defaultRowHeight="12.75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32.28515625" style="4" bestFit="1" customWidth="1"/>
    <col min="6" max="6" width="29.85546875" style="4" bestFit="1" customWidth="1"/>
    <col min="7" max="9" width="5.5703125" style="3" customWidth="1"/>
    <col min="10" max="10" width="4.85546875" style="3" customWidth="1"/>
    <col min="11" max="11" width="7.85546875" style="19" bestFit="1" customWidth="1"/>
    <col min="12" max="12" width="8.5703125" style="2" bestFit="1" customWidth="1"/>
    <col min="13" max="13" width="21" style="4" bestFit="1" customWidth="1"/>
    <col min="14" max="16384" width="9.140625" style="3"/>
  </cols>
  <sheetData>
    <row r="1" spans="1:13" s="2" customFormat="1" ht="29.1" customHeight="1">
      <c r="A1" s="53" t="s">
        <v>11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.1" customHeight="1" thickBot="1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>
      <c r="A3" s="59" t="s">
        <v>0</v>
      </c>
      <c r="B3" s="61" t="s">
        <v>6</v>
      </c>
      <c r="C3" s="61" t="s">
        <v>10</v>
      </c>
      <c r="D3" s="47" t="s">
        <v>12</v>
      </c>
      <c r="E3" s="47" t="s">
        <v>4</v>
      </c>
      <c r="F3" s="47" t="s">
        <v>7</v>
      </c>
      <c r="G3" s="47" t="s">
        <v>13</v>
      </c>
      <c r="H3" s="47"/>
      <c r="I3" s="47"/>
      <c r="J3" s="47"/>
      <c r="K3" s="47" t="s">
        <v>91</v>
      </c>
      <c r="L3" s="47" t="s">
        <v>3</v>
      </c>
      <c r="M3" s="49" t="s">
        <v>2</v>
      </c>
    </row>
    <row r="4" spans="1:13" s="1" customFormat="1" ht="21" customHeight="1" thickBot="1">
      <c r="A4" s="60"/>
      <c r="B4" s="48"/>
      <c r="C4" s="48"/>
      <c r="D4" s="48"/>
      <c r="E4" s="48"/>
      <c r="F4" s="48"/>
      <c r="G4" s="6">
        <v>1</v>
      </c>
      <c r="H4" s="6">
        <v>2</v>
      </c>
      <c r="I4" s="6">
        <v>3</v>
      </c>
      <c r="J4" s="6" t="s">
        <v>5</v>
      </c>
      <c r="K4" s="48"/>
      <c r="L4" s="48"/>
      <c r="M4" s="50"/>
    </row>
    <row r="5" spans="1:13" ht="15">
      <c r="A5" s="51" t="s">
        <v>14</v>
      </c>
      <c r="B5" s="52"/>
      <c r="C5" s="52"/>
      <c r="D5" s="52"/>
      <c r="E5" s="52"/>
      <c r="F5" s="52"/>
      <c r="G5" s="52"/>
      <c r="H5" s="52"/>
      <c r="I5" s="52"/>
      <c r="J5" s="52"/>
    </row>
    <row r="6" spans="1:13">
      <c r="A6" s="7" t="s">
        <v>16</v>
      </c>
      <c r="B6" s="7" t="s">
        <v>17</v>
      </c>
      <c r="C6" s="7" t="s">
        <v>18</v>
      </c>
      <c r="D6" s="7" t="str">
        <f>"0,6931"</f>
        <v>0,6931</v>
      </c>
      <c r="E6" s="7" t="s">
        <v>19</v>
      </c>
      <c r="F6" s="7" t="s">
        <v>20</v>
      </c>
      <c r="G6" s="9" t="s">
        <v>21</v>
      </c>
      <c r="H6" s="9" t="s">
        <v>22</v>
      </c>
      <c r="I6" s="8" t="s">
        <v>23</v>
      </c>
      <c r="J6" s="8"/>
      <c r="K6" s="20" t="str">
        <f>"115,0"</f>
        <v>115,0</v>
      </c>
      <c r="L6" s="21" t="str">
        <f>"95,9666"</f>
        <v>95,9666</v>
      </c>
      <c r="M6" s="7" t="s">
        <v>24</v>
      </c>
    </row>
    <row r="8" spans="1:13" ht="15">
      <c r="A8" s="62" t="s">
        <v>25</v>
      </c>
      <c r="B8" s="62"/>
      <c r="C8" s="62"/>
      <c r="D8" s="62"/>
      <c r="E8" s="62"/>
      <c r="F8" s="62"/>
      <c r="G8" s="62"/>
      <c r="H8" s="62"/>
      <c r="I8" s="62"/>
      <c r="J8" s="62"/>
    </row>
    <row r="9" spans="1:13">
      <c r="A9" s="12" t="s">
        <v>27</v>
      </c>
      <c r="B9" s="12" t="s">
        <v>28</v>
      </c>
      <c r="C9" s="12" t="s">
        <v>29</v>
      </c>
      <c r="D9" s="12" t="str">
        <f>"0,5871"</f>
        <v>0,5871</v>
      </c>
      <c r="E9" s="12" t="s">
        <v>30</v>
      </c>
      <c r="F9" s="12" t="s">
        <v>31</v>
      </c>
      <c r="G9" s="14" t="s">
        <v>32</v>
      </c>
      <c r="H9" s="13" t="s">
        <v>22</v>
      </c>
      <c r="I9" s="13" t="s">
        <v>22</v>
      </c>
      <c r="J9" s="13"/>
      <c r="K9" s="22" t="str">
        <f>"107,5"</f>
        <v>107,5</v>
      </c>
      <c r="L9" s="23" t="str">
        <f>"114,2350"</f>
        <v>114,2350</v>
      </c>
      <c r="M9" s="12" t="s">
        <v>24</v>
      </c>
    </row>
    <row r="10" spans="1:13">
      <c r="A10" s="15" t="s">
        <v>34</v>
      </c>
      <c r="B10" s="15" t="s">
        <v>35</v>
      </c>
      <c r="C10" s="15" t="s">
        <v>36</v>
      </c>
      <c r="D10" s="15" t="str">
        <f>"0,5899"</f>
        <v>0,5899</v>
      </c>
      <c r="E10" s="15" t="s">
        <v>37</v>
      </c>
      <c r="F10" s="15" t="s">
        <v>38</v>
      </c>
      <c r="G10" s="17" t="s">
        <v>39</v>
      </c>
      <c r="H10" s="17" t="s">
        <v>22</v>
      </c>
      <c r="I10" s="17" t="s">
        <v>23</v>
      </c>
      <c r="J10" s="16"/>
      <c r="K10" s="24" t="str">
        <f>"120,0"</f>
        <v>120,0</v>
      </c>
      <c r="L10" s="25" t="str">
        <f>"139,4524"</f>
        <v>139,4524</v>
      </c>
      <c r="M10" s="15" t="s">
        <v>24</v>
      </c>
    </row>
    <row r="12" spans="1:13" ht="15">
      <c r="A12" s="62" t="s">
        <v>40</v>
      </c>
      <c r="B12" s="62"/>
      <c r="C12" s="62"/>
      <c r="D12" s="62"/>
      <c r="E12" s="62"/>
      <c r="F12" s="62"/>
      <c r="G12" s="62"/>
      <c r="H12" s="62"/>
      <c r="I12" s="62"/>
      <c r="J12" s="62"/>
    </row>
    <row r="13" spans="1:13">
      <c r="A13" s="12" t="s">
        <v>42</v>
      </c>
      <c r="B13" s="12" t="s">
        <v>43</v>
      </c>
      <c r="C13" s="12" t="s">
        <v>44</v>
      </c>
      <c r="D13" s="12" t="str">
        <f>"0,5584"</f>
        <v>0,5584</v>
      </c>
      <c r="E13" s="12" t="s">
        <v>45</v>
      </c>
      <c r="F13" s="12" t="s">
        <v>46</v>
      </c>
      <c r="G13" s="14" t="s">
        <v>47</v>
      </c>
      <c r="H13" s="14" t="s">
        <v>48</v>
      </c>
      <c r="I13" s="13" t="s">
        <v>49</v>
      </c>
      <c r="J13" s="13"/>
      <c r="K13" s="22" t="str">
        <f>"162,5"</f>
        <v>162,5</v>
      </c>
      <c r="L13" s="23" t="str">
        <f>"90,7481"</f>
        <v>90,7481</v>
      </c>
      <c r="M13" s="12" t="s">
        <v>50</v>
      </c>
    </row>
    <row r="14" spans="1:13">
      <c r="A14" s="15" t="s">
        <v>52</v>
      </c>
      <c r="B14" s="15" t="s">
        <v>53</v>
      </c>
      <c r="C14" s="15" t="s">
        <v>54</v>
      </c>
      <c r="D14" s="15" t="str">
        <f>"0,5569"</f>
        <v>0,5569</v>
      </c>
      <c r="E14" s="15" t="s">
        <v>30</v>
      </c>
      <c r="F14" s="15" t="s">
        <v>20</v>
      </c>
      <c r="G14" s="17" t="s">
        <v>55</v>
      </c>
      <c r="H14" s="17" t="s">
        <v>56</v>
      </c>
      <c r="I14" s="16"/>
      <c r="J14" s="16"/>
      <c r="K14" s="24" t="str">
        <f>"170,0"</f>
        <v>170,0</v>
      </c>
      <c r="L14" s="25" t="str">
        <f>"130,6487"</f>
        <v>130,6487</v>
      </c>
      <c r="M14" s="15" t="s">
        <v>24</v>
      </c>
    </row>
    <row r="16" spans="1:13" ht="15">
      <c r="A16" s="62" t="s">
        <v>57</v>
      </c>
      <c r="B16" s="62"/>
      <c r="C16" s="62"/>
      <c r="D16" s="62"/>
      <c r="E16" s="62"/>
      <c r="F16" s="62"/>
      <c r="G16" s="62"/>
      <c r="H16" s="62"/>
      <c r="I16" s="62"/>
      <c r="J16" s="62"/>
    </row>
    <row r="17" spans="1:13">
      <c r="A17" s="7" t="s">
        <v>59</v>
      </c>
      <c r="B17" s="7" t="s">
        <v>60</v>
      </c>
      <c r="C17" s="7" t="s">
        <v>61</v>
      </c>
      <c r="D17" s="7" t="str">
        <f>"0,5298"</f>
        <v>0,5298</v>
      </c>
      <c r="E17" s="7" t="s">
        <v>45</v>
      </c>
      <c r="F17" s="7" t="s">
        <v>46</v>
      </c>
      <c r="G17" s="9" t="s">
        <v>62</v>
      </c>
      <c r="H17" s="8"/>
      <c r="I17" s="8"/>
      <c r="J17" s="8"/>
      <c r="K17" s="20" t="str">
        <f>"190,0"</f>
        <v>190,0</v>
      </c>
      <c r="L17" s="21" t="str">
        <f>"100,6620"</f>
        <v>100,6620</v>
      </c>
      <c r="M17" s="7" t="s">
        <v>24</v>
      </c>
    </row>
    <row r="19" spans="1:13" ht="15">
      <c r="E19" s="18" t="s">
        <v>63</v>
      </c>
      <c r="F19" s="40" t="s">
        <v>693</v>
      </c>
    </row>
    <row r="20" spans="1:13" ht="15">
      <c r="E20" s="18" t="s">
        <v>64</v>
      </c>
      <c r="F20" s="40" t="s">
        <v>694</v>
      </c>
    </row>
    <row r="21" spans="1:13" ht="15">
      <c r="E21" s="18" t="s">
        <v>65</v>
      </c>
      <c r="F21" s="40" t="s">
        <v>695</v>
      </c>
    </row>
    <row r="22" spans="1:13" ht="15">
      <c r="E22" s="18" t="s">
        <v>66</v>
      </c>
      <c r="F22" s="40" t="s">
        <v>696</v>
      </c>
    </row>
    <row r="23" spans="1:13" ht="15">
      <c r="E23" s="18" t="s">
        <v>66</v>
      </c>
      <c r="F23" s="40" t="s">
        <v>697</v>
      </c>
    </row>
    <row r="24" spans="1:13" ht="15">
      <c r="E24" s="18"/>
    </row>
    <row r="25" spans="1:13" ht="15">
      <c r="E25" s="18"/>
    </row>
    <row r="27" spans="1:13" ht="18">
      <c r="A27" s="26" t="s">
        <v>67</v>
      </c>
      <c r="B27" s="26"/>
    </row>
    <row r="28" spans="1:13" ht="15">
      <c r="A28" s="27" t="s">
        <v>68</v>
      </c>
      <c r="B28" s="27"/>
    </row>
    <row r="29" spans="1:13" ht="14.25">
      <c r="A29" s="29"/>
      <c r="B29" s="30" t="s">
        <v>69</v>
      </c>
    </row>
    <row r="30" spans="1:13" ht="15">
      <c r="A30" s="31" t="s">
        <v>70</v>
      </c>
      <c r="B30" s="31" t="s">
        <v>71</v>
      </c>
      <c r="C30" s="31" t="s">
        <v>72</v>
      </c>
      <c r="D30" s="31" t="s">
        <v>74</v>
      </c>
      <c r="E30" s="31" t="s">
        <v>75</v>
      </c>
    </row>
    <row r="31" spans="1:13">
      <c r="A31" s="28" t="s">
        <v>58</v>
      </c>
      <c r="B31" s="4" t="s">
        <v>69</v>
      </c>
      <c r="C31" s="4" t="s">
        <v>76</v>
      </c>
      <c r="D31" s="4" t="s">
        <v>62</v>
      </c>
      <c r="E31" s="19" t="s">
        <v>77</v>
      </c>
    </row>
    <row r="32" spans="1:13">
      <c r="A32" s="28" t="s">
        <v>41</v>
      </c>
      <c r="B32" s="4" t="s">
        <v>69</v>
      </c>
      <c r="C32" s="4" t="s">
        <v>78</v>
      </c>
      <c r="D32" s="4" t="s">
        <v>48</v>
      </c>
      <c r="E32" s="19" t="s">
        <v>79</v>
      </c>
    </row>
    <row r="34" spans="1:5" ht="14.25">
      <c r="A34" s="29"/>
      <c r="B34" s="30" t="s">
        <v>80</v>
      </c>
    </row>
    <row r="35" spans="1:5" ht="15">
      <c r="A35" s="31" t="s">
        <v>70</v>
      </c>
      <c r="B35" s="31" t="s">
        <v>71</v>
      </c>
      <c r="C35" s="31" t="s">
        <v>72</v>
      </c>
      <c r="D35" s="31" t="s">
        <v>74</v>
      </c>
      <c r="E35" s="31" t="s">
        <v>75</v>
      </c>
    </row>
    <row r="36" spans="1:5">
      <c r="A36" s="28" t="s">
        <v>33</v>
      </c>
      <c r="B36" s="4" t="s">
        <v>81</v>
      </c>
      <c r="C36" s="4" t="s">
        <v>82</v>
      </c>
      <c r="D36" s="4" t="s">
        <v>23</v>
      </c>
      <c r="E36" s="19" t="s">
        <v>83</v>
      </c>
    </row>
    <row r="37" spans="1:5">
      <c r="A37" s="28" t="s">
        <v>51</v>
      </c>
      <c r="B37" s="4" t="s">
        <v>84</v>
      </c>
      <c r="C37" s="4" t="s">
        <v>78</v>
      </c>
      <c r="D37" s="4" t="s">
        <v>56</v>
      </c>
      <c r="E37" s="19" t="s">
        <v>85</v>
      </c>
    </row>
    <row r="38" spans="1:5">
      <c r="A38" s="28" t="s">
        <v>26</v>
      </c>
      <c r="B38" s="4" t="s">
        <v>86</v>
      </c>
      <c r="C38" s="4" t="s">
        <v>82</v>
      </c>
      <c r="D38" s="4" t="s">
        <v>32</v>
      </c>
      <c r="E38" s="19" t="s">
        <v>87</v>
      </c>
    </row>
    <row r="39" spans="1:5">
      <c r="A39" s="28" t="s">
        <v>15</v>
      </c>
      <c r="B39" s="4" t="s">
        <v>88</v>
      </c>
      <c r="C39" s="4" t="s">
        <v>89</v>
      </c>
      <c r="D39" s="4" t="s">
        <v>22</v>
      </c>
      <c r="E39" s="19" t="s">
        <v>90</v>
      </c>
    </row>
  </sheetData>
  <mergeCells count="15">
    <mergeCell ref="K3:K4"/>
    <mergeCell ref="L3:L4"/>
    <mergeCell ref="A1:M2"/>
    <mergeCell ref="G3:J3"/>
    <mergeCell ref="A3:A4"/>
    <mergeCell ref="B3:B4"/>
    <mergeCell ref="C3:C4"/>
    <mergeCell ref="M3:M4"/>
    <mergeCell ref="F3:F4"/>
    <mergeCell ref="E3:E4"/>
    <mergeCell ref="A5:J5"/>
    <mergeCell ref="A8:J8"/>
    <mergeCell ref="A12:J12"/>
    <mergeCell ref="A16:J16"/>
    <mergeCell ref="D3:D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9"/>
  <sheetViews>
    <sheetView workbookViewId="0">
      <selection activeCell="E24" sqref="E24"/>
    </sheetView>
  </sheetViews>
  <sheetFormatPr defaultRowHeight="12.75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9.85546875" style="4" bestFit="1" customWidth="1"/>
    <col min="7" max="9" width="4.5703125" style="3" customWidth="1"/>
    <col min="10" max="10" width="4.85546875" style="3" customWidth="1"/>
    <col min="11" max="11" width="7.85546875" style="19" bestFit="1" customWidth="1"/>
    <col min="12" max="12" width="7.5703125" style="2" bestFit="1" customWidth="1"/>
    <col min="13" max="13" width="24.85546875" style="4" bestFit="1" customWidth="1"/>
    <col min="14" max="16384" width="9.140625" style="3"/>
  </cols>
  <sheetData>
    <row r="1" spans="1:13" s="2" customFormat="1" ht="29.1" customHeight="1">
      <c r="A1" s="53" t="s">
        <v>623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.1" customHeight="1" thickBot="1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>
      <c r="A3" s="59" t="s">
        <v>0</v>
      </c>
      <c r="B3" s="61" t="s">
        <v>6</v>
      </c>
      <c r="C3" s="61" t="s">
        <v>10</v>
      </c>
      <c r="D3" s="47" t="s">
        <v>602</v>
      </c>
      <c r="E3" s="47" t="s">
        <v>4</v>
      </c>
      <c r="F3" s="47" t="s">
        <v>7</v>
      </c>
      <c r="G3" s="47" t="s">
        <v>603</v>
      </c>
      <c r="H3" s="47"/>
      <c r="I3" s="47"/>
      <c r="J3" s="47"/>
      <c r="K3" s="47" t="s">
        <v>91</v>
      </c>
      <c r="L3" s="47" t="s">
        <v>3</v>
      </c>
      <c r="M3" s="49" t="s">
        <v>2</v>
      </c>
    </row>
    <row r="4" spans="1:13" s="1" customFormat="1" ht="21" customHeight="1" thickBot="1">
      <c r="A4" s="60"/>
      <c r="B4" s="48"/>
      <c r="C4" s="48"/>
      <c r="D4" s="48"/>
      <c r="E4" s="48"/>
      <c r="F4" s="48"/>
      <c r="G4" s="6">
        <v>1</v>
      </c>
      <c r="H4" s="6">
        <v>2</v>
      </c>
      <c r="I4" s="6">
        <v>3</v>
      </c>
      <c r="J4" s="6" t="s">
        <v>5</v>
      </c>
      <c r="K4" s="48"/>
      <c r="L4" s="48"/>
      <c r="M4" s="50"/>
    </row>
    <row r="5" spans="1:13" ht="15">
      <c r="A5" s="51" t="s">
        <v>25</v>
      </c>
      <c r="B5" s="52"/>
      <c r="C5" s="52"/>
      <c r="D5" s="52"/>
      <c r="E5" s="52"/>
      <c r="F5" s="52"/>
      <c r="G5" s="52"/>
      <c r="H5" s="52"/>
      <c r="I5" s="52"/>
      <c r="J5" s="52"/>
    </row>
    <row r="6" spans="1:13">
      <c r="A6" s="7" t="s">
        <v>625</v>
      </c>
      <c r="B6" s="7" t="s">
        <v>626</v>
      </c>
      <c r="C6" s="7" t="s">
        <v>627</v>
      </c>
      <c r="D6" s="7" t="str">
        <f>"0,6487"</f>
        <v>0,6487</v>
      </c>
      <c r="E6" s="7" t="s">
        <v>112</v>
      </c>
      <c r="F6" s="7" t="s">
        <v>20</v>
      </c>
      <c r="G6" s="9" t="s">
        <v>628</v>
      </c>
      <c r="H6" s="9" t="s">
        <v>629</v>
      </c>
      <c r="I6" s="9" t="s">
        <v>630</v>
      </c>
      <c r="J6" s="9" t="s">
        <v>631</v>
      </c>
      <c r="K6" s="20" t="str">
        <f>"69,0"</f>
        <v>69,0</v>
      </c>
      <c r="L6" s="21" t="str">
        <f>"44,7603"</f>
        <v>44,7603</v>
      </c>
      <c r="M6" s="7" t="s">
        <v>264</v>
      </c>
    </row>
    <row r="8" spans="1:13" ht="15">
      <c r="A8" s="62" t="s">
        <v>40</v>
      </c>
      <c r="B8" s="62"/>
      <c r="C8" s="62"/>
      <c r="D8" s="62"/>
      <c r="E8" s="62"/>
      <c r="F8" s="62"/>
      <c r="G8" s="62"/>
      <c r="H8" s="62"/>
      <c r="I8" s="62"/>
      <c r="J8" s="62"/>
    </row>
    <row r="9" spans="1:13">
      <c r="A9" s="12" t="s">
        <v>633</v>
      </c>
      <c r="B9" s="12" t="s">
        <v>634</v>
      </c>
      <c r="C9" s="12" t="s">
        <v>635</v>
      </c>
      <c r="D9" s="12" t="str">
        <f>"0,5832"</f>
        <v>0,5832</v>
      </c>
      <c r="E9" s="12" t="s">
        <v>98</v>
      </c>
      <c r="F9" s="12" t="s">
        <v>20</v>
      </c>
      <c r="G9" s="14" t="s">
        <v>636</v>
      </c>
      <c r="H9" s="14" t="s">
        <v>637</v>
      </c>
      <c r="I9" s="13" t="s">
        <v>493</v>
      </c>
      <c r="J9" s="13"/>
      <c r="K9" s="22" t="str">
        <f>"78,5"</f>
        <v>78,5</v>
      </c>
      <c r="L9" s="23" t="str">
        <f>"45,7792"</f>
        <v>45,7792</v>
      </c>
      <c r="M9" s="12" t="s">
        <v>638</v>
      </c>
    </row>
    <row r="10" spans="1:13">
      <c r="A10" s="15" t="s">
        <v>633</v>
      </c>
      <c r="B10" s="15" t="s">
        <v>639</v>
      </c>
      <c r="C10" s="15" t="s">
        <v>635</v>
      </c>
      <c r="D10" s="15" t="str">
        <f>"0,5832"</f>
        <v>0,5832</v>
      </c>
      <c r="E10" s="15" t="s">
        <v>98</v>
      </c>
      <c r="F10" s="15" t="s">
        <v>20</v>
      </c>
      <c r="G10" s="17" t="s">
        <v>636</v>
      </c>
      <c r="H10" s="17" t="s">
        <v>637</v>
      </c>
      <c r="I10" s="16" t="s">
        <v>493</v>
      </c>
      <c r="J10" s="16"/>
      <c r="K10" s="24" t="str">
        <f>"78,5"</f>
        <v>78,5</v>
      </c>
      <c r="L10" s="25" t="str">
        <f>"49,5331"</f>
        <v>49,5331</v>
      </c>
      <c r="M10" s="15" t="s">
        <v>638</v>
      </c>
    </row>
    <row r="12" spans="1:13" ht="15">
      <c r="A12" s="62" t="s">
        <v>93</v>
      </c>
      <c r="B12" s="62"/>
      <c r="C12" s="62"/>
      <c r="D12" s="62"/>
      <c r="E12" s="62"/>
      <c r="F12" s="62"/>
      <c r="G12" s="62"/>
      <c r="H12" s="62"/>
      <c r="I12" s="62"/>
      <c r="J12" s="62"/>
    </row>
    <row r="13" spans="1:13">
      <c r="A13" s="12" t="s">
        <v>641</v>
      </c>
      <c r="B13" s="12" t="s">
        <v>642</v>
      </c>
      <c r="C13" s="12" t="s">
        <v>643</v>
      </c>
      <c r="D13" s="12" t="str">
        <f>"0,5656"</f>
        <v>0,5656</v>
      </c>
      <c r="E13" s="12" t="s">
        <v>45</v>
      </c>
      <c r="F13" s="12" t="s">
        <v>46</v>
      </c>
      <c r="G13" s="14" t="s">
        <v>130</v>
      </c>
      <c r="H13" s="13" t="s">
        <v>377</v>
      </c>
      <c r="I13" s="13"/>
      <c r="J13" s="13"/>
      <c r="K13" s="22" t="str">
        <f>"65,0"</f>
        <v>65,0</v>
      </c>
      <c r="L13" s="23" t="str">
        <f>"36,7672"</f>
        <v>36,7672</v>
      </c>
      <c r="M13" s="12" t="s">
        <v>50</v>
      </c>
    </row>
    <row r="14" spans="1:13">
      <c r="A14" s="15" t="s">
        <v>645</v>
      </c>
      <c r="B14" s="15" t="s">
        <v>646</v>
      </c>
      <c r="C14" s="15" t="s">
        <v>195</v>
      </c>
      <c r="D14" s="15" t="str">
        <f>"0,5634"</f>
        <v>0,5634</v>
      </c>
      <c r="E14" s="15" t="s">
        <v>45</v>
      </c>
      <c r="F14" s="15" t="s">
        <v>46</v>
      </c>
      <c r="G14" s="17" t="s">
        <v>487</v>
      </c>
      <c r="H14" s="17" t="s">
        <v>115</v>
      </c>
      <c r="I14" s="17" t="s">
        <v>130</v>
      </c>
      <c r="J14" s="16" t="s">
        <v>140</v>
      </c>
      <c r="K14" s="24" t="str">
        <f>"65,0"</f>
        <v>65,0</v>
      </c>
      <c r="L14" s="25" t="str">
        <f>"36,6178"</f>
        <v>36,6178</v>
      </c>
      <c r="M14" s="15" t="s">
        <v>50</v>
      </c>
    </row>
    <row r="16" spans="1:13" ht="15">
      <c r="A16" s="62" t="s">
        <v>57</v>
      </c>
      <c r="B16" s="62"/>
      <c r="C16" s="62"/>
      <c r="D16" s="62"/>
      <c r="E16" s="62"/>
      <c r="F16" s="62"/>
      <c r="G16" s="62"/>
      <c r="H16" s="62"/>
      <c r="I16" s="62"/>
      <c r="J16" s="62"/>
    </row>
    <row r="17" spans="1:13">
      <c r="A17" s="7" t="s">
        <v>59</v>
      </c>
      <c r="B17" s="7" t="s">
        <v>60</v>
      </c>
      <c r="C17" s="7" t="s">
        <v>61</v>
      </c>
      <c r="D17" s="7" t="str">
        <f>"0,5543"</f>
        <v>0,5543</v>
      </c>
      <c r="E17" s="7" t="s">
        <v>45</v>
      </c>
      <c r="F17" s="7" t="s">
        <v>46</v>
      </c>
      <c r="G17" s="9" t="s">
        <v>113</v>
      </c>
      <c r="H17" s="9" t="s">
        <v>139</v>
      </c>
      <c r="I17" s="9" t="s">
        <v>140</v>
      </c>
      <c r="J17" s="8" t="s">
        <v>377</v>
      </c>
      <c r="K17" s="20" t="str">
        <f>"70,0"</f>
        <v>70,0</v>
      </c>
      <c r="L17" s="21" t="str">
        <f>"38,7975"</f>
        <v>38,7975</v>
      </c>
      <c r="M17" s="7" t="s">
        <v>24</v>
      </c>
    </row>
    <row r="19" spans="1:13" ht="15">
      <c r="E19" s="18" t="s">
        <v>63</v>
      </c>
      <c r="F19" s="40" t="s">
        <v>693</v>
      </c>
    </row>
    <row r="20" spans="1:13" ht="15">
      <c r="E20" s="18" t="s">
        <v>64</v>
      </c>
      <c r="F20" s="40" t="s">
        <v>694</v>
      </c>
    </row>
    <row r="21" spans="1:13" ht="15">
      <c r="E21" s="18" t="s">
        <v>65</v>
      </c>
      <c r="F21" s="40" t="s">
        <v>695</v>
      </c>
    </row>
    <row r="22" spans="1:13" ht="15">
      <c r="E22" s="18" t="s">
        <v>66</v>
      </c>
      <c r="F22" s="40" t="s">
        <v>696</v>
      </c>
    </row>
    <row r="23" spans="1:13" ht="15">
      <c r="E23" s="18" t="s">
        <v>66</v>
      </c>
      <c r="F23" s="40" t="s">
        <v>697</v>
      </c>
    </row>
    <row r="24" spans="1:13" ht="15">
      <c r="E24" s="18"/>
    </row>
    <row r="25" spans="1:13" ht="15">
      <c r="E25" s="18"/>
    </row>
    <row r="27" spans="1:13" ht="18">
      <c r="A27" s="26" t="s">
        <v>67</v>
      </c>
      <c r="B27" s="26"/>
    </row>
    <row r="28" spans="1:13" ht="15">
      <c r="A28" s="27" t="s">
        <v>68</v>
      </c>
      <c r="B28" s="27"/>
    </row>
    <row r="29" spans="1:13" ht="14.25">
      <c r="A29" s="29"/>
      <c r="B29" s="30" t="s">
        <v>69</v>
      </c>
    </row>
    <row r="30" spans="1:13" ht="15">
      <c r="A30" s="31" t="s">
        <v>70</v>
      </c>
      <c r="B30" s="31" t="s">
        <v>71</v>
      </c>
      <c r="C30" s="31" t="s">
        <v>72</v>
      </c>
      <c r="D30" s="31" t="s">
        <v>74</v>
      </c>
      <c r="E30" s="31" t="s">
        <v>612</v>
      </c>
    </row>
    <row r="31" spans="1:13">
      <c r="A31" s="28" t="s">
        <v>632</v>
      </c>
      <c r="B31" s="4" t="s">
        <v>69</v>
      </c>
      <c r="C31" s="4" t="s">
        <v>78</v>
      </c>
      <c r="D31" s="4" t="s">
        <v>637</v>
      </c>
      <c r="E31" s="19" t="s">
        <v>647</v>
      </c>
    </row>
    <row r="32" spans="1:13">
      <c r="A32" s="28" t="s">
        <v>624</v>
      </c>
      <c r="B32" s="4" t="s">
        <v>69</v>
      </c>
      <c r="C32" s="4" t="s">
        <v>82</v>
      </c>
      <c r="D32" s="4" t="s">
        <v>631</v>
      </c>
      <c r="E32" s="19" t="s">
        <v>648</v>
      </c>
    </row>
    <row r="33" spans="1:5">
      <c r="A33" s="28" t="s">
        <v>58</v>
      </c>
      <c r="B33" s="4" t="s">
        <v>69</v>
      </c>
      <c r="C33" s="4" t="s">
        <v>76</v>
      </c>
      <c r="D33" s="4" t="s">
        <v>140</v>
      </c>
      <c r="E33" s="19" t="s">
        <v>613</v>
      </c>
    </row>
    <row r="34" spans="1:5">
      <c r="A34" s="28" t="s">
        <v>640</v>
      </c>
      <c r="B34" s="4" t="s">
        <v>69</v>
      </c>
      <c r="C34" s="4" t="s">
        <v>103</v>
      </c>
      <c r="D34" s="4" t="s">
        <v>130</v>
      </c>
      <c r="E34" s="19" t="s">
        <v>649</v>
      </c>
    </row>
    <row r="35" spans="1:5">
      <c r="A35" s="28" t="s">
        <v>644</v>
      </c>
      <c r="B35" s="4" t="s">
        <v>69</v>
      </c>
      <c r="C35" s="4" t="s">
        <v>103</v>
      </c>
      <c r="D35" s="4" t="s">
        <v>130</v>
      </c>
      <c r="E35" s="19" t="s">
        <v>650</v>
      </c>
    </row>
    <row r="37" spans="1:5" ht="14.25">
      <c r="A37" s="29"/>
      <c r="B37" s="30" t="s">
        <v>80</v>
      </c>
    </row>
    <row r="38" spans="1:5" ht="15">
      <c r="A38" s="31" t="s">
        <v>70</v>
      </c>
      <c r="B38" s="31" t="s">
        <v>71</v>
      </c>
      <c r="C38" s="31" t="s">
        <v>72</v>
      </c>
      <c r="D38" s="31" t="s">
        <v>74</v>
      </c>
      <c r="E38" s="31" t="s">
        <v>612</v>
      </c>
    </row>
    <row r="39" spans="1:5">
      <c r="A39" s="28" t="s">
        <v>632</v>
      </c>
      <c r="B39" s="4" t="s">
        <v>614</v>
      </c>
      <c r="C39" s="4" t="s">
        <v>78</v>
      </c>
      <c r="D39" s="4" t="s">
        <v>637</v>
      </c>
      <c r="E39" s="19" t="s">
        <v>651</v>
      </c>
    </row>
  </sheetData>
  <mergeCells count="15"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  <mergeCell ref="A8:J8"/>
    <mergeCell ref="A12:J12"/>
    <mergeCell ref="A16:J16"/>
    <mergeCell ref="K3:K4"/>
    <mergeCell ref="L3:L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0"/>
  <sheetViews>
    <sheetView workbookViewId="0">
      <selection activeCell="E13" sqref="E13"/>
    </sheetView>
  </sheetViews>
  <sheetFormatPr defaultRowHeight="12.75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9.85546875" style="4" bestFit="1" customWidth="1"/>
    <col min="7" max="9" width="4.5703125" style="3" customWidth="1"/>
    <col min="10" max="10" width="4.85546875" style="3" customWidth="1"/>
    <col min="11" max="11" width="7.85546875" style="19" bestFit="1" customWidth="1"/>
    <col min="12" max="12" width="7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53" t="s">
        <v>619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.1" customHeight="1" thickBot="1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>
      <c r="A3" s="59" t="s">
        <v>0</v>
      </c>
      <c r="B3" s="61" t="s">
        <v>6</v>
      </c>
      <c r="C3" s="61" t="s">
        <v>10</v>
      </c>
      <c r="D3" s="47" t="s">
        <v>602</v>
      </c>
      <c r="E3" s="47" t="s">
        <v>4</v>
      </c>
      <c r="F3" s="47" t="s">
        <v>7</v>
      </c>
      <c r="G3" s="47" t="s">
        <v>603</v>
      </c>
      <c r="H3" s="47"/>
      <c r="I3" s="47"/>
      <c r="J3" s="47"/>
      <c r="K3" s="47" t="s">
        <v>91</v>
      </c>
      <c r="L3" s="47" t="s">
        <v>3</v>
      </c>
      <c r="M3" s="49" t="s">
        <v>2</v>
      </c>
    </row>
    <row r="4" spans="1:13" s="1" customFormat="1" ht="21" customHeight="1" thickBot="1">
      <c r="A4" s="60"/>
      <c r="B4" s="48"/>
      <c r="C4" s="48"/>
      <c r="D4" s="48"/>
      <c r="E4" s="48"/>
      <c r="F4" s="48"/>
      <c r="G4" s="6">
        <v>1</v>
      </c>
      <c r="H4" s="6">
        <v>2</v>
      </c>
      <c r="I4" s="6">
        <v>3</v>
      </c>
      <c r="J4" s="6" t="s">
        <v>5</v>
      </c>
      <c r="K4" s="48"/>
      <c r="L4" s="48"/>
      <c r="M4" s="50"/>
    </row>
    <row r="5" spans="1:13" ht="15">
      <c r="A5" s="51" t="s">
        <v>57</v>
      </c>
      <c r="B5" s="52"/>
      <c r="C5" s="52"/>
      <c r="D5" s="52"/>
      <c r="E5" s="52"/>
      <c r="F5" s="52"/>
      <c r="G5" s="52"/>
      <c r="H5" s="52"/>
      <c r="I5" s="52"/>
      <c r="J5" s="52"/>
    </row>
    <row r="6" spans="1:13">
      <c r="A6" s="7" t="s">
        <v>59</v>
      </c>
      <c r="B6" s="7" t="s">
        <v>60</v>
      </c>
      <c r="C6" s="7" t="s">
        <v>61</v>
      </c>
      <c r="D6" s="7" t="str">
        <f>"0,5543"</f>
        <v>0,5543</v>
      </c>
      <c r="E6" s="7" t="s">
        <v>45</v>
      </c>
      <c r="F6" s="7" t="s">
        <v>46</v>
      </c>
      <c r="G6" s="9" t="s">
        <v>539</v>
      </c>
      <c r="H6" s="9" t="s">
        <v>620</v>
      </c>
      <c r="I6" s="9" t="s">
        <v>621</v>
      </c>
      <c r="J6" s="8"/>
      <c r="K6" s="20" t="str">
        <f>"27,0"</f>
        <v>27,0</v>
      </c>
      <c r="L6" s="21" t="str">
        <f>"14,9648"</f>
        <v>14,9648</v>
      </c>
      <c r="M6" s="7" t="s">
        <v>24</v>
      </c>
    </row>
    <row r="8" spans="1:13" ht="15">
      <c r="E8" s="18" t="s">
        <v>63</v>
      </c>
      <c r="F8" s="40" t="s">
        <v>693</v>
      </c>
    </row>
    <row r="9" spans="1:13" ht="15">
      <c r="E9" s="18" t="s">
        <v>64</v>
      </c>
      <c r="F9" s="40" t="s">
        <v>694</v>
      </c>
    </row>
    <row r="10" spans="1:13" ht="15">
      <c r="E10" s="18" t="s">
        <v>65</v>
      </c>
      <c r="F10" s="40" t="s">
        <v>695</v>
      </c>
    </row>
    <row r="11" spans="1:13" ht="15">
      <c r="E11" s="18" t="s">
        <v>66</v>
      </c>
      <c r="F11" s="40" t="s">
        <v>696</v>
      </c>
    </row>
    <row r="12" spans="1:13" ht="15">
      <c r="E12" s="18" t="s">
        <v>66</v>
      </c>
      <c r="F12" s="40" t="s">
        <v>697</v>
      </c>
    </row>
    <row r="13" spans="1:13" ht="15">
      <c r="E13" s="18"/>
    </row>
    <row r="14" spans="1:13" ht="15">
      <c r="E14" s="18"/>
    </row>
    <row r="16" spans="1:13" ht="18">
      <c r="A16" s="26" t="s">
        <v>67</v>
      </c>
      <c r="B16" s="26"/>
    </row>
    <row r="17" spans="1:5" ht="15">
      <c r="A17" s="27" t="s">
        <v>68</v>
      </c>
      <c r="B17" s="27"/>
    </row>
    <row r="18" spans="1:5" ht="14.25">
      <c r="A18" s="29"/>
      <c r="B18" s="30" t="s">
        <v>69</v>
      </c>
    </row>
    <row r="19" spans="1:5" ht="15">
      <c r="A19" s="31" t="s">
        <v>70</v>
      </c>
      <c r="B19" s="31" t="s">
        <v>71</v>
      </c>
      <c r="C19" s="31" t="s">
        <v>72</v>
      </c>
      <c r="D19" s="31" t="s">
        <v>74</v>
      </c>
      <c r="E19" s="31" t="s">
        <v>612</v>
      </c>
    </row>
    <row r="20" spans="1:5">
      <c r="A20" s="28" t="s">
        <v>58</v>
      </c>
      <c r="B20" s="4" t="s">
        <v>69</v>
      </c>
      <c r="C20" s="4" t="s">
        <v>76</v>
      </c>
      <c r="D20" s="4" t="s">
        <v>621</v>
      </c>
      <c r="E20" s="19" t="s">
        <v>622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20"/>
  <sheetViews>
    <sheetView workbookViewId="0">
      <selection activeCell="E13" sqref="E13"/>
    </sheetView>
  </sheetViews>
  <sheetFormatPr defaultRowHeight="12.75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9.85546875" style="4" bestFit="1" customWidth="1"/>
    <col min="7" max="10" width="5.5703125" style="3" customWidth="1"/>
    <col min="11" max="11" width="7.85546875" style="19" bestFit="1" customWidth="1"/>
    <col min="12" max="12" width="7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53" t="s">
        <v>617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.1" customHeight="1" thickBot="1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>
      <c r="A3" s="59" t="s">
        <v>0</v>
      </c>
      <c r="B3" s="61" t="s">
        <v>6</v>
      </c>
      <c r="C3" s="61" t="s">
        <v>10</v>
      </c>
      <c r="D3" s="47" t="s">
        <v>602</v>
      </c>
      <c r="E3" s="47" t="s">
        <v>4</v>
      </c>
      <c r="F3" s="47" t="s">
        <v>7</v>
      </c>
      <c r="G3" s="47" t="s">
        <v>603</v>
      </c>
      <c r="H3" s="47"/>
      <c r="I3" s="47"/>
      <c r="J3" s="47"/>
      <c r="K3" s="47" t="s">
        <v>91</v>
      </c>
      <c r="L3" s="47" t="s">
        <v>3</v>
      </c>
      <c r="M3" s="49" t="s">
        <v>2</v>
      </c>
    </row>
    <row r="4" spans="1:13" s="1" customFormat="1" ht="21" customHeight="1" thickBot="1">
      <c r="A4" s="60"/>
      <c r="B4" s="48"/>
      <c r="C4" s="48"/>
      <c r="D4" s="48"/>
      <c r="E4" s="48"/>
      <c r="F4" s="48"/>
      <c r="G4" s="6">
        <v>1</v>
      </c>
      <c r="H4" s="6">
        <v>2</v>
      </c>
      <c r="I4" s="6">
        <v>3</v>
      </c>
      <c r="J4" s="6" t="s">
        <v>5</v>
      </c>
      <c r="K4" s="48"/>
      <c r="L4" s="48"/>
      <c r="M4" s="50"/>
    </row>
    <row r="5" spans="1:13" ht="15">
      <c r="A5" s="51" t="s">
        <v>57</v>
      </c>
      <c r="B5" s="52"/>
      <c r="C5" s="52"/>
      <c r="D5" s="52"/>
      <c r="E5" s="52"/>
      <c r="F5" s="52"/>
      <c r="G5" s="52"/>
      <c r="H5" s="52"/>
      <c r="I5" s="52"/>
      <c r="J5" s="52"/>
    </row>
    <row r="6" spans="1:13">
      <c r="A6" s="7" t="s">
        <v>59</v>
      </c>
      <c r="B6" s="7" t="s">
        <v>60</v>
      </c>
      <c r="C6" s="7" t="s">
        <v>61</v>
      </c>
      <c r="D6" s="7" t="str">
        <f>"0,5543"</f>
        <v>0,5543</v>
      </c>
      <c r="E6" s="7" t="s">
        <v>45</v>
      </c>
      <c r="F6" s="7" t="s">
        <v>46</v>
      </c>
      <c r="G6" s="9" t="s">
        <v>154</v>
      </c>
      <c r="H6" s="9" t="s">
        <v>411</v>
      </c>
      <c r="I6" s="9" t="s">
        <v>47</v>
      </c>
      <c r="J6" s="9" t="s">
        <v>55</v>
      </c>
      <c r="K6" s="20" t="str">
        <f>"160,0"</f>
        <v>160,0</v>
      </c>
      <c r="L6" s="21" t="str">
        <f>"88,6800"</f>
        <v>88,6800</v>
      </c>
      <c r="M6" s="7" t="s">
        <v>24</v>
      </c>
    </row>
    <row r="8" spans="1:13" ht="15">
      <c r="E8" s="18" t="s">
        <v>63</v>
      </c>
      <c r="F8" s="40" t="s">
        <v>693</v>
      </c>
    </row>
    <row r="9" spans="1:13" ht="15">
      <c r="E9" s="18" t="s">
        <v>64</v>
      </c>
      <c r="F9" s="40" t="s">
        <v>694</v>
      </c>
    </row>
    <row r="10" spans="1:13" ht="15">
      <c r="E10" s="18" t="s">
        <v>65</v>
      </c>
      <c r="F10" s="40" t="s">
        <v>695</v>
      </c>
    </row>
    <row r="11" spans="1:13" ht="15">
      <c r="E11" s="18" t="s">
        <v>66</v>
      </c>
      <c r="F11" s="40" t="s">
        <v>696</v>
      </c>
    </row>
    <row r="12" spans="1:13" ht="15">
      <c r="E12" s="18" t="s">
        <v>66</v>
      </c>
      <c r="F12" s="40" t="s">
        <v>697</v>
      </c>
    </row>
    <row r="13" spans="1:13" ht="15">
      <c r="E13" s="18"/>
    </row>
    <row r="14" spans="1:13" ht="15">
      <c r="E14" s="18"/>
    </row>
    <row r="16" spans="1:13" ht="18">
      <c r="A16" s="26" t="s">
        <v>67</v>
      </c>
      <c r="B16" s="26"/>
    </row>
    <row r="17" spans="1:5" ht="15">
      <c r="A17" s="27" t="s">
        <v>68</v>
      </c>
      <c r="B17" s="27"/>
    </row>
    <row r="18" spans="1:5" ht="14.25">
      <c r="A18" s="29"/>
      <c r="B18" s="30" t="s">
        <v>69</v>
      </c>
    </row>
    <row r="19" spans="1:5" ht="15">
      <c r="A19" s="31" t="s">
        <v>70</v>
      </c>
      <c r="B19" s="31" t="s">
        <v>71</v>
      </c>
      <c r="C19" s="31" t="s">
        <v>72</v>
      </c>
      <c r="D19" s="31" t="s">
        <v>74</v>
      </c>
      <c r="E19" s="31" t="s">
        <v>612</v>
      </c>
    </row>
    <row r="20" spans="1:5">
      <c r="A20" s="28" t="s">
        <v>58</v>
      </c>
      <c r="B20" s="4" t="s">
        <v>69</v>
      </c>
      <c r="C20" s="4" t="s">
        <v>76</v>
      </c>
      <c r="D20" s="4" t="s">
        <v>55</v>
      </c>
      <c r="E20" s="19" t="s">
        <v>618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M27"/>
  <sheetViews>
    <sheetView workbookViewId="0">
      <selection activeCell="E16" sqref="E16"/>
    </sheetView>
  </sheetViews>
  <sheetFormatPr defaultRowHeight="12.75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9.85546875" style="4" bestFit="1" customWidth="1"/>
    <col min="7" max="9" width="4.5703125" style="3" customWidth="1"/>
    <col min="10" max="10" width="4.85546875" style="3" customWidth="1"/>
    <col min="11" max="11" width="7.85546875" style="19" bestFit="1" customWidth="1"/>
    <col min="12" max="12" width="7.5703125" style="2" bestFit="1" customWidth="1"/>
    <col min="13" max="13" width="21.42578125" style="4" bestFit="1" customWidth="1"/>
    <col min="14" max="16384" width="9.140625" style="3"/>
  </cols>
  <sheetData>
    <row r="1" spans="1:13" s="2" customFormat="1" ht="29.1" customHeight="1">
      <c r="A1" s="53" t="s">
        <v>601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.1" customHeight="1" thickBot="1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>
      <c r="A3" s="59" t="s">
        <v>0</v>
      </c>
      <c r="B3" s="61" t="s">
        <v>6</v>
      </c>
      <c r="C3" s="61" t="s">
        <v>10</v>
      </c>
      <c r="D3" s="47" t="s">
        <v>602</v>
      </c>
      <c r="E3" s="47" t="s">
        <v>4</v>
      </c>
      <c r="F3" s="47" t="s">
        <v>7</v>
      </c>
      <c r="G3" s="47" t="s">
        <v>603</v>
      </c>
      <c r="H3" s="47"/>
      <c r="I3" s="47"/>
      <c r="J3" s="47"/>
      <c r="K3" s="47" t="s">
        <v>91</v>
      </c>
      <c r="L3" s="47" t="s">
        <v>3</v>
      </c>
      <c r="M3" s="49" t="s">
        <v>2</v>
      </c>
    </row>
    <row r="4" spans="1:13" s="1" customFormat="1" ht="21" customHeight="1" thickBot="1">
      <c r="A4" s="60"/>
      <c r="B4" s="48"/>
      <c r="C4" s="48"/>
      <c r="D4" s="48"/>
      <c r="E4" s="48"/>
      <c r="F4" s="48"/>
      <c r="G4" s="6">
        <v>1</v>
      </c>
      <c r="H4" s="6">
        <v>2</v>
      </c>
      <c r="I4" s="6">
        <v>3</v>
      </c>
      <c r="J4" s="6" t="s">
        <v>5</v>
      </c>
      <c r="K4" s="48"/>
      <c r="L4" s="48"/>
      <c r="M4" s="50"/>
    </row>
    <row r="5" spans="1:13" ht="15">
      <c r="A5" s="51" t="s">
        <v>604</v>
      </c>
      <c r="B5" s="52"/>
      <c r="C5" s="52"/>
      <c r="D5" s="52"/>
      <c r="E5" s="52"/>
      <c r="F5" s="52"/>
      <c r="G5" s="52"/>
      <c r="H5" s="52"/>
      <c r="I5" s="52"/>
      <c r="J5" s="52"/>
    </row>
    <row r="6" spans="1:13">
      <c r="A6" s="7" t="s">
        <v>606</v>
      </c>
      <c r="B6" s="7" t="s">
        <v>607</v>
      </c>
      <c r="C6" s="7" t="s">
        <v>608</v>
      </c>
      <c r="D6" s="7" t="str">
        <f>"0,7110"</f>
        <v>0,7110</v>
      </c>
      <c r="E6" s="7" t="s">
        <v>609</v>
      </c>
      <c r="F6" s="7" t="s">
        <v>20</v>
      </c>
      <c r="G6" s="9" t="s">
        <v>610</v>
      </c>
      <c r="H6" s="9" t="s">
        <v>598</v>
      </c>
      <c r="I6" s="9" t="s">
        <v>113</v>
      </c>
      <c r="J6" s="8"/>
      <c r="K6" s="20" t="str">
        <f>"50,0"</f>
        <v>50,0</v>
      </c>
      <c r="L6" s="21" t="str">
        <f>"52,6103"</f>
        <v>52,6103</v>
      </c>
      <c r="M6" s="7" t="s">
        <v>611</v>
      </c>
    </row>
    <row r="8" spans="1:13" ht="15">
      <c r="A8" s="62" t="s">
        <v>57</v>
      </c>
      <c r="B8" s="62"/>
      <c r="C8" s="62"/>
      <c r="D8" s="62"/>
      <c r="E8" s="62"/>
      <c r="F8" s="62"/>
      <c r="G8" s="62"/>
      <c r="H8" s="62"/>
      <c r="I8" s="62"/>
      <c r="J8" s="62"/>
    </row>
    <row r="9" spans="1:13">
      <c r="A9" s="7" t="s">
        <v>59</v>
      </c>
      <c r="B9" s="7" t="s">
        <v>60</v>
      </c>
      <c r="C9" s="7" t="s">
        <v>61</v>
      </c>
      <c r="D9" s="7" t="str">
        <f>"0,5543"</f>
        <v>0,5543</v>
      </c>
      <c r="E9" s="7" t="s">
        <v>45</v>
      </c>
      <c r="F9" s="7" t="s">
        <v>46</v>
      </c>
      <c r="G9" s="9" t="s">
        <v>113</v>
      </c>
      <c r="H9" s="9" t="s">
        <v>139</v>
      </c>
      <c r="I9" s="9" t="s">
        <v>140</v>
      </c>
      <c r="J9" s="8" t="s">
        <v>249</v>
      </c>
      <c r="K9" s="20" t="str">
        <f>"70,0"</f>
        <v>70,0</v>
      </c>
      <c r="L9" s="21" t="str">
        <f>"38,7975"</f>
        <v>38,7975</v>
      </c>
      <c r="M9" s="7" t="s">
        <v>24</v>
      </c>
    </row>
    <row r="11" spans="1:13" ht="15">
      <c r="E11" s="18" t="s">
        <v>63</v>
      </c>
      <c r="F11" s="40" t="s">
        <v>693</v>
      </c>
    </row>
    <row r="12" spans="1:13" ht="15">
      <c r="E12" s="18" t="s">
        <v>64</v>
      </c>
      <c r="F12" s="40" t="s">
        <v>694</v>
      </c>
    </row>
    <row r="13" spans="1:13" ht="15">
      <c r="E13" s="18" t="s">
        <v>65</v>
      </c>
      <c r="F13" s="40" t="s">
        <v>695</v>
      </c>
    </row>
    <row r="14" spans="1:13" ht="15">
      <c r="E14" s="18" t="s">
        <v>66</v>
      </c>
      <c r="F14" s="40" t="s">
        <v>696</v>
      </c>
    </row>
    <row r="15" spans="1:13" ht="15">
      <c r="E15" s="18" t="s">
        <v>66</v>
      </c>
      <c r="F15" s="40" t="s">
        <v>697</v>
      </c>
    </row>
    <row r="16" spans="1:13" ht="15">
      <c r="E16" s="18"/>
    </row>
    <row r="17" spans="1:5" ht="15">
      <c r="E17" s="18"/>
    </row>
    <row r="19" spans="1:5" ht="18">
      <c r="A19" s="26" t="s">
        <v>67</v>
      </c>
      <c r="B19" s="26"/>
    </row>
    <row r="20" spans="1:5" ht="15">
      <c r="A20" s="27" t="s">
        <v>68</v>
      </c>
      <c r="B20" s="27"/>
    </row>
    <row r="21" spans="1:5" ht="14.25">
      <c r="A21" s="29"/>
      <c r="B21" s="30" t="s">
        <v>69</v>
      </c>
    </row>
    <row r="22" spans="1:5" ht="15">
      <c r="A22" s="31" t="s">
        <v>70</v>
      </c>
      <c r="B22" s="31" t="s">
        <v>71</v>
      </c>
      <c r="C22" s="31" t="s">
        <v>72</v>
      </c>
      <c r="D22" s="31" t="s">
        <v>74</v>
      </c>
      <c r="E22" s="31" t="s">
        <v>612</v>
      </c>
    </row>
    <row r="23" spans="1:5">
      <c r="A23" s="28" t="s">
        <v>58</v>
      </c>
      <c r="B23" s="4" t="s">
        <v>69</v>
      </c>
      <c r="C23" s="4" t="s">
        <v>76</v>
      </c>
      <c r="D23" s="4" t="s">
        <v>140</v>
      </c>
      <c r="E23" s="19" t="s">
        <v>613</v>
      </c>
    </row>
    <row r="25" spans="1:5" ht="14.25">
      <c r="A25" s="29"/>
      <c r="B25" s="30" t="s">
        <v>80</v>
      </c>
    </row>
    <row r="26" spans="1:5" ht="15">
      <c r="A26" s="31" t="s">
        <v>70</v>
      </c>
      <c r="B26" s="31" t="s">
        <v>71</v>
      </c>
      <c r="C26" s="31" t="s">
        <v>72</v>
      </c>
      <c r="D26" s="31" t="s">
        <v>74</v>
      </c>
      <c r="E26" s="31" t="s">
        <v>612</v>
      </c>
    </row>
    <row r="27" spans="1:5">
      <c r="A27" s="28" t="s">
        <v>605</v>
      </c>
      <c r="B27" s="4" t="s">
        <v>614</v>
      </c>
      <c r="C27" s="4" t="s">
        <v>615</v>
      </c>
      <c r="D27" s="4" t="s">
        <v>113</v>
      </c>
      <c r="E27" s="19" t="s">
        <v>616</v>
      </c>
    </row>
  </sheetData>
  <mergeCells count="13">
    <mergeCell ref="A1:M2"/>
    <mergeCell ref="A3:A4"/>
    <mergeCell ref="B3:B4"/>
    <mergeCell ref="C3:C4"/>
    <mergeCell ref="D3:D4"/>
    <mergeCell ref="E3:E4"/>
    <mergeCell ref="F3:F4"/>
    <mergeCell ref="G3:J3"/>
    <mergeCell ref="A8:J8"/>
    <mergeCell ref="K3:K4"/>
    <mergeCell ref="L3:L4"/>
    <mergeCell ref="M3:M4"/>
    <mergeCell ref="A5:J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E13" sqref="E13"/>
    </sheetView>
  </sheetViews>
  <sheetFormatPr defaultRowHeight="12.75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17.28515625" style="4" bestFit="1" customWidth="1"/>
    <col min="7" max="7" width="5" style="3" customWidth="1"/>
    <col min="8" max="8" width="10.42578125" style="3" customWidth="1"/>
    <col min="9" max="9" width="7.85546875" style="19" bestFit="1" customWidth="1"/>
    <col min="10" max="10" width="7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>
      <c r="A1" s="53" t="s">
        <v>597</v>
      </c>
      <c r="B1" s="54"/>
      <c r="C1" s="54"/>
      <c r="D1" s="54"/>
      <c r="E1" s="54"/>
      <c r="F1" s="54"/>
      <c r="G1" s="54"/>
      <c r="H1" s="54"/>
      <c r="I1" s="54"/>
      <c r="J1" s="54"/>
      <c r="K1" s="55"/>
    </row>
    <row r="2" spans="1:11" s="2" customFormat="1" ht="62.1" customHeight="1" thickBot="1">
      <c r="A2" s="56"/>
      <c r="B2" s="57"/>
      <c r="C2" s="57"/>
      <c r="D2" s="57"/>
      <c r="E2" s="57"/>
      <c r="F2" s="57"/>
      <c r="G2" s="57"/>
      <c r="H2" s="57"/>
      <c r="I2" s="57"/>
      <c r="J2" s="57"/>
      <c r="K2" s="58"/>
    </row>
    <row r="3" spans="1:11" s="1" customFormat="1" ht="12.75" customHeight="1">
      <c r="A3" s="59" t="s">
        <v>0</v>
      </c>
      <c r="B3" s="61" t="s">
        <v>6</v>
      </c>
      <c r="C3" s="61" t="s">
        <v>10</v>
      </c>
      <c r="D3" s="47" t="s">
        <v>583</v>
      </c>
      <c r="E3" s="47" t="s">
        <v>4</v>
      </c>
      <c r="F3" s="47" t="s">
        <v>7</v>
      </c>
      <c r="G3" s="47" t="s">
        <v>584</v>
      </c>
      <c r="H3" s="47"/>
      <c r="I3" s="47" t="s">
        <v>455</v>
      </c>
      <c r="J3" s="47" t="s">
        <v>3</v>
      </c>
      <c r="K3" s="49" t="s">
        <v>2</v>
      </c>
    </row>
    <row r="4" spans="1:11" s="1" customFormat="1" ht="21" customHeight="1" thickBot="1">
      <c r="A4" s="60"/>
      <c r="B4" s="48"/>
      <c r="C4" s="48"/>
      <c r="D4" s="48"/>
      <c r="E4" s="48"/>
      <c r="F4" s="48"/>
      <c r="G4" s="6" t="s">
        <v>8</v>
      </c>
      <c r="H4" s="6" t="s">
        <v>9</v>
      </c>
      <c r="I4" s="48"/>
      <c r="J4" s="48"/>
      <c r="K4" s="50"/>
    </row>
    <row r="5" spans="1:11" ht="15">
      <c r="A5" s="51" t="s">
        <v>585</v>
      </c>
      <c r="B5" s="52"/>
      <c r="C5" s="52"/>
      <c r="D5" s="52"/>
      <c r="E5" s="52"/>
      <c r="F5" s="52"/>
      <c r="G5" s="52"/>
      <c r="H5" s="52"/>
    </row>
    <row r="6" spans="1:11">
      <c r="A6" s="7" t="s">
        <v>27</v>
      </c>
      <c r="B6" s="7" t="s">
        <v>28</v>
      </c>
      <c r="C6" s="7" t="s">
        <v>29</v>
      </c>
      <c r="D6" s="7" t="str">
        <f>"1,0000"</f>
        <v>1,0000</v>
      </c>
      <c r="E6" s="7" t="s">
        <v>30</v>
      </c>
      <c r="F6" s="7" t="s">
        <v>31</v>
      </c>
      <c r="G6" s="9" t="s">
        <v>115</v>
      </c>
      <c r="H6" s="9" t="s">
        <v>598</v>
      </c>
      <c r="I6" s="20" t="str">
        <f>"2640,0"</f>
        <v>2640,0</v>
      </c>
      <c r="J6" s="21" t="str">
        <f>"29,4807"</f>
        <v>29,4807</v>
      </c>
      <c r="K6" s="7" t="s">
        <v>24</v>
      </c>
    </row>
    <row r="8" spans="1:11" ht="15">
      <c r="E8" s="18" t="s">
        <v>63</v>
      </c>
      <c r="F8" s="40" t="s">
        <v>693</v>
      </c>
    </row>
    <row r="9" spans="1:11" ht="15">
      <c r="E9" s="18" t="s">
        <v>64</v>
      </c>
      <c r="F9" s="40" t="s">
        <v>694</v>
      </c>
    </row>
    <row r="10" spans="1:11" ht="15">
      <c r="E10" s="18" t="s">
        <v>65</v>
      </c>
      <c r="F10" s="40" t="s">
        <v>695</v>
      </c>
    </row>
    <row r="11" spans="1:11" ht="15">
      <c r="E11" s="18" t="s">
        <v>66</v>
      </c>
      <c r="F11" s="40" t="s">
        <v>696</v>
      </c>
    </row>
    <row r="12" spans="1:11" ht="15">
      <c r="E12" s="18" t="s">
        <v>66</v>
      </c>
      <c r="F12" s="40" t="s">
        <v>697</v>
      </c>
    </row>
    <row r="13" spans="1:11" ht="15">
      <c r="E13" s="18"/>
    </row>
    <row r="14" spans="1:11" ht="15">
      <c r="E14" s="18"/>
    </row>
    <row r="16" spans="1:11" ht="18">
      <c r="A16" s="26" t="s">
        <v>67</v>
      </c>
      <c r="B16" s="26"/>
    </row>
    <row r="17" spans="1:5" ht="15">
      <c r="A17" s="27" t="s">
        <v>68</v>
      </c>
      <c r="B17" s="27"/>
    </row>
    <row r="18" spans="1:5" ht="14.25">
      <c r="A18" s="29"/>
      <c r="B18" s="30" t="s">
        <v>80</v>
      </c>
    </row>
    <row r="19" spans="1:5" ht="15">
      <c r="A19" s="31" t="s">
        <v>70</v>
      </c>
      <c r="B19" s="31" t="s">
        <v>71</v>
      </c>
      <c r="C19" s="31" t="s">
        <v>72</v>
      </c>
      <c r="D19" s="31" t="s">
        <v>74</v>
      </c>
      <c r="E19" s="31" t="s">
        <v>593</v>
      </c>
    </row>
    <row r="20" spans="1:5">
      <c r="A20" s="28" t="s">
        <v>26</v>
      </c>
      <c r="B20" s="4" t="s">
        <v>86</v>
      </c>
      <c r="C20" s="4" t="s">
        <v>594</v>
      </c>
      <c r="D20" s="4" t="s">
        <v>599</v>
      </c>
      <c r="E20" s="19" t="s">
        <v>600</v>
      </c>
    </row>
  </sheetData>
  <mergeCells count="12"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  <mergeCell ref="A5:H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K25"/>
  <sheetViews>
    <sheetView workbookViewId="0">
      <selection activeCell="E14" sqref="E14"/>
    </sheetView>
  </sheetViews>
  <sheetFormatPr defaultRowHeight="12.75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32.28515625" style="4" bestFit="1" customWidth="1"/>
    <col min="6" max="6" width="29" style="4" bestFit="1" customWidth="1"/>
    <col min="7" max="7" width="5" style="3" customWidth="1"/>
    <col min="8" max="8" width="10.42578125" style="3" customWidth="1"/>
    <col min="9" max="9" width="7.85546875" style="19" bestFit="1" customWidth="1"/>
    <col min="10" max="10" width="7.5703125" style="2" bestFit="1" customWidth="1"/>
    <col min="11" max="11" width="20.7109375" style="4" bestFit="1" customWidth="1"/>
    <col min="12" max="16384" width="9.140625" style="3"/>
  </cols>
  <sheetData>
    <row r="1" spans="1:11" s="2" customFormat="1" ht="29.1" customHeight="1">
      <c r="A1" s="53" t="s">
        <v>582</v>
      </c>
      <c r="B1" s="54"/>
      <c r="C1" s="54"/>
      <c r="D1" s="54"/>
      <c r="E1" s="54"/>
      <c r="F1" s="54"/>
      <c r="G1" s="54"/>
      <c r="H1" s="54"/>
      <c r="I1" s="54"/>
      <c r="J1" s="54"/>
      <c r="K1" s="55"/>
    </row>
    <row r="2" spans="1:11" s="2" customFormat="1" ht="62.1" customHeight="1" thickBot="1">
      <c r="A2" s="56"/>
      <c r="B2" s="57"/>
      <c r="C2" s="57"/>
      <c r="D2" s="57"/>
      <c r="E2" s="57"/>
      <c r="F2" s="57"/>
      <c r="G2" s="57"/>
      <c r="H2" s="57"/>
      <c r="I2" s="57"/>
      <c r="J2" s="57"/>
      <c r="K2" s="58"/>
    </row>
    <row r="3" spans="1:11" s="1" customFormat="1" ht="12.75" customHeight="1">
      <c r="A3" s="59" t="s">
        <v>0</v>
      </c>
      <c r="B3" s="61" t="s">
        <v>6</v>
      </c>
      <c r="C3" s="61" t="s">
        <v>10</v>
      </c>
      <c r="D3" s="47" t="s">
        <v>583</v>
      </c>
      <c r="E3" s="47" t="s">
        <v>4</v>
      </c>
      <c r="F3" s="47" t="s">
        <v>7</v>
      </c>
      <c r="G3" s="47" t="s">
        <v>584</v>
      </c>
      <c r="H3" s="47"/>
      <c r="I3" s="47" t="s">
        <v>455</v>
      </c>
      <c r="J3" s="47" t="s">
        <v>3</v>
      </c>
      <c r="K3" s="49" t="s">
        <v>2</v>
      </c>
    </row>
    <row r="4" spans="1:11" s="1" customFormat="1" ht="21" customHeight="1" thickBot="1">
      <c r="A4" s="60"/>
      <c r="B4" s="48"/>
      <c r="C4" s="48"/>
      <c r="D4" s="48"/>
      <c r="E4" s="48"/>
      <c r="F4" s="48"/>
      <c r="G4" s="6" t="s">
        <v>8</v>
      </c>
      <c r="H4" s="6" t="s">
        <v>9</v>
      </c>
      <c r="I4" s="48"/>
      <c r="J4" s="48"/>
      <c r="K4" s="50"/>
    </row>
    <row r="5" spans="1:11" ht="15">
      <c r="A5" s="51" t="s">
        <v>585</v>
      </c>
      <c r="B5" s="52"/>
      <c r="C5" s="52"/>
      <c r="D5" s="52"/>
      <c r="E5" s="52"/>
      <c r="F5" s="52"/>
      <c r="G5" s="52"/>
      <c r="H5" s="52"/>
    </row>
    <row r="6" spans="1:11">
      <c r="A6" s="12" t="s">
        <v>587</v>
      </c>
      <c r="B6" s="12" t="s">
        <v>588</v>
      </c>
      <c r="C6" s="12" t="s">
        <v>589</v>
      </c>
      <c r="D6" s="12" t="str">
        <f>"1,0000"</f>
        <v>1,0000</v>
      </c>
      <c r="E6" s="12" t="s">
        <v>37</v>
      </c>
      <c r="F6" s="12" t="s">
        <v>590</v>
      </c>
      <c r="G6" s="14" t="s">
        <v>377</v>
      </c>
      <c r="H6" s="14" t="s">
        <v>122</v>
      </c>
      <c r="I6" s="22" t="str">
        <f>"7500,0"</f>
        <v>7500,0</v>
      </c>
      <c r="J6" s="23" t="str">
        <f>"80,2139"</f>
        <v>80,2139</v>
      </c>
      <c r="K6" s="12" t="s">
        <v>591</v>
      </c>
    </row>
    <row r="7" spans="1:11">
      <c r="A7" s="15" t="s">
        <v>587</v>
      </c>
      <c r="B7" s="15" t="s">
        <v>592</v>
      </c>
      <c r="C7" s="15" t="s">
        <v>589</v>
      </c>
      <c r="D7" s="15" t="str">
        <f>"1,0000"</f>
        <v>1,0000</v>
      </c>
      <c r="E7" s="15" t="s">
        <v>37</v>
      </c>
      <c r="F7" s="15" t="s">
        <v>590</v>
      </c>
      <c r="G7" s="17" t="s">
        <v>377</v>
      </c>
      <c r="H7" s="17" t="s">
        <v>122</v>
      </c>
      <c r="I7" s="24" t="str">
        <f>"7500,0"</f>
        <v>7500,0</v>
      </c>
      <c r="J7" s="25" t="str">
        <f>"80,2139"</f>
        <v>80,2139</v>
      </c>
      <c r="K7" s="15" t="s">
        <v>591</v>
      </c>
    </row>
    <row r="9" spans="1:11" ht="15">
      <c r="E9" s="18" t="s">
        <v>63</v>
      </c>
      <c r="F9" s="40" t="s">
        <v>693</v>
      </c>
    </row>
    <row r="10" spans="1:11" ht="15">
      <c r="E10" s="18" t="s">
        <v>64</v>
      </c>
      <c r="F10" s="40" t="s">
        <v>694</v>
      </c>
    </row>
    <row r="11" spans="1:11" ht="15">
      <c r="E11" s="18" t="s">
        <v>65</v>
      </c>
      <c r="F11" s="40" t="s">
        <v>695</v>
      </c>
    </row>
    <row r="12" spans="1:11" ht="15">
      <c r="E12" s="18" t="s">
        <v>66</v>
      </c>
      <c r="F12" s="40" t="s">
        <v>696</v>
      </c>
    </row>
    <row r="13" spans="1:11" ht="15">
      <c r="E13" s="18" t="s">
        <v>66</v>
      </c>
      <c r="F13" s="40" t="s">
        <v>697</v>
      </c>
    </row>
    <row r="14" spans="1:11" ht="15">
      <c r="E14" s="18"/>
    </row>
    <row r="15" spans="1:11" ht="15">
      <c r="E15" s="18"/>
    </row>
    <row r="17" spans="1:5" ht="18">
      <c r="A17" s="26" t="s">
        <v>67</v>
      </c>
      <c r="B17" s="26"/>
    </row>
    <row r="18" spans="1:5" ht="15">
      <c r="A18" s="27" t="s">
        <v>68</v>
      </c>
      <c r="B18" s="27"/>
    </row>
    <row r="19" spans="1:5" ht="14.25">
      <c r="A19" s="29"/>
      <c r="B19" s="30" t="s">
        <v>69</v>
      </c>
    </row>
    <row r="20" spans="1:5" ht="15">
      <c r="A20" s="31" t="s">
        <v>70</v>
      </c>
      <c r="B20" s="31" t="s">
        <v>71</v>
      </c>
      <c r="C20" s="31" t="s">
        <v>72</v>
      </c>
      <c r="D20" s="31" t="s">
        <v>74</v>
      </c>
      <c r="E20" s="31" t="s">
        <v>593</v>
      </c>
    </row>
    <row r="21" spans="1:5">
      <c r="A21" s="28" t="s">
        <v>586</v>
      </c>
      <c r="B21" s="4" t="s">
        <v>69</v>
      </c>
      <c r="C21" s="4" t="s">
        <v>594</v>
      </c>
      <c r="D21" s="4" t="s">
        <v>595</v>
      </c>
      <c r="E21" s="19" t="s">
        <v>596</v>
      </c>
    </row>
    <row r="23" spans="1:5" ht="14.25">
      <c r="A23" s="29"/>
      <c r="B23" s="30" t="s">
        <v>80</v>
      </c>
    </row>
    <row r="24" spans="1:5" ht="15">
      <c r="A24" s="31" t="s">
        <v>70</v>
      </c>
      <c r="B24" s="31" t="s">
        <v>71</v>
      </c>
      <c r="C24" s="31" t="s">
        <v>72</v>
      </c>
      <c r="D24" s="31" t="s">
        <v>74</v>
      </c>
      <c r="E24" s="31" t="s">
        <v>593</v>
      </c>
    </row>
    <row r="25" spans="1:5">
      <c r="A25" s="28" t="s">
        <v>586</v>
      </c>
      <c r="B25" s="4" t="s">
        <v>215</v>
      </c>
      <c r="C25" s="4" t="s">
        <v>594</v>
      </c>
      <c r="D25" s="4" t="s">
        <v>595</v>
      </c>
      <c r="E25" s="19" t="s">
        <v>596</v>
      </c>
    </row>
  </sheetData>
  <mergeCells count="12"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  <mergeCell ref="A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30</vt:i4>
      </vt:variant>
    </vt:vector>
  </HeadingPairs>
  <TitlesOfParts>
    <vt:vector size="30" baseType="lpstr">
      <vt:lpstr>Любители В.Ж. м.повт. 1_2</vt:lpstr>
      <vt:lpstr>Люб. народный жим 1_2 вес</vt:lpstr>
      <vt:lpstr>Excalibur</vt:lpstr>
      <vt:lpstr>Rus brick</vt:lpstr>
      <vt:lpstr>Rus HUB</vt:lpstr>
      <vt:lpstr>Rus Axle</vt:lpstr>
      <vt:lpstr>Rus Roullette</vt:lpstr>
      <vt:lpstr>РЖ любители 55 кг.</vt:lpstr>
      <vt:lpstr>РЖ Проф 75 кг.</vt:lpstr>
      <vt:lpstr>Пауэрспорт Профессионалы</vt:lpstr>
      <vt:lpstr>Пауэрспорт Любители</vt:lpstr>
      <vt:lpstr>Бицепс Профессионалы</vt:lpstr>
      <vt:lpstr>Бицепс Любители</vt:lpstr>
      <vt:lpstr>Жим стоя Профессионалы</vt:lpstr>
      <vt:lpstr>Жим стоя Любители</vt:lpstr>
      <vt:lpstr>Русский бицепс ПРО</vt:lpstr>
      <vt:lpstr>ПРО В.Ж. многоповторный</vt:lpstr>
      <vt:lpstr>Двоеборье проф.</vt:lpstr>
      <vt:lpstr>Люб. ЖД</vt:lpstr>
      <vt:lpstr>Двоеборье люб</vt:lpstr>
      <vt:lpstr>ПРО тяга б.э.</vt:lpstr>
      <vt:lpstr>Люб. тяга б.э.</vt:lpstr>
      <vt:lpstr>ПРО жим софт мн.петельная</vt:lpstr>
      <vt:lpstr>Люб. жим софт мн.петельная</vt:lpstr>
      <vt:lpstr>ПРО жим софт 1 петельная</vt:lpstr>
      <vt:lpstr>Люб. жим 1 петельная</vt:lpstr>
      <vt:lpstr>ПРО жим б.э.</vt:lpstr>
      <vt:lpstr>Люб. жим б.э.</vt:lpstr>
      <vt:lpstr>ПРО Военный жим класс.</vt:lpstr>
      <vt:lpstr>Люб. Военный жим класс.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DenisOlga</cp:lastModifiedBy>
  <cp:lastPrinted>2015-07-16T19:10:53Z</cp:lastPrinted>
  <dcterms:created xsi:type="dcterms:W3CDTF">2002-06-16T13:36:44Z</dcterms:created>
  <dcterms:modified xsi:type="dcterms:W3CDTF">2020-10-29T21:18:18Z</dcterms:modified>
</cp:coreProperties>
</file>