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Декабрь/"/>
    </mc:Choice>
  </mc:AlternateContent>
  <xr:revisionPtr revIDLastSave="0" documentId="13_ncr:1_{321293C8-BA9F-3441-B153-B4E34AE72604}" xr6:coauthVersionLast="45" xr6:coauthVersionMax="45" xr10:uidLastSave="{00000000-0000-0000-0000-000000000000}"/>
  <bookViews>
    <workbookView xWindow="480" yWindow="460" windowWidth="28320" windowHeight="16060" tabRatio="927" firstSheet="17" activeTab="23" xr2:uid="{00000000-000D-0000-FFFF-FFFF00000000}"/>
  </bookViews>
  <sheets>
    <sheet name="GPA ПЛ без экипировки ДК" sheetId="6" r:id="rId1"/>
    <sheet name="GPA ПЛ без экипировки" sheetId="5" r:id="rId2"/>
    <sheet name="GPA ПЛ в бинтах ДК" sheetId="8" r:id="rId3"/>
    <sheet name="GPA ПЛ в бинтах" sheetId="7" r:id="rId4"/>
    <sheet name="GPA Двоеборье без экип ДК" sheetId="17" r:id="rId5"/>
    <sheet name="GPA Двоеборье без экип" sheetId="16" r:id="rId6"/>
    <sheet name="GPA Присед без экипировки ДК" sheetId="18" r:id="rId7"/>
    <sheet name="GPA Жим без экипировки ДК" sheetId="10" r:id="rId8"/>
    <sheet name="GPA Жим без экипировки" sheetId="9" r:id="rId9"/>
    <sheet name="IPO Жим однослой ДК" sheetId="12" r:id="rId10"/>
    <sheet name="IPO Жим однослой" sheetId="11" r:id="rId11"/>
    <sheet name="СПР Жим софт однопетельная ДК" sheetId="37" r:id="rId12"/>
    <sheet name="СПР Жим софт однопетельная" sheetId="36" r:id="rId13"/>
    <sheet name="СПР Жим софт многопетельная ДК" sheetId="39" r:id="rId14"/>
    <sheet name="СПР Жим софт многопетельная" sheetId="38" r:id="rId15"/>
    <sheet name="СПР Жим СФО" sheetId="55" r:id="rId16"/>
    <sheet name="GPA Тяга без экипировки ДК" sheetId="14" r:id="rId17"/>
    <sheet name="GPA Тяга без экипировки" sheetId="13" r:id="rId18"/>
    <sheet name="IPO Тяга в экипировке" sheetId="15" r:id="rId19"/>
    <sheet name="СПР Пауэрспорт ДК" sheetId="29" r:id="rId20"/>
    <sheet name="СПР Жим стоя ДК" sheetId="25" r:id="rId21"/>
    <sheet name="СПР Жим стоя" sheetId="24" r:id="rId22"/>
    <sheet name="СПР Подъем на бицепс ДК" sheetId="27" r:id="rId23"/>
    <sheet name="СПР Подъем на бицепс" sheetId="26" r:id="rId24"/>
  </sheets>
  <definedNames>
    <definedName name="_FilterDatabase" localSheetId="1" hidden="1">'GPA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55" l="1"/>
  <c r="K6" i="55"/>
  <c r="L9" i="39"/>
  <c r="K9" i="39"/>
  <c r="L6" i="39"/>
  <c r="K6" i="39"/>
  <c r="L8" i="38"/>
  <c r="K8" i="38"/>
  <c r="L7" i="38"/>
  <c r="K7" i="38"/>
  <c r="L6" i="38"/>
  <c r="K6" i="38"/>
  <c r="L7" i="37"/>
  <c r="K7" i="37"/>
  <c r="L6" i="37"/>
  <c r="K6" i="37"/>
  <c r="L6" i="36"/>
  <c r="K6" i="36"/>
  <c r="P10" i="29"/>
  <c r="O10" i="29"/>
  <c r="P9" i="29"/>
  <c r="O9" i="29"/>
  <c r="P6" i="29"/>
  <c r="O6" i="29"/>
  <c r="L16" i="27"/>
  <c r="K16" i="27"/>
  <c r="L13" i="27"/>
  <c r="K13" i="27"/>
  <c r="L10" i="27"/>
  <c r="K10" i="27"/>
  <c r="L9" i="27"/>
  <c r="K9" i="27"/>
  <c r="L6" i="27"/>
  <c r="K6" i="27"/>
  <c r="L12" i="26"/>
  <c r="K12" i="26"/>
  <c r="L9" i="26"/>
  <c r="K9" i="26"/>
  <c r="L6" i="26"/>
  <c r="K6" i="26"/>
  <c r="L6" i="25"/>
  <c r="K6" i="25"/>
  <c r="L6" i="24"/>
  <c r="K6" i="24"/>
  <c r="L6" i="18"/>
  <c r="K6" i="18"/>
  <c r="P15" i="17"/>
  <c r="O15" i="17"/>
  <c r="P12" i="17"/>
  <c r="O12" i="17"/>
  <c r="P9" i="17"/>
  <c r="O9" i="17"/>
  <c r="P6" i="17"/>
  <c r="O6" i="17"/>
  <c r="P9" i="16"/>
  <c r="O9" i="16"/>
  <c r="P6" i="16"/>
  <c r="O6" i="16"/>
  <c r="L6" i="15"/>
  <c r="K6" i="15"/>
  <c r="L34" i="14"/>
  <c r="K34" i="14"/>
  <c r="L31" i="14"/>
  <c r="K31" i="14"/>
  <c r="L28" i="14"/>
  <c r="K28" i="14"/>
  <c r="L27" i="14"/>
  <c r="K27" i="14"/>
  <c r="L26" i="14"/>
  <c r="K26" i="14"/>
  <c r="L23" i="14"/>
  <c r="K23" i="14"/>
  <c r="L20" i="14"/>
  <c r="K20" i="14"/>
  <c r="L17" i="14"/>
  <c r="K17" i="14"/>
  <c r="L16" i="14"/>
  <c r="K16" i="14"/>
  <c r="L13" i="14"/>
  <c r="K13" i="14"/>
  <c r="L12" i="14"/>
  <c r="K12" i="14"/>
  <c r="L9" i="14"/>
  <c r="K9" i="14"/>
  <c r="L6" i="14"/>
  <c r="K6" i="14"/>
  <c r="L19" i="13"/>
  <c r="K19" i="13"/>
  <c r="L18" i="13"/>
  <c r="K18" i="13"/>
  <c r="L15" i="13"/>
  <c r="K15" i="13"/>
  <c r="L12" i="13"/>
  <c r="K12" i="13"/>
  <c r="L9" i="13"/>
  <c r="K9" i="13"/>
  <c r="L6" i="13"/>
  <c r="K6" i="13"/>
  <c r="L6" i="12"/>
  <c r="K6" i="12"/>
  <c r="L6" i="11"/>
  <c r="K6" i="11"/>
  <c r="L55" i="10"/>
  <c r="K55" i="10"/>
  <c r="L52" i="10"/>
  <c r="K52" i="10"/>
  <c r="L51" i="10"/>
  <c r="K51" i="10"/>
  <c r="L50" i="10"/>
  <c r="K50" i="10"/>
  <c r="L49" i="10"/>
  <c r="K49" i="10"/>
  <c r="L48" i="10"/>
  <c r="K48" i="10"/>
  <c r="L47" i="10"/>
  <c r="K47" i="10"/>
  <c r="L46" i="10"/>
  <c r="K46" i="10"/>
  <c r="L43" i="10"/>
  <c r="K43" i="10"/>
  <c r="L42" i="10"/>
  <c r="K42" i="10"/>
  <c r="L41" i="10"/>
  <c r="K41" i="10"/>
  <c r="L40" i="10"/>
  <c r="K40" i="10"/>
  <c r="L39" i="10"/>
  <c r="K39" i="10"/>
  <c r="L36" i="10"/>
  <c r="K36" i="10"/>
  <c r="L35" i="10"/>
  <c r="K35" i="10"/>
  <c r="L34" i="10"/>
  <c r="K34" i="10"/>
  <c r="L33" i="10"/>
  <c r="K33" i="10"/>
  <c r="L32" i="10"/>
  <c r="K32" i="10"/>
  <c r="L31" i="10"/>
  <c r="K31" i="10"/>
  <c r="L28" i="10"/>
  <c r="K28" i="10"/>
  <c r="L27" i="10"/>
  <c r="K27" i="10"/>
  <c r="L26" i="10"/>
  <c r="K26" i="10"/>
  <c r="L23" i="10"/>
  <c r="K23" i="10"/>
  <c r="L22" i="10"/>
  <c r="K22" i="10"/>
  <c r="L21" i="10"/>
  <c r="K21" i="10"/>
  <c r="L18" i="10"/>
  <c r="K18" i="10"/>
  <c r="L15" i="10"/>
  <c r="K15" i="10"/>
  <c r="L12" i="10"/>
  <c r="K12" i="10"/>
  <c r="L9" i="10"/>
  <c r="K9" i="10"/>
  <c r="L6" i="10"/>
  <c r="K6" i="10"/>
  <c r="L29" i="9"/>
  <c r="K29" i="9"/>
  <c r="L26" i="9"/>
  <c r="L25" i="9"/>
  <c r="K25" i="9"/>
  <c r="L22" i="9"/>
  <c r="L21" i="9"/>
  <c r="K21" i="9"/>
  <c r="L20" i="9"/>
  <c r="K20" i="9"/>
  <c r="L19" i="9"/>
  <c r="K19" i="9"/>
  <c r="L16" i="9"/>
  <c r="K16" i="9"/>
  <c r="L15" i="9"/>
  <c r="K15" i="9"/>
  <c r="L12" i="9"/>
  <c r="K12" i="9"/>
  <c r="L11" i="9"/>
  <c r="K11" i="9"/>
  <c r="L10" i="9"/>
  <c r="K10" i="9"/>
  <c r="L9" i="9"/>
  <c r="K9" i="9"/>
  <c r="L6" i="9"/>
  <c r="K6" i="9"/>
  <c r="T23" i="8"/>
  <c r="S23" i="8"/>
  <c r="T20" i="8"/>
  <c r="S20" i="8"/>
  <c r="T19" i="8"/>
  <c r="S19" i="8"/>
  <c r="T16" i="8"/>
  <c r="S16" i="8"/>
  <c r="T15" i="8"/>
  <c r="S15" i="8"/>
  <c r="T12" i="8"/>
  <c r="S12" i="8"/>
  <c r="T9" i="8"/>
  <c r="S9" i="8"/>
  <c r="T6" i="8"/>
  <c r="S6" i="8"/>
  <c r="T16" i="7"/>
  <c r="S16" i="7"/>
  <c r="T13" i="7"/>
  <c r="T12" i="7"/>
  <c r="S12" i="7"/>
  <c r="T9" i="7"/>
  <c r="S9" i="7"/>
  <c r="T6" i="7"/>
  <c r="S6" i="7"/>
  <c r="T43" i="6"/>
  <c r="S43" i="6"/>
  <c r="T40" i="6"/>
  <c r="S40" i="6"/>
  <c r="T37" i="6"/>
  <c r="S37" i="6"/>
  <c r="T36" i="6"/>
  <c r="S36" i="6"/>
  <c r="T35" i="6"/>
  <c r="S35" i="6"/>
  <c r="T34" i="6"/>
  <c r="S34" i="6"/>
  <c r="T33" i="6"/>
  <c r="S33" i="6"/>
  <c r="T32" i="6"/>
  <c r="S32" i="6"/>
  <c r="T31" i="6"/>
  <c r="S31" i="6"/>
  <c r="T28" i="6"/>
  <c r="S28" i="6"/>
  <c r="T27" i="6"/>
  <c r="S27" i="6"/>
  <c r="T24" i="6"/>
  <c r="S24" i="6"/>
  <c r="T23" i="6"/>
  <c r="S23" i="6"/>
  <c r="T22" i="6"/>
  <c r="S22" i="6"/>
  <c r="T19" i="6"/>
  <c r="S19" i="6"/>
  <c r="T16" i="6"/>
  <c r="S16" i="6"/>
  <c r="T15" i="6"/>
  <c r="S15" i="6"/>
  <c r="T12" i="6"/>
  <c r="S12" i="6"/>
  <c r="T9" i="6"/>
  <c r="S9" i="6"/>
  <c r="T6" i="6"/>
  <c r="T9" i="5"/>
  <c r="T6" i="5"/>
  <c r="S6" i="5"/>
</calcChain>
</file>

<file path=xl/sharedStrings.xml><?xml version="1.0" encoding="utf-8"?>
<sst xmlns="http://schemas.openxmlformats.org/spreadsheetml/2006/main" count="2002" uniqueCount="586">
  <si>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</si>
  <si>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</si>
  <si>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</si>
  <si>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</si>
  <si>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</si>
  <si>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</si>
  <si>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</si>
  <si>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</si>
  <si>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</si>
  <si>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</si>
  <si>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60</t>
  </si>
  <si>
    <t>Кощеева Людмила</t>
  </si>
  <si>
    <t>Открытая (15.05.1991)/29</t>
  </si>
  <si>
    <t>59,80</t>
  </si>
  <si>
    <t xml:space="preserve">Вологда/Вологодская область </t>
  </si>
  <si>
    <t>92,5</t>
  </si>
  <si>
    <t>97,5</t>
  </si>
  <si>
    <t>102,5</t>
  </si>
  <si>
    <t>72,5</t>
  </si>
  <si>
    <t>77,5</t>
  </si>
  <si>
    <t>82,5</t>
  </si>
  <si>
    <t>105,0</t>
  </si>
  <si>
    <t>122,5</t>
  </si>
  <si>
    <t xml:space="preserve">Мокосин А. </t>
  </si>
  <si>
    <t>ВЕСОВАЯ КАТЕГОРИЯ   90</t>
  </si>
  <si>
    <t>Павлов Алексей</t>
  </si>
  <si>
    <t>Открытая (18.01.1978)/42</t>
  </si>
  <si>
    <t>85,80</t>
  </si>
  <si>
    <t xml:space="preserve">Череповец/Вологодская область </t>
  </si>
  <si>
    <t>175,0</t>
  </si>
  <si>
    <t>150,0</t>
  </si>
  <si>
    <t>180,0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</si>
  <si>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</si>
  <si>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</si>
  <si>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</si>
  <si>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</si>
  <si>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</si>
  <si>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Gloss </t>
  </si>
  <si>
    <t>1</t>
  </si>
  <si>
    <t/>
  </si>
  <si>
    <t>-</t>
  </si>
  <si>
    <t>ВЕСОВАЯ КАТЕГОРИЯ   56</t>
  </si>
  <si>
    <t>Виноградова Евгения</t>
  </si>
  <si>
    <t>55,00</t>
  </si>
  <si>
    <t xml:space="preserve">Чагода/Вологодская область </t>
  </si>
  <si>
    <t>80,0</t>
  </si>
  <si>
    <t>50,0</t>
  </si>
  <si>
    <t>100,0</t>
  </si>
  <si>
    <t>ВЕСОВАЯ КАТЕГОРИЯ   67.5</t>
  </si>
  <si>
    <t>Толманова Ольга</t>
  </si>
  <si>
    <t>Мастера 40-49 (07.10.1974)/46</t>
  </si>
  <si>
    <t>63,80</t>
  </si>
  <si>
    <t>55,0</t>
  </si>
  <si>
    <t>65,0</t>
  </si>
  <si>
    <t>70,0</t>
  </si>
  <si>
    <t>35,0</t>
  </si>
  <si>
    <t>40,0</t>
  </si>
  <si>
    <t>42,5</t>
  </si>
  <si>
    <t>75,0</t>
  </si>
  <si>
    <t>85,0</t>
  </si>
  <si>
    <t>ВЕСОВАЯ КАТЕГОРИЯ   90+</t>
  </si>
  <si>
    <t>Плакан Светлана</t>
  </si>
  <si>
    <t>Открытая (12.05.1983)/37</t>
  </si>
  <si>
    <t>97,80</t>
  </si>
  <si>
    <t xml:space="preserve">Вельск/Архангельская область </t>
  </si>
  <si>
    <t>115,0</t>
  </si>
  <si>
    <t>87,5</t>
  </si>
  <si>
    <t>90,0</t>
  </si>
  <si>
    <t>125,0</t>
  </si>
  <si>
    <t>137,5</t>
  </si>
  <si>
    <t>140,0</t>
  </si>
  <si>
    <t>Двойников Олег</t>
  </si>
  <si>
    <t>Открытая (08.10.1960)/60</t>
  </si>
  <si>
    <t>59,90</t>
  </si>
  <si>
    <t xml:space="preserve">Великий Устюг/Вологодская область </t>
  </si>
  <si>
    <t>120,0</t>
  </si>
  <si>
    <t>157,5</t>
  </si>
  <si>
    <t>162,5</t>
  </si>
  <si>
    <t>Мастера 60-69 (08.10.1960)/60</t>
  </si>
  <si>
    <t>Красавин Егор</t>
  </si>
  <si>
    <t>63,10</t>
  </si>
  <si>
    <t>112,5</t>
  </si>
  <si>
    <t>ВЕСОВАЯ КАТЕГОРИЯ   82.5</t>
  </si>
  <si>
    <t>Шишкин Даниил</t>
  </si>
  <si>
    <t>81,70</t>
  </si>
  <si>
    <t>145,0</t>
  </si>
  <si>
    <t>155,0</t>
  </si>
  <si>
    <t>110,0</t>
  </si>
  <si>
    <t>200,0</t>
  </si>
  <si>
    <t>210,0</t>
  </si>
  <si>
    <t>220,0</t>
  </si>
  <si>
    <t>Яковлев Евгений</t>
  </si>
  <si>
    <t>Открытая (10.03.1991)/29</t>
  </si>
  <si>
    <t>80,70</t>
  </si>
  <si>
    <t>160,0</t>
  </si>
  <si>
    <t>165,0</t>
  </si>
  <si>
    <t>130,0</t>
  </si>
  <si>
    <t>225,0</t>
  </si>
  <si>
    <t>235,0</t>
  </si>
  <si>
    <t>Киричатый Владимир</t>
  </si>
  <si>
    <t>Мастера 50-59 (27.03.1968)/52</t>
  </si>
  <si>
    <t>80,10</t>
  </si>
  <si>
    <t xml:space="preserve">Архангельск/Архангельская область </t>
  </si>
  <si>
    <t>170,0</t>
  </si>
  <si>
    <t xml:space="preserve">Корельский О. </t>
  </si>
  <si>
    <t>Голубков Сергей</t>
  </si>
  <si>
    <t>Открытая (14.12.1990)/30</t>
  </si>
  <si>
    <t>88,80</t>
  </si>
  <si>
    <t>190,0</t>
  </si>
  <si>
    <t>135,0</t>
  </si>
  <si>
    <t>230,0</t>
  </si>
  <si>
    <t>Новожилов Николай</t>
  </si>
  <si>
    <t>Открытая (19.05.1982)/38</t>
  </si>
  <si>
    <t>88,50</t>
  </si>
  <si>
    <t xml:space="preserve">Липин Бор/Вологодская область </t>
  </si>
  <si>
    <t>ВЕСОВАЯ КАТЕГОРИЯ   100</t>
  </si>
  <si>
    <t>Федотов Юрий</t>
  </si>
  <si>
    <t>95,50</t>
  </si>
  <si>
    <t>107,5</t>
  </si>
  <si>
    <t>167,5</t>
  </si>
  <si>
    <t xml:space="preserve">Погодин И. </t>
  </si>
  <si>
    <t>Смелов Никита</t>
  </si>
  <si>
    <t>96,50</t>
  </si>
  <si>
    <t>185,0</t>
  </si>
  <si>
    <t>Савельев Никита</t>
  </si>
  <si>
    <t>91,10</t>
  </si>
  <si>
    <t>Якушевич Алексей</t>
  </si>
  <si>
    <t>Открытая (02.07.1991)/29</t>
  </si>
  <si>
    <t>95,20</t>
  </si>
  <si>
    <t>205,0</t>
  </si>
  <si>
    <t>142,5</t>
  </si>
  <si>
    <t>260,0</t>
  </si>
  <si>
    <t>280,0</t>
  </si>
  <si>
    <t>Куприянов Михаил</t>
  </si>
  <si>
    <t>Открытая (20.11.1985)/35</t>
  </si>
  <si>
    <t>99,10</t>
  </si>
  <si>
    <t>240,0</t>
  </si>
  <si>
    <t>255,0</t>
  </si>
  <si>
    <t xml:space="preserve">Жерелов А. </t>
  </si>
  <si>
    <t>Молодцов Александр</t>
  </si>
  <si>
    <t>Открытая (21.10.1978)/42</t>
  </si>
  <si>
    <t>94,30</t>
  </si>
  <si>
    <t xml:space="preserve">Сокол/Вологодская область </t>
  </si>
  <si>
    <t>250,0</t>
  </si>
  <si>
    <t>252,5</t>
  </si>
  <si>
    <t xml:space="preserve">Шетохин Д. </t>
  </si>
  <si>
    <t>Корельский Олег</t>
  </si>
  <si>
    <t>Открытая (03.09.1975)/45</t>
  </si>
  <si>
    <t>215,0</t>
  </si>
  <si>
    <t>ВЕСОВАЯ КАТЕГОРИЯ   110</t>
  </si>
  <si>
    <t>Зыков Олег</t>
  </si>
  <si>
    <t>Открытая (25.09.1993)/27</t>
  </si>
  <si>
    <t>105,80</t>
  </si>
  <si>
    <t>ВЕСОВАЯ КАТЕГОРИЯ   125</t>
  </si>
  <si>
    <t>Кобяков Дмитрий</t>
  </si>
  <si>
    <t>123,30</t>
  </si>
  <si>
    <t>95,0</t>
  </si>
  <si>
    <t>67.5</t>
  </si>
  <si>
    <t xml:space="preserve">Мужчины </t>
  </si>
  <si>
    <t>100</t>
  </si>
  <si>
    <t>630,0</t>
  </si>
  <si>
    <t>374,4090</t>
  </si>
  <si>
    <t>610,0</t>
  </si>
  <si>
    <t>364,2310</t>
  </si>
  <si>
    <t>615,0</t>
  </si>
  <si>
    <t>358,8832</t>
  </si>
  <si>
    <t>2</t>
  </si>
  <si>
    <t>3</t>
  </si>
  <si>
    <t>4</t>
  </si>
  <si>
    <t>ВЕСОВАЯ КАТЕГОРИЯ   75</t>
  </si>
  <si>
    <t>Шушпанов Виктор</t>
  </si>
  <si>
    <t>Открытая (14.04.1993)/27</t>
  </si>
  <si>
    <t>73,70</t>
  </si>
  <si>
    <t xml:space="preserve">Шарья/Костромская область </t>
  </si>
  <si>
    <t>117,5</t>
  </si>
  <si>
    <t>Попов Александр</t>
  </si>
  <si>
    <t>Открытая (20.09.1989)/31</t>
  </si>
  <si>
    <t>80,90</t>
  </si>
  <si>
    <t>187,5</t>
  </si>
  <si>
    <t>Щиголь Алексей</t>
  </si>
  <si>
    <t>Открытая (05.11.1985)/35</t>
  </si>
  <si>
    <t>98,40</t>
  </si>
  <si>
    <t>270,0</t>
  </si>
  <si>
    <t>Худиев Руслан</t>
  </si>
  <si>
    <t>Открытая (17.04.1992)/28</t>
  </si>
  <si>
    <t>98,90</t>
  </si>
  <si>
    <t>Кудрявцев Анатолий</t>
  </si>
  <si>
    <t>Открытая (05.02.1984)/36</t>
  </si>
  <si>
    <t>122,10</t>
  </si>
  <si>
    <t>125</t>
  </si>
  <si>
    <t>ВЕСОВАЯ КАТЕГОРИЯ   48</t>
  </si>
  <si>
    <t>Гусева Ксения</t>
  </si>
  <si>
    <t>Открытая (26.06.2000)/20</t>
  </si>
  <si>
    <t>47,30</t>
  </si>
  <si>
    <t>37,5</t>
  </si>
  <si>
    <t>45,0</t>
  </si>
  <si>
    <t>Иваненко Анна</t>
  </si>
  <si>
    <t>Открытая (03.01.1986)/34</t>
  </si>
  <si>
    <t>81,00</t>
  </si>
  <si>
    <t xml:space="preserve">Мурманск/Мурманская область </t>
  </si>
  <si>
    <t>Открытая (30.11.2001)/19</t>
  </si>
  <si>
    <t>65,30</t>
  </si>
  <si>
    <t>Фурманчук Владимир</t>
  </si>
  <si>
    <t>217,5</t>
  </si>
  <si>
    <t xml:space="preserve">Клинушкин С. </t>
  </si>
  <si>
    <t>Лысенко Александр</t>
  </si>
  <si>
    <t>Открытая (05.03.1999)/21</t>
  </si>
  <si>
    <t>99,50</t>
  </si>
  <si>
    <t>195,0</t>
  </si>
  <si>
    <t>222,5</t>
  </si>
  <si>
    <t>Пеунков Михаил</t>
  </si>
  <si>
    <t>Открытая (08.03.1987)/33</t>
  </si>
  <si>
    <t>107,70</t>
  </si>
  <si>
    <t>Птичкин Сергей</t>
  </si>
  <si>
    <t>Мастера 40-49 (08.06.1976)/44</t>
  </si>
  <si>
    <t>108,70</t>
  </si>
  <si>
    <t>152,5</t>
  </si>
  <si>
    <t xml:space="preserve">Белозеров В. </t>
  </si>
  <si>
    <t>Гнабро Элизе</t>
  </si>
  <si>
    <t>Открытая (11.07.1998)/22</t>
  </si>
  <si>
    <t>123,20</t>
  </si>
  <si>
    <t>110</t>
  </si>
  <si>
    <t>Самардин Алексей</t>
  </si>
  <si>
    <t>Открытая (08.09.1983)/37</t>
  </si>
  <si>
    <t>79,60</t>
  </si>
  <si>
    <t xml:space="preserve">Домодедово/Московская область </t>
  </si>
  <si>
    <t>Еремин Юрий</t>
  </si>
  <si>
    <t>Открытая (23.11.1983)/37</t>
  </si>
  <si>
    <t>81,50</t>
  </si>
  <si>
    <t>Терешичев Антон</t>
  </si>
  <si>
    <t>Открытая (31.03.1986)/34</t>
  </si>
  <si>
    <t>Бахтеев Дмитрий</t>
  </si>
  <si>
    <t>Мастера 50-59 (25.08.1966)/54</t>
  </si>
  <si>
    <t xml:space="preserve">Солигалич/Костромская область </t>
  </si>
  <si>
    <t xml:space="preserve">Иванюков О. </t>
  </si>
  <si>
    <t>Румянцев Сергей</t>
  </si>
  <si>
    <t>Открытая (26.08.1965)/55</t>
  </si>
  <si>
    <t>87,20</t>
  </si>
  <si>
    <t>Марков Артем</t>
  </si>
  <si>
    <t>Открытая (03.08.1986)/34</t>
  </si>
  <si>
    <t>100,00</t>
  </si>
  <si>
    <t>207,5</t>
  </si>
  <si>
    <t xml:space="preserve">Рассохин А. </t>
  </si>
  <si>
    <t>Открытая (14.08.1990)/30</t>
  </si>
  <si>
    <t>192,5</t>
  </si>
  <si>
    <t>Борисов Алексей</t>
  </si>
  <si>
    <t>Открытая (12.04.1985)/35</t>
  </si>
  <si>
    <t>97,00</t>
  </si>
  <si>
    <t>Клинушкин Сергей</t>
  </si>
  <si>
    <t>Открытая (12.12.1982)/38</t>
  </si>
  <si>
    <t>97,90</t>
  </si>
  <si>
    <t xml:space="preserve">Беловал Е. </t>
  </si>
  <si>
    <t>Максимов Алексей</t>
  </si>
  <si>
    <t>Открытая (12.04.1988)/32</t>
  </si>
  <si>
    <t>107,50</t>
  </si>
  <si>
    <t xml:space="preserve">Осколков И. </t>
  </si>
  <si>
    <t>Пашовкин Валентин</t>
  </si>
  <si>
    <t>Открытая (28.05.1985)/35</t>
  </si>
  <si>
    <t>106,40</t>
  </si>
  <si>
    <t>182,5</t>
  </si>
  <si>
    <t>Емельянов Николай</t>
  </si>
  <si>
    <t>Открытая (30.08.1979)/41</t>
  </si>
  <si>
    <t>124,20</t>
  </si>
  <si>
    <t xml:space="preserve">Лосино-Петровский/Московская область </t>
  </si>
  <si>
    <t xml:space="preserve">Каштанов С. </t>
  </si>
  <si>
    <t xml:space="preserve">Результат </t>
  </si>
  <si>
    <t>126,0017</t>
  </si>
  <si>
    <t>125,6605</t>
  </si>
  <si>
    <t>124,9795</t>
  </si>
  <si>
    <t>Результат</t>
  </si>
  <si>
    <t>Воронова Антонина</t>
  </si>
  <si>
    <t>Открытая (23.03.1999)/21</t>
  </si>
  <si>
    <t>56,00</t>
  </si>
  <si>
    <t xml:space="preserve">Бирюсинск/Иркутская область </t>
  </si>
  <si>
    <t>60,0</t>
  </si>
  <si>
    <t>62,5</t>
  </si>
  <si>
    <t>Садовникова Юлия</t>
  </si>
  <si>
    <t>Открытая (26.06.1983)/37</t>
  </si>
  <si>
    <t>67,5</t>
  </si>
  <si>
    <t>Семыкина Дарья</t>
  </si>
  <si>
    <t>Открытая (03.03.2001)/19</t>
  </si>
  <si>
    <t>67,50</t>
  </si>
  <si>
    <t>Никулина Илона</t>
  </si>
  <si>
    <t>Открытая (12.02.1992)/28</t>
  </si>
  <si>
    <t>71,30</t>
  </si>
  <si>
    <t>Минина Людмила</t>
  </si>
  <si>
    <t>Мастера 40-49 (24.05.1976)/44</t>
  </si>
  <si>
    <t>80,80</t>
  </si>
  <si>
    <t>Гребенщиков Михаил</t>
  </si>
  <si>
    <t>Открытая (08.12.1987)/33</t>
  </si>
  <si>
    <t>67,00</t>
  </si>
  <si>
    <t xml:space="preserve">Тарногский городок/Вологодская область </t>
  </si>
  <si>
    <t>Долгин Владислав</t>
  </si>
  <si>
    <t>Открытая (16.08.1998)/22</t>
  </si>
  <si>
    <t>63,40</t>
  </si>
  <si>
    <t xml:space="preserve">Кемерово/Кемеровская область </t>
  </si>
  <si>
    <t>Минкин Александр</t>
  </si>
  <si>
    <t>Открытая (15.07.1995)/25</t>
  </si>
  <si>
    <t>66,60</t>
  </si>
  <si>
    <t>Тельтевской Илья</t>
  </si>
  <si>
    <t>70,60</t>
  </si>
  <si>
    <t>Тропман Антон</t>
  </si>
  <si>
    <t>74,00</t>
  </si>
  <si>
    <t>Вишневский Владимир</t>
  </si>
  <si>
    <t>68,30</t>
  </si>
  <si>
    <t xml:space="preserve">Сланцы/Ленинградская область </t>
  </si>
  <si>
    <t>Предтеченский Павел</t>
  </si>
  <si>
    <t>80,40</t>
  </si>
  <si>
    <t>Смирнов Павел</t>
  </si>
  <si>
    <t>76,00</t>
  </si>
  <si>
    <t>Голубка Артем</t>
  </si>
  <si>
    <t>Открытая (27.08.1984)/36</t>
  </si>
  <si>
    <t xml:space="preserve">Кадуй/Вологодская область </t>
  </si>
  <si>
    <t xml:space="preserve">Зайцев Е. </t>
  </si>
  <si>
    <t>Калачев Александр</t>
  </si>
  <si>
    <t>Открытая (07.05.1993)/27</t>
  </si>
  <si>
    <t>81,10</t>
  </si>
  <si>
    <t>147,5</t>
  </si>
  <si>
    <t>Янушкевич Дмитрий</t>
  </si>
  <si>
    <t>Открытая (16.12.1987)/33</t>
  </si>
  <si>
    <t>82,50</t>
  </si>
  <si>
    <t>Левашев Юрий</t>
  </si>
  <si>
    <t>Мастера 50-59 (05.01.1970)/50</t>
  </si>
  <si>
    <t>78,80</t>
  </si>
  <si>
    <t>Смекалов Валерий</t>
  </si>
  <si>
    <t>Открытая (15.04.1984)/36</t>
  </si>
  <si>
    <t>87,30</t>
  </si>
  <si>
    <t xml:space="preserve">Рыбинск/Ярославская область </t>
  </si>
  <si>
    <t>Кириллов Артём</t>
  </si>
  <si>
    <t>Открытая (28.06.1988)/32</t>
  </si>
  <si>
    <t>87,10</t>
  </si>
  <si>
    <t xml:space="preserve">Владимир/Владимирская область </t>
  </si>
  <si>
    <t>132,5</t>
  </si>
  <si>
    <t>Нранян Роман</t>
  </si>
  <si>
    <t>Открытая (05.02.1989)/31</t>
  </si>
  <si>
    <t>87,60</t>
  </si>
  <si>
    <t>Андреев Михаил</t>
  </si>
  <si>
    <t>Мастера 40-49 (10.07.1971)/49</t>
  </si>
  <si>
    <t>88,20</t>
  </si>
  <si>
    <t>Смелов Николай</t>
  </si>
  <si>
    <t>Мастера 40-49 (18.12.1975)/45</t>
  </si>
  <si>
    <t>89,70</t>
  </si>
  <si>
    <t>Федотов Игорь</t>
  </si>
  <si>
    <t>95,90</t>
  </si>
  <si>
    <t>Ефимовский Владислав</t>
  </si>
  <si>
    <t>Открытая (20.12.1995)/25</t>
  </si>
  <si>
    <t>97,60</t>
  </si>
  <si>
    <t xml:space="preserve">Котлас/Архангельская область </t>
  </si>
  <si>
    <t>Агабалов Иван</t>
  </si>
  <si>
    <t>Открытая (21.05.1990)/30</t>
  </si>
  <si>
    <t>96,20</t>
  </si>
  <si>
    <t>Канин Михаил</t>
  </si>
  <si>
    <t>Открытая (06.07.1978)/42</t>
  </si>
  <si>
    <t>92,40</t>
  </si>
  <si>
    <t>Мастера 40-49 (06.07.1978)/42</t>
  </si>
  <si>
    <t>Анисимов Игорь</t>
  </si>
  <si>
    <t>Мастера 40-49 (26.12.1976)/44</t>
  </si>
  <si>
    <t>99,00</t>
  </si>
  <si>
    <t>Мареев Кирилл</t>
  </si>
  <si>
    <t>108,00</t>
  </si>
  <si>
    <t>112,9725</t>
  </si>
  <si>
    <t>90</t>
  </si>
  <si>
    <t>108,9550</t>
  </si>
  <si>
    <t>108,6783</t>
  </si>
  <si>
    <t>Чеботаев Дмитрий</t>
  </si>
  <si>
    <t>Открытая (09.11.1990)/30</t>
  </si>
  <si>
    <t>113,20</t>
  </si>
  <si>
    <t>257,5</t>
  </si>
  <si>
    <t>262,5</t>
  </si>
  <si>
    <t>Кокорев Илья</t>
  </si>
  <si>
    <t>Открытая (19.01.1973)/47</t>
  </si>
  <si>
    <t>80,50</t>
  </si>
  <si>
    <t xml:space="preserve">Ярославль/Ярославская область </t>
  </si>
  <si>
    <t>Насибянц Наталия</t>
  </si>
  <si>
    <t>Мастера 40-49 (24.03.1972)/48</t>
  </si>
  <si>
    <t>58,70</t>
  </si>
  <si>
    <t xml:space="preserve">Королёв/Московская область </t>
  </si>
  <si>
    <t>Котов Артём</t>
  </si>
  <si>
    <t>Открытая (08.01.1989)/31</t>
  </si>
  <si>
    <t>76,80</t>
  </si>
  <si>
    <t>Корякин Сергей</t>
  </si>
  <si>
    <t>Мастера 40-49 (01.07.1976)/44</t>
  </si>
  <si>
    <t>84,00</t>
  </si>
  <si>
    <t>Неустроев Алексей</t>
  </si>
  <si>
    <t>Открытая (25.11.1995)/25</t>
  </si>
  <si>
    <t>104,50</t>
  </si>
  <si>
    <t>172,5</t>
  </si>
  <si>
    <t>305,0</t>
  </si>
  <si>
    <t>322,5</t>
  </si>
  <si>
    <t xml:space="preserve">Марков А. </t>
  </si>
  <si>
    <t>Костылев Алексей</t>
  </si>
  <si>
    <t>Открытая (04.09.1973)/47</t>
  </si>
  <si>
    <t>118,80</t>
  </si>
  <si>
    <t>300,0</t>
  </si>
  <si>
    <t>310,0</t>
  </si>
  <si>
    <t>Мастера 40-49 (04.09.1973)/47</t>
  </si>
  <si>
    <t>ВЕСОВАЯ КАТЕГОРИЯ   44</t>
  </si>
  <si>
    <t>Лебедева Лариса</t>
  </si>
  <si>
    <t>44,00</t>
  </si>
  <si>
    <t>Шилова Екатерина</t>
  </si>
  <si>
    <t>46,40</t>
  </si>
  <si>
    <t>Дмитриева Татьяна</t>
  </si>
  <si>
    <t>Открытая (09.12.1991)/29</t>
  </si>
  <si>
    <t>55,10</t>
  </si>
  <si>
    <t>Климова Кристина</t>
  </si>
  <si>
    <t>57,30</t>
  </si>
  <si>
    <t>Цесарская Софья</t>
  </si>
  <si>
    <t>57,90</t>
  </si>
  <si>
    <t>Зенькова Яна</t>
  </si>
  <si>
    <t>Открытая (09.10.1998)/22</t>
  </si>
  <si>
    <t>103,10</t>
  </si>
  <si>
    <t>ВЕСОВАЯ КАТЕГОРИЯ   52</t>
  </si>
  <si>
    <t>Беляев Олег</t>
  </si>
  <si>
    <t>34,60</t>
  </si>
  <si>
    <t>Трудов Никита</t>
  </si>
  <si>
    <t>35,00</t>
  </si>
  <si>
    <t>30,0</t>
  </si>
  <si>
    <t>Крапивин Никита</t>
  </si>
  <si>
    <t>46,30</t>
  </si>
  <si>
    <t>Рыжов Глеб</t>
  </si>
  <si>
    <t>Проворов Андрей</t>
  </si>
  <si>
    <t>Открытая (08.11.1989)/31</t>
  </si>
  <si>
    <t>81,90</t>
  </si>
  <si>
    <t>285,0</t>
  </si>
  <si>
    <t>Казарина Елена</t>
  </si>
  <si>
    <t>Мастера 40-49 (14.10.1980)/40</t>
  </si>
  <si>
    <t>62,30</t>
  </si>
  <si>
    <t>127,5</t>
  </si>
  <si>
    <t>265,0</t>
  </si>
  <si>
    <t>275,0</t>
  </si>
  <si>
    <t>Козлов Илья</t>
  </si>
  <si>
    <t>Открытая (28.02.1995)/25</t>
  </si>
  <si>
    <t>94,90</t>
  </si>
  <si>
    <t>247,5</t>
  </si>
  <si>
    <t>Зайцев Василий</t>
  </si>
  <si>
    <t>Открытая (29.08.1985)/35</t>
  </si>
  <si>
    <t>Калинина Елена</t>
  </si>
  <si>
    <t>Открытая (16.04.1987)/33</t>
  </si>
  <si>
    <t>50,10</t>
  </si>
  <si>
    <t xml:space="preserve">Балашов Н. </t>
  </si>
  <si>
    <t>57,5</t>
  </si>
  <si>
    <t>Петренко Александр</t>
  </si>
  <si>
    <t>Открытая (27.05.1990)/30</t>
  </si>
  <si>
    <t>82,30</t>
  </si>
  <si>
    <t xml:space="preserve">Санкт-Петербург </t>
  </si>
  <si>
    <t>Федулов Никита</t>
  </si>
  <si>
    <t xml:space="preserve">Аксёнов П. </t>
  </si>
  <si>
    <t>Жим стоя</t>
  </si>
  <si>
    <t>Блинов Дмитрий</t>
  </si>
  <si>
    <t>Открытая (11.04.1982)/38</t>
  </si>
  <si>
    <t>82,10</t>
  </si>
  <si>
    <t>Родин Андрей</t>
  </si>
  <si>
    <t>Подъем на бицепс</t>
  </si>
  <si>
    <t>Ляхов Василий</t>
  </si>
  <si>
    <t>Мастера 60+ (30.05.1948)/72</t>
  </si>
  <si>
    <t>98,00</t>
  </si>
  <si>
    <t>58,0</t>
  </si>
  <si>
    <t>Сербин Анатолий</t>
  </si>
  <si>
    <t>Открытая (26.07.1990)/30</t>
  </si>
  <si>
    <t>120,70</t>
  </si>
  <si>
    <t xml:space="preserve">Люберцы/Московская область </t>
  </si>
  <si>
    <t>111,0</t>
  </si>
  <si>
    <t>Шпрынов Сергей</t>
  </si>
  <si>
    <t>65,00</t>
  </si>
  <si>
    <t xml:space="preserve">Лыткарино/Московская область </t>
  </si>
  <si>
    <t>61,10</t>
  </si>
  <si>
    <t>83,60</t>
  </si>
  <si>
    <t>Гладышев Александр</t>
  </si>
  <si>
    <t>100,90</t>
  </si>
  <si>
    <t xml:space="preserve">Вожега/Вологодская область </t>
  </si>
  <si>
    <t xml:space="preserve">Воронов А. </t>
  </si>
  <si>
    <t>Харин Максим</t>
  </si>
  <si>
    <t>Открытая (28.10.1987)/33</t>
  </si>
  <si>
    <t>72,10</t>
  </si>
  <si>
    <t xml:space="preserve">Иванов М. </t>
  </si>
  <si>
    <t>Открытая (02.09.1971)/49</t>
  </si>
  <si>
    <t>Иванов Николай</t>
  </si>
  <si>
    <t>Открытая (04.03.1974)/46</t>
  </si>
  <si>
    <t>98,50</t>
  </si>
  <si>
    <t>Пигольчук Роман</t>
  </si>
  <si>
    <t>Открытая (20.08.1984)/36</t>
  </si>
  <si>
    <t>87,80</t>
  </si>
  <si>
    <t xml:space="preserve">Шиловский Е. </t>
  </si>
  <si>
    <t>Голосов Андрей</t>
  </si>
  <si>
    <t>Открытая (21.02.1987)/33</t>
  </si>
  <si>
    <t>89,30</t>
  </si>
  <si>
    <t xml:space="preserve">Вытегра/Вологодская область </t>
  </si>
  <si>
    <t>245,0</t>
  </si>
  <si>
    <t>342,5</t>
  </si>
  <si>
    <t>Феничев Сергей</t>
  </si>
  <si>
    <t>Открытая (08.08.1987)/33</t>
  </si>
  <si>
    <t>Востриков Антон</t>
  </si>
  <si>
    <t>Открытая (07.06.1995)/25</t>
  </si>
  <si>
    <t xml:space="preserve">Попов А. </t>
  </si>
  <si>
    <t>Громов А.</t>
  </si>
  <si>
    <t>Банников Д.</t>
  </si>
  <si>
    <t>Сербин А.</t>
  </si>
  <si>
    <t>Белозеров В.</t>
  </si>
  <si>
    <t>Карпов И.</t>
  </si>
  <si>
    <t>Щиголь А.</t>
  </si>
  <si>
    <t>Постнов Д.</t>
  </si>
  <si>
    <t xml:space="preserve">Румянцев С. </t>
  </si>
  <si>
    <t xml:space="preserve">Длужневский С. </t>
  </si>
  <si>
    <t>Суслов Н.</t>
  </si>
  <si>
    <t>Садовникова Ю.</t>
  </si>
  <si>
    <t>Еремин Ю.</t>
  </si>
  <si>
    <t xml:space="preserve">Громов А. </t>
  </si>
  <si>
    <t>Якушевич А.</t>
  </si>
  <si>
    <t>Румянцев С.</t>
  </si>
  <si>
    <t>Румянцева С.</t>
  </si>
  <si>
    <t xml:space="preserve">Банников Д. </t>
  </si>
  <si>
    <t xml:space="preserve">Коробов Д. </t>
  </si>
  <si>
    <t>Длужневский С.</t>
  </si>
  <si>
    <t>Всероссийский мастерский турнир "Русский Север"
СПР Жим лежа СФО
Вологда/Вологодская область, 26-27 декабря 2020 года</t>
  </si>
  <si>
    <t>Всероссийский мастерский турнир "Русский Север"
СПР Жим лежа в многопетельной софт экипировке ДК
Вологда/Вологодская область, 26-27 декабря 2020 года</t>
  </si>
  <si>
    <t>Всероссийский мастерский турнир "Русский Север"
СПР Жим лежа в многопетельной софт экипировке
Вологда/Вологодская область, 26-27 декабря 2020 года</t>
  </si>
  <si>
    <t>Всероссийский мастерский турнир "Русский Север"
СПР Жим лежа в однопетельной софт экипировке ДК
Вологда/Вологодская область, 26-27 декабря 2020 года</t>
  </si>
  <si>
    <t>Всероссийский мастерский турнир "Русский Север"
СПР Жим лежа в однопетельной софт экипировке
Вологда/Вологодская область, 26-27 декабря 2020 года</t>
  </si>
  <si>
    <t>Всероссийский мастерский турнир "Русский Север"
СПР Пауэрспорт ДК
Вологда/Вологодская область, 26-27 декабря 2020 года</t>
  </si>
  <si>
    <t>Всероссийский мастерский турнир "Русский Север"
СПР Строгий подъем штанги на бицепс ДК
Вологда/Вологодская область, 26-27 декабря 2020 года</t>
  </si>
  <si>
    <t>Всероссийский мастерский турнир "Русский Север"
СПР Строгий подъем штанги на бицепс
Вологда/Вологодская область, 26-27 декабря 2020 года</t>
  </si>
  <si>
    <t>Всероссийский мастерский турнир "Русский Север"
СПР Жим штанги стоя ДК
Вологда/Вологодская область, 26-27 декабря 2020 года</t>
  </si>
  <si>
    <t>Всероссийский мастерский турнир "Русский Север"
СПР Жим штанги стоя
Вологда/Вологодская область, 26-27 декабря 2020 года</t>
  </si>
  <si>
    <t>Москва</t>
  </si>
  <si>
    <t>Мастера 40-49 (02.09.1971)/49</t>
  </si>
  <si>
    <t>Юноши 13-19 (27.03.2003)/17</t>
  </si>
  <si>
    <t>Юноши 13-19 (21.05.2002)/18</t>
  </si>
  <si>
    <t>Мастера 40-49 (01.06.1978)/42</t>
  </si>
  <si>
    <t>Девушки 16-17 (10.04.2003)/17</t>
  </si>
  <si>
    <t>Девушки 13-15 (04.06.2007)/13</t>
  </si>
  <si>
    <t>Девушки 16-17 (04.03.2003)/17</t>
  </si>
  <si>
    <t>Девушки 16-17 (22.09.2003)/17</t>
  </si>
  <si>
    <t>Девушки 18-19 (21.05.2001)/19</t>
  </si>
  <si>
    <t>Юноши 13-15 (07.03.2009)/11</t>
  </si>
  <si>
    <t>Юноши 13-15 (24.07.2009)/11</t>
  </si>
  <si>
    <t>Юноши 16-17 (05.04.2003)/17</t>
  </si>
  <si>
    <t>Юноши 13-15 (12.05.2005)/15</t>
  </si>
  <si>
    <t>Юноши 16-17 (08.08.2004)/16</t>
  </si>
  <si>
    <t>Юноши 18-19 (22.10.2001)/19</t>
  </si>
  <si>
    <t>Юниоры 20-23 (02.09.1997)/23</t>
  </si>
  <si>
    <t>Юноши 16-17 (12.01.2004)/16</t>
  </si>
  <si>
    <t>Юноши 18-19 (06.01.2002)/18</t>
  </si>
  <si>
    <t>Юниоры 20-23 (05.10.1997)/23</t>
  </si>
  <si>
    <t>Юниоры 20-23 (20.09.1998)/22</t>
  </si>
  <si>
    <t>Юноши 18-19 (29.03.2001)/19</t>
  </si>
  <si>
    <t>Юноши 16-17 (29.07.2003)/17</t>
  </si>
  <si>
    <t>Юниоры 20-23 (12.11.1999)/21</t>
  </si>
  <si>
    <t>Юноши 16-17 (02.02.2004)/16</t>
  </si>
  <si>
    <t>Юноши 18-19 (09.08.2002)/18</t>
  </si>
  <si>
    <t>Юноши 18-19 (05.12.2001)/19</t>
  </si>
  <si>
    <t>Юноши 18-19 (04.06.2002)/18</t>
  </si>
  <si>
    <t>Всероссийский мастерский турнир "Русский Север"
GPA Присед без экипировки ДК
Вологда/Вологодская область, 26-27 декабря 2020 года</t>
  </si>
  <si>
    <t>Всероссийский мастерский турнир "Русский Север"
GPA Силовое двоеборье без экипировки ДК
Вологда/Вологодская область, 26-27 декабря 2020 года</t>
  </si>
  <si>
    <t>Всероссийский мастерский турнир "Русский Север"
GPA Силовое двоеборье без экипировки
Вологда/Вологодская область, 26-27 декабря 2020 года</t>
  </si>
  <si>
    <t>Всероссийский мастерский турнир "Русский Север"
IPO Становая тяга в экипировке
Вологда/Вологодская область, 26-27 декабря 2020 года</t>
  </si>
  <si>
    <t>Всероссийский мастерский турнир "Русский Север"
GPA Становая тяга без экипировки ДК
Вологда/Вологодская область, 26-27 декабря 2020 года</t>
  </si>
  <si>
    <t>Всероссийский мастерский турнир "Русский Север"
GPA Становая тяга без экипировки
Вологда/Вологодская область, 26-27 декабря 2020 года</t>
  </si>
  <si>
    <t>Всероссийский мастерский турнир "Русский Север"
IPO Жим лежа в однослойной экипировке ДК
Вологда/Вологодская область, 26-27 декабря 2020 года</t>
  </si>
  <si>
    <t>Всероссийский мастерский турнир "Русский Север"
IPO Жим лежа в однослойной экипировке
Вологда/Вологодская область, 26-27 декабря 2020 года</t>
  </si>
  <si>
    <t>Всероссийский мастерский турнир "Русский Север"
GPA Жим лежа без экипировки ДК
Вологда/Вологодская область, 26-27 декабря 2020 года</t>
  </si>
  <si>
    <t>Всероссийский мастерский турнир "Русский Север"
GPA Жим лежа без экипировки
Вологда/Вологодская область, 26-27 декабря 2020 года</t>
  </si>
  <si>
    <t>Всероссийский мастерский турнир "Русский Север"
GPA Пауэрлифтинг в бинтах ДК
Вологда/Вологодская область, 26-27 декабря 2020 года</t>
  </si>
  <si>
    <t>Всероссийский мастерский турнир "Русский Север"
GPA Пауэрлифтинг в бинтах
Вологда/Вологодская область, 26-27 декабря 2020 года</t>
  </si>
  <si>
    <t>Всероссийский мастерский турнир "Русский Север"
GPA Пауэрлифтинг без экипировки ДК
Вологда/Вологодская область, 26-27 декабря 2020 года</t>
  </si>
  <si>
    <t>Всероссийский мастерский турнир "Русский Север"
GPA Пауэрлифтинг без экипировки
Вологда/Вологодская область, 26-27 декабря 2020 года</t>
  </si>
  <si>
    <t xml:space="preserve">Кузьмин С. </t>
  </si>
  <si>
    <t>Самостоятельно</t>
  </si>
  <si>
    <t xml:space="preserve">Соловьев А. </t>
  </si>
  <si>
    <t xml:space="preserve">Ерёмин Ю. </t>
  </si>
  <si>
    <t xml:space="preserve">Смекалов В. </t>
  </si>
  <si>
    <t>Весовая категория</t>
  </si>
  <si>
    <t xml:space="preserve">Сегежа/Республика Карелия </t>
  </si>
  <si>
    <t>Билибино/Чукотский АО</t>
  </si>
  <si>
    <t xml:space="preserve">Билибино/Чукотский АО </t>
  </si>
  <si>
    <t>№</t>
  </si>
  <si>
    <t xml:space="preserve">
Дата рождения/Возраст</t>
  </si>
  <si>
    <t>Возрастная группа</t>
  </si>
  <si>
    <t>T2</t>
  </si>
  <si>
    <t>M1</t>
  </si>
  <si>
    <t>O</t>
  </si>
  <si>
    <t>M3</t>
  </si>
  <si>
    <t>J</t>
  </si>
  <si>
    <t>M2</t>
  </si>
  <si>
    <t>T3</t>
  </si>
  <si>
    <t>T1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</si>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</sst>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U53"/>
  <sheetViews>
    <sheetView workbookViewId="0">
      <selection activeCell="E44" sqref="E44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4" bestFit="1" customWidth="1"/>
    <col min="20" max="20" width="8.5" style="6" bestFit="1" customWidth="1"/>
    <col min="21" max="21" width="23.5" style="5" customWidth="1"/>
    <col min="22" max="16384" width="9.1640625" style="3"/>
  </cols>
  <sheetData>
    <row r="1" spans="1:21" s="2" customFormat="1" ht="29" customHeight="1">
      <c r="A1" s="45" t="s">
        <v>563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7</v>
      </c>
      <c r="H3" s="39"/>
      <c r="I3" s="39"/>
      <c r="J3" s="39"/>
      <c r="K3" s="39" t="s">
        <v>8</v>
      </c>
      <c r="L3" s="39"/>
      <c r="M3" s="39"/>
      <c r="N3" s="39"/>
      <c r="O3" s="39" t="s">
        <v>9</v>
      </c>
      <c r="P3" s="39"/>
      <c r="Q3" s="39"/>
      <c r="R3" s="39"/>
      <c r="S3" s="37" t="s">
        <v>1</v>
      </c>
      <c r="T3" s="39" t="s">
        <v>3</v>
      </c>
      <c r="U3" s="41" t="s">
        <v>2</v>
      </c>
    </row>
    <row r="4" spans="1:21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40"/>
      <c r="U4" s="42"/>
    </row>
    <row r="5" spans="1:21" ht="16">
      <c r="A5" s="43" t="s">
        <v>41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21">
      <c r="A6" s="8" t="s">
        <v>40</v>
      </c>
      <c r="B6" s="7" t="s">
        <v>42</v>
      </c>
      <c r="C6" s="7" t="s">
        <v>530</v>
      </c>
      <c r="D6" s="7" t="s">
        <v>43</v>
      </c>
      <c r="E6" s="7" t="s">
        <v>577</v>
      </c>
      <c r="F6" s="7" t="s">
        <v>44</v>
      </c>
      <c r="G6" s="14" t="s">
        <v>45</v>
      </c>
      <c r="H6" s="15" t="s">
        <v>20</v>
      </c>
      <c r="I6" s="15" t="s">
        <v>20</v>
      </c>
      <c r="J6" s="8"/>
      <c r="K6" s="15" t="s">
        <v>46</v>
      </c>
      <c r="L6" s="15" t="s">
        <v>46</v>
      </c>
      <c r="M6" s="15" t="s">
        <v>46</v>
      </c>
      <c r="N6" s="8"/>
      <c r="O6" s="15"/>
      <c r="P6" s="8"/>
      <c r="Q6" s="8"/>
      <c r="R6" s="8"/>
      <c r="S6" s="35">
        <v>0</v>
      </c>
      <c r="T6" s="8" t="str">
        <f>"0,0000"</f>
        <v>0,0000</v>
      </c>
      <c r="U6" s="7"/>
    </row>
    <row r="7" spans="1:21">
      <c r="B7" s="5" t="s">
        <v>39</v>
      </c>
    </row>
    <row r="8" spans="1:21" ht="16">
      <c r="A8" s="56" t="s">
        <v>48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21">
      <c r="A9" s="8" t="s">
        <v>38</v>
      </c>
      <c r="B9" s="7" t="s">
        <v>49</v>
      </c>
      <c r="C9" s="7" t="s">
        <v>50</v>
      </c>
      <c r="D9" s="7" t="s">
        <v>51</v>
      </c>
      <c r="E9" s="7" t="s">
        <v>578</v>
      </c>
      <c r="F9" s="7" t="s">
        <v>523</v>
      </c>
      <c r="G9" s="14" t="s">
        <v>52</v>
      </c>
      <c r="H9" s="15" t="s">
        <v>53</v>
      </c>
      <c r="I9" s="14" t="s">
        <v>54</v>
      </c>
      <c r="J9" s="8"/>
      <c r="K9" s="14" t="s">
        <v>55</v>
      </c>
      <c r="L9" s="14" t="s">
        <v>56</v>
      </c>
      <c r="M9" s="15" t="s">
        <v>57</v>
      </c>
      <c r="N9" s="8"/>
      <c r="O9" s="14" t="s">
        <v>53</v>
      </c>
      <c r="P9" s="14" t="s">
        <v>58</v>
      </c>
      <c r="Q9" s="15" t="s">
        <v>59</v>
      </c>
      <c r="R9" s="8"/>
      <c r="S9" s="35" t="str">
        <f>"185,0"</f>
        <v>185,0</v>
      </c>
      <c r="T9" s="8" t="str">
        <f>"185,8042"</f>
        <v>185,8042</v>
      </c>
      <c r="U9" s="7"/>
    </row>
    <row r="10" spans="1:21">
      <c r="B10" s="5" t="s">
        <v>39</v>
      </c>
    </row>
    <row r="11" spans="1:21" ht="16">
      <c r="A11" s="56" t="s">
        <v>60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1">
      <c r="A12" s="8" t="s">
        <v>38</v>
      </c>
      <c r="B12" s="7" t="s">
        <v>61</v>
      </c>
      <c r="C12" s="7" t="s">
        <v>62</v>
      </c>
      <c r="D12" s="7" t="s">
        <v>63</v>
      </c>
      <c r="E12" s="7" t="s">
        <v>579</v>
      </c>
      <c r="F12" s="7" t="s">
        <v>64</v>
      </c>
      <c r="G12" s="15" t="s">
        <v>47</v>
      </c>
      <c r="H12" s="14" t="s">
        <v>47</v>
      </c>
      <c r="I12" s="14" t="s">
        <v>65</v>
      </c>
      <c r="J12" s="8"/>
      <c r="K12" s="14" t="s">
        <v>45</v>
      </c>
      <c r="L12" s="14" t="s">
        <v>66</v>
      </c>
      <c r="M12" s="14" t="s">
        <v>67</v>
      </c>
      <c r="N12" s="8"/>
      <c r="O12" s="14" t="s">
        <v>68</v>
      </c>
      <c r="P12" s="14" t="s">
        <v>69</v>
      </c>
      <c r="Q12" s="14" t="s">
        <v>70</v>
      </c>
      <c r="R12" s="8"/>
      <c r="S12" s="35" t="str">
        <f>"345,0"</f>
        <v>345,0</v>
      </c>
      <c r="T12" s="8" t="str">
        <f>"249,0382"</f>
        <v>249,0382</v>
      </c>
      <c r="U12" s="28" t="s">
        <v>511</v>
      </c>
    </row>
    <row r="13" spans="1:21">
      <c r="B13" s="5" t="s">
        <v>39</v>
      </c>
    </row>
    <row r="14" spans="1:21" ht="16">
      <c r="A14" s="56" t="s">
        <v>10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5" spans="1:21">
      <c r="A15" s="17" t="s">
        <v>38</v>
      </c>
      <c r="B15" s="16" t="s">
        <v>71</v>
      </c>
      <c r="C15" s="16" t="s">
        <v>72</v>
      </c>
      <c r="D15" s="16" t="s">
        <v>73</v>
      </c>
      <c r="E15" s="16" t="s">
        <v>579</v>
      </c>
      <c r="F15" s="16" t="s">
        <v>74</v>
      </c>
      <c r="G15" s="22" t="s">
        <v>21</v>
      </c>
      <c r="H15" s="22" t="s">
        <v>65</v>
      </c>
      <c r="I15" s="22" t="s">
        <v>75</v>
      </c>
      <c r="J15" s="17"/>
      <c r="K15" s="22" t="s">
        <v>45</v>
      </c>
      <c r="L15" s="22" t="s">
        <v>59</v>
      </c>
      <c r="M15" s="22" t="s">
        <v>66</v>
      </c>
      <c r="N15" s="17"/>
      <c r="O15" s="22" t="s">
        <v>30</v>
      </c>
      <c r="P15" s="22" t="s">
        <v>76</v>
      </c>
      <c r="Q15" s="22" t="s">
        <v>77</v>
      </c>
      <c r="R15" s="17"/>
      <c r="S15" s="32" t="str">
        <f>"370,0"</f>
        <v>370,0</v>
      </c>
      <c r="T15" s="17" t="str">
        <f>"308,6540"</f>
        <v>308,6540</v>
      </c>
      <c r="U15" s="16"/>
    </row>
    <row r="16" spans="1:21">
      <c r="A16" s="19" t="s">
        <v>38</v>
      </c>
      <c r="B16" s="18" t="s">
        <v>71</v>
      </c>
      <c r="C16" s="18" t="s">
        <v>78</v>
      </c>
      <c r="D16" s="18" t="s">
        <v>73</v>
      </c>
      <c r="E16" s="18" t="s">
        <v>580</v>
      </c>
      <c r="F16" s="18" t="s">
        <v>74</v>
      </c>
      <c r="G16" s="23" t="s">
        <v>21</v>
      </c>
      <c r="H16" s="23" t="s">
        <v>65</v>
      </c>
      <c r="I16" s="23" t="s">
        <v>75</v>
      </c>
      <c r="J16" s="19"/>
      <c r="K16" s="23" t="s">
        <v>45</v>
      </c>
      <c r="L16" s="23" t="s">
        <v>59</v>
      </c>
      <c r="M16" s="23" t="s">
        <v>66</v>
      </c>
      <c r="N16" s="19"/>
      <c r="O16" s="23" t="s">
        <v>30</v>
      </c>
      <c r="P16" s="23" t="s">
        <v>76</v>
      </c>
      <c r="Q16" s="23" t="s">
        <v>77</v>
      </c>
      <c r="R16" s="19"/>
      <c r="S16" s="33" t="str">
        <f>"370,0"</f>
        <v>370,0</v>
      </c>
      <c r="T16" s="19" t="str">
        <f>"413,5964"</f>
        <v>413,5964</v>
      </c>
      <c r="U16" s="18"/>
    </row>
    <row r="17" spans="1:21">
      <c r="B17" s="5" t="s">
        <v>39</v>
      </c>
    </row>
    <row r="18" spans="1:21" ht="16">
      <c r="A18" s="56" t="s">
        <v>48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</row>
    <row r="19" spans="1:21">
      <c r="A19" s="8" t="s">
        <v>38</v>
      </c>
      <c r="B19" s="7" t="s">
        <v>79</v>
      </c>
      <c r="C19" s="7" t="s">
        <v>545</v>
      </c>
      <c r="D19" s="7" t="s">
        <v>80</v>
      </c>
      <c r="E19" s="7" t="s">
        <v>577</v>
      </c>
      <c r="F19" s="7" t="s">
        <v>14</v>
      </c>
      <c r="G19" s="15" t="s">
        <v>47</v>
      </c>
      <c r="H19" s="15" t="s">
        <v>47</v>
      </c>
      <c r="I19" s="14" t="s">
        <v>47</v>
      </c>
      <c r="J19" s="8"/>
      <c r="K19" s="15" t="s">
        <v>54</v>
      </c>
      <c r="L19" s="14" t="s">
        <v>45</v>
      </c>
      <c r="M19" s="15" t="s">
        <v>59</v>
      </c>
      <c r="N19" s="8"/>
      <c r="O19" s="14" t="s">
        <v>47</v>
      </c>
      <c r="P19" s="14" t="s">
        <v>81</v>
      </c>
      <c r="Q19" s="14" t="s">
        <v>75</v>
      </c>
      <c r="R19" s="8"/>
      <c r="S19" s="35" t="str">
        <f>"300,0"</f>
        <v>300,0</v>
      </c>
      <c r="T19" s="8" t="str">
        <f>"238,2600"</f>
        <v>238,2600</v>
      </c>
      <c r="U19" s="7"/>
    </row>
    <row r="20" spans="1:21">
      <c r="B20" s="5" t="s">
        <v>39</v>
      </c>
    </row>
    <row r="21" spans="1:21" ht="16">
      <c r="A21" s="56" t="s">
        <v>82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</row>
    <row r="22" spans="1:21">
      <c r="A22" s="17" t="s">
        <v>38</v>
      </c>
      <c r="B22" s="16" t="s">
        <v>83</v>
      </c>
      <c r="C22" s="16" t="s">
        <v>546</v>
      </c>
      <c r="D22" s="16" t="s">
        <v>84</v>
      </c>
      <c r="E22" s="16" t="s">
        <v>581</v>
      </c>
      <c r="F22" s="16" t="s">
        <v>64</v>
      </c>
      <c r="G22" s="22" t="s">
        <v>85</v>
      </c>
      <c r="H22" s="22" t="s">
        <v>86</v>
      </c>
      <c r="I22" s="22" t="s">
        <v>77</v>
      </c>
      <c r="J22" s="17"/>
      <c r="K22" s="22" t="s">
        <v>21</v>
      </c>
      <c r="L22" s="22" t="s">
        <v>87</v>
      </c>
      <c r="M22" s="24" t="s">
        <v>81</v>
      </c>
      <c r="N22" s="17"/>
      <c r="O22" s="22" t="s">
        <v>88</v>
      </c>
      <c r="P22" s="22" t="s">
        <v>89</v>
      </c>
      <c r="Q22" s="24" t="s">
        <v>90</v>
      </c>
      <c r="R22" s="17"/>
      <c r="S22" s="32" t="str">
        <f>"482,5"</f>
        <v>482,5</v>
      </c>
      <c r="T22" s="17" t="str">
        <f>"312,9977"</f>
        <v>312,9977</v>
      </c>
      <c r="U22" s="16"/>
    </row>
    <row r="23" spans="1:21">
      <c r="A23" s="21" t="s">
        <v>38</v>
      </c>
      <c r="B23" s="20" t="s">
        <v>91</v>
      </c>
      <c r="C23" s="20" t="s">
        <v>92</v>
      </c>
      <c r="D23" s="20" t="s">
        <v>93</v>
      </c>
      <c r="E23" s="20" t="s">
        <v>579</v>
      </c>
      <c r="F23" s="20" t="s">
        <v>573</v>
      </c>
      <c r="G23" s="25" t="s">
        <v>30</v>
      </c>
      <c r="H23" s="25" t="s">
        <v>94</v>
      </c>
      <c r="I23" s="26" t="s">
        <v>95</v>
      </c>
      <c r="J23" s="21"/>
      <c r="K23" s="25" t="s">
        <v>75</v>
      </c>
      <c r="L23" s="25" t="s">
        <v>68</v>
      </c>
      <c r="M23" s="26" t="s">
        <v>96</v>
      </c>
      <c r="N23" s="21"/>
      <c r="O23" s="25" t="s">
        <v>89</v>
      </c>
      <c r="P23" s="25" t="s">
        <v>97</v>
      </c>
      <c r="Q23" s="25" t="s">
        <v>98</v>
      </c>
      <c r="R23" s="21"/>
      <c r="S23" s="36" t="str">
        <f>"520,0"</f>
        <v>520,0</v>
      </c>
      <c r="T23" s="21" t="str">
        <f>"340,0800"</f>
        <v>340,0800</v>
      </c>
      <c r="U23" s="20"/>
    </row>
    <row r="24" spans="1:21">
      <c r="A24" s="19" t="s">
        <v>38</v>
      </c>
      <c r="B24" s="18" t="s">
        <v>99</v>
      </c>
      <c r="C24" s="18" t="s">
        <v>100</v>
      </c>
      <c r="D24" s="18" t="s">
        <v>101</v>
      </c>
      <c r="E24" s="18" t="s">
        <v>582</v>
      </c>
      <c r="F24" s="18" t="s">
        <v>102</v>
      </c>
      <c r="G24" s="27" t="s">
        <v>76</v>
      </c>
      <c r="H24" s="23" t="s">
        <v>76</v>
      </c>
      <c r="I24" s="23" t="s">
        <v>77</v>
      </c>
      <c r="J24" s="19"/>
      <c r="K24" s="23" t="s">
        <v>65</v>
      </c>
      <c r="L24" s="27" t="s">
        <v>75</v>
      </c>
      <c r="M24" s="27" t="s">
        <v>75</v>
      </c>
      <c r="N24" s="19"/>
      <c r="O24" s="23" t="s">
        <v>103</v>
      </c>
      <c r="P24" s="23" t="s">
        <v>29</v>
      </c>
      <c r="Q24" s="23" t="s">
        <v>31</v>
      </c>
      <c r="R24" s="19"/>
      <c r="S24" s="33" t="str">
        <f>"457,5"</f>
        <v>457,5</v>
      </c>
      <c r="T24" s="19" t="str">
        <f>"350,3327"</f>
        <v>350,3327</v>
      </c>
      <c r="U24" s="18" t="s">
        <v>104</v>
      </c>
    </row>
    <row r="25" spans="1:21">
      <c r="B25" s="5" t="s">
        <v>39</v>
      </c>
    </row>
    <row r="26" spans="1:21" ht="16">
      <c r="A26" s="56" t="s">
        <v>24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7" spans="1:21">
      <c r="A27" s="17" t="s">
        <v>38</v>
      </c>
      <c r="B27" s="16" t="s">
        <v>105</v>
      </c>
      <c r="C27" s="16" t="s">
        <v>106</v>
      </c>
      <c r="D27" s="16" t="s">
        <v>107</v>
      </c>
      <c r="E27" s="16" t="s">
        <v>579</v>
      </c>
      <c r="F27" s="16" t="s">
        <v>14</v>
      </c>
      <c r="G27" s="22" t="s">
        <v>31</v>
      </c>
      <c r="H27" s="22" t="s">
        <v>108</v>
      </c>
      <c r="I27" s="22" t="s">
        <v>88</v>
      </c>
      <c r="J27" s="17"/>
      <c r="K27" s="22" t="s">
        <v>109</v>
      </c>
      <c r="L27" s="24" t="s">
        <v>70</v>
      </c>
      <c r="M27" s="24" t="s">
        <v>70</v>
      </c>
      <c r="N27" s="17"/>
      <c r="O27" s="22" t="s">
        <v>89</v>
      </c>
      <c r="P27" s="22" t="s">
        <v>90</v>
      </c>
      <c r="Q27" s="22" t="s">
        <v>110</v>
      </c>
      <c r="R27" s="17"/>
      <c r="S27" s="32" t="str">
        <f>"565,0"</f>
        <v>565,0</v>
      </c>
      <c r="T27" s="17" t="str">
        <f>"348,2943"</f>
        <v>348,2943</v>
      </c>
      <c r="U27" s="16" t="s">
        <v>23</v>
      </c>
    </row>
    <row r="28" spans="1:21">
      <c r="A28" s="19" t="s">
        <v>166</v>
      </c>
      <c r="B28" s="18" t="s">
        <v>111</v>
      </c>
      <c r="C28" s="18" t="s">
        <v>112</v>
      </c>
      <c r="D28" s="18" t="s">
        <v>113</v>
      </c>
      <c r="E28" s="18" t="s">
        <v>579</v>
      </c>
      <c r="F28" s="18" t="s">
        <v>114</v>
      </c>
      <c r="G28" s="23" t="s">
        <v>96</v>
      </c>
      <c r="H28" s="23" t="s">
        <v>85</v>
      </c>
      <c r="I28" s="27" t="s">
        <v>94</v>
      </c>
      <c r="J28" s="19"/>
      <c r="K28" s="23" t="s">
        <v>75</v>
      </c>
      <c r="L28" s="23" t="s">
        <v>96</v>
      </c>
      <c r="M28" s="23" t="s">
        <v>109</v>
      </c>
      <c r="N28" s="19"/>
      <c r="O28" s="23" t="s">
        <v>103</v>
      </c>
      <c r="P28" s="23" t="s">
        <v>108</v>
      </c>
      <c r="Q28" s="23" t="s">
        <v>89</v>
      </c>
      <c r="R28" s="19"/>
      <c r="S28" s="33" t="str">
        <f>"490,0"</f>
        <v>490,0</v>
      </c>
      <c r="T28" s="19" t="str">
        <f>"302,6730"</f>
        <v>302,6730</v>
      </c>
      <c r="U28" s="30" t="s">
        <v>507</v>
      </c>
    </row>
    <row r="29" spans="1:21">
      <c r="B29" s="5" t="s">
        <v>39</v>
      </c>
    </row>
    <row r="30" spans="1:21" ht="16">
      <c r="A30" s="56" t="s">
        <v>115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</row>
    <row r="31" spans="1:21">
      <c r="A31" s="17" t="s">
        <v>38</v>
      </c>
      <c r="B31" s="16" t="s">
        <v>116</v>
      </c>
      <c r="C31" s="16" t="s">
        <v>547</v>
      </c>
      <c r="D31" s="16" t="s">
        <v>117</v>
      </c>
      <c r="E31" s="16" t="s">
        <v>577</v>
      </c>
      <c r="F31" s="16" t="s">
        <v>14</v>
      </c>
      <c r="G31" s="22" t="s">
        <v>70</v>
      </c>
      <c r="H31" s="22" t="s">
        <v>30</v>
      </c>
      <c r="I31" s="22" t="s">
        <v>86</v>
      </c>
      <c r="J31" s="17"/>
      <c r="K31" s="22" t="s">
        <v>47</v>
      </c>
      <c r="L31" s="22" t="s">
        <v>118</v>
      </c>
      <c r="M31" s="24" t="s">
        <v>81</v>
      </c>
      <c r="N31" s="17"/>
      <c r="O31" s="22" t="s">
        <v>30</v>
      </c>
      <c r="P31" s="24" t="s">
        <v>77</v>
      </c>
      <c r="Q31" s="22" t="s">
        <v>119</v>
      </c>
      <c r="R31" s="17"/>
      <c r="S31" s="32" t="str">
        <f>"430,0"</f>
        <v>430,0</v>
      </c>
      <c r="T31" s="17" t="str">
        <f>"255,1835"</f>
        <v>255,1835</v>
      </c>
      <c r="U31" s="16" t="s">
        <v>120</v>
      </c>
    </row>
    <row r="32" spans="1:21">
      <c r="A32" s="21" t="s">
        <v>38</v>
      </c>
      <c r="B32" s="20" t="s">
        <v>121</v>
      </c>
      <c r="C32" s="20" t="s">
        <v>548</v>
      </c>
      <c r="D32" s="20" t="s">
        <v>122</v>
      </c>
      <c r="E32" s="20" t="s">
        <v>583</v>
      </c>
      <c r="F32" s="20" t="s">
        <v>44</v>
      </c>
      <c r="G32" s="26" t="s">
        <v>31</v>
      </c>
      <c r="H32" s="26" t="s">
        <v>123</v>
      </c>
      <c r="I32" s="25" t="s">
        <v>123</v>
      </c>
      <c r="J32" s="21"/>
      <c r="K32" s="25" t="s">
        <v>87</v>
      </c>
      <c r="L32" s="25" t="s">
        <v>65</v>
      </c>
      <c r="M32" s="26" t="s">
        <v>75</v>
      </c>
      <c r="N32" s="21"/>
      <c r="O32" s="25" t="s">
        <v>31</v>
      </c>
      <c r="P32" s="25" t="s">
        <v>108</v>
      </c>
      <c r="Q32" s="25" t="s">
        <v>88</v>
      </c>
      <c r="R32" s="21"/>
      <c r="S32" s="36" t="str">
        <f>"500,0"</f>
        <v>500,0</v>
      </c>
      <c r="T32" s="21" t="str">
        <f>"295,2500"</f>
        <v>295,2500</v>
      </c>
      <c r="U32" s="20"/>
    </row>
    <row r="33" spans="1:21">
      <c r="A33" s="21" t="s">
        <v>166</v>
      </c>
      <c r="B33" s="20" t="s">
        <v>124</v>
      </c>
      <c r="C33" s="20" t="s">
        <v>549</v>
      </c>
      <c r="D33" s="20" t="s">
        <v>125</v>
      </c>
      <c r="E33" s="20" t="s">
        <v>583</v>
      </c>
      <c r="F33" s="20" t="s">
        <v>523</v>
      </c>
      <c r="G33" s="25" t="s">
        <v>75</v>
      </c>
      <c r="H33" s="25" t="s">
        <v>109</v>
      </c>
      <c r="I33" s="25" t="s">
        <v>30</v>
      </c>
      <c r="J33" s="21"/>
      <c r="K33" s="25" t="s">
        <v>54</v>
      </c>
      <c r="L33" s="25" t="s">
        <v>20</v>
      </c>
      <c r="M33" s="25" t="s">
        <v>15</v>
      </c>
      <c r="N33" s="21"/>
      <c r="O33" s="25" t="s">
        <v>30</v>
      </c>
      <c r="P33" s="25" t="s">
        <v>103</v>
      </c>
      <c r="Q33" s="25" t="s">
        <v>123</v>
      </c>
      <c r="R33" s="21"/>
      <c r="S33" s="36" t="str">
        <f>"427,5"</f>
        <v>427,5</v>
      </c>
      <c r="T33" s="21" t="str">
        <f>"259,8559"</f>
        <v>259,8559</v>
      </c>
      <c r="U33" s="20"/>
    </row>
    <row r="34" spans="1:21">
      <c r="A34" s="21" t="s">
        <v>38</v>
      </c>
      <c r="B34" s="20" t="s">
        <v>126</v>
      </c>
      <c r="C34" s="20" t="s">
        <v>127</v>
      </c>
      <c r="D34" s="20" t="s">
        <v>128</v>
      </c>
      <c r="E34" s="20" t="s">
        <v>579</v>
      </c>
      <c r="F34" s="20" t="s">
        <v>14</v>
      </c>
      <c r="G34" s="25" t="s">
        <v>47</v>
      </c>
      <c r="H34" s="25" t="s">
        <v>129</v>
      </c>
      <c r="I34" s="25" t="s">
        <v>90</v>
      </c>
      <c r="J34" s="21"/>
      <c r="K34" s="25" t="s">
        <v>47</v>
      </c>
      <c r="L34" s="25" t="s">
        <v>96</v>
      </c>
      <c r="M34" s="26" t="s">
        <v>130</v>
      </c>
      <c r="N34" s="21"/>
      <c r="O34" s="25" t="s">
        <v>47</v>
      </c>
      <c r="P34" s="25" t="s">
        <v>131</v>
      </c>
      <c r="Q34" s="25" t="s">
        <v>132</v>
      </c>
      <c r="R34" s="21"/>
      <c r="S34" s="36" t="str">
        <f>"630,0"</f>
        <v>630,0</v>
      </c>
      <c r="T34" s="21" t="str">
        <f>"374,4090"</f>
        <v>374,4090</v>
      </c>
      <c r="U34" s="29" t="s">
        <v>512</v>
      </c>
    </row>
    <row r="35" spans="1:21">
      <c r="A35" s="21" t="s">
        <v>166</v>
      </c>
      <c r="B35" s="20" t="s">
        <v>133</v>
      </c>
      <c r="C35" s="20" t="s">
        <v>134</v>
      </c>
      <c r="D35" s="20" t="s">
        <v>135</v>
      </c>
      <c r="E35" s="20" t="s">
        <v>579</v>
      </c>
      <c r="F35" s="20" t="s">
        <v>572</v>
      </c>
      <c r="G35" s="25" t="s">
        <v>90</v>
      </c>
      <c r="H35" s="25" t="s">
        <v>110</v>
      </c>
      <c r="I35" s="21"/>
      <c r="J35" s="21"/>
      <c r="K35" s="25" t="s">
        <v>85</v>
      </c>
      <c r="L35" s="26" t="s">
        <v>86</v>
      </c>
      <c r="M35" s="26" t="s">
        <v>86</v>
      </c>
      <c r="N35" s="21"/>
      <c r="O35" s="26" t="s">
        <v>98</v>
      </c>
      <c r="P35" s="25" t="s">
        <v>136</v>
      </c>
      <c r="Q35" s="26" t="s">
        <v>137</v>
      </c>
      <c r="R35" s="21"/>
      <c r="S35" s="36" t="str">
        <f>"615,0"</f>
        <v>615,0</v>
      </c>
      <c r="T35" s="21" t="str">
        <f>"358,8832"</f>
        <v>358,8832</v>
      </c>
      <c r="U35" s="20" t="s">
        <v>138</v>
      </c>
    </row>
    <row r="36" spans="1:21">
      <c r="A36" s="21" t="s">
        <v>167</v>
      </c>
      <c r="B36" s="20" t="s">
        <v>139</v>
      </c>
      <c r="C36" s="20" t="s">
        <v>140</v>
      </c>
      <c r="D36" s="20" t="s">
        <v>141</v>
      </c>
      <c r="E36" s="20" t="s">
        <v>579</v>
      </c>
      <c r="F36" s="20" t="s">
        <v>142</v>
      </c>
      <c r="G36" s="26" t="s">
        <v>129</v>
      </c>
      <c r="H36" s="26" t="s">
        <v>129</v>
      </c>
      <c r="I36" s="25" t="s">
        <v>129</v>
      </c>
      <c r="J36" s="21"/>
      <c r="K36" s="25" t="s">
        <v>30</v>
      </c>
      <c r="L36" s="26" t="s">
        <v>86</v>
      </c>
      <c r="M36" s="25" t="s">
        <v>86</v>
      </c>
      <c r="N36" s="21"/>
      <c r="O36" s="25" t="s">
        <v>136</v>
      </c>
      <c r="P36" s="25" t="s">
        <v>143</v>
      </c>
      <c r="Q36" s="26" t="s">
        <v>144</v>
      </c>
      <c r="R36" s="21"/>
      <c r="S36" s="36" t="str">
        <f>"610,0"</f>
        <v>610,0</v>
      </c>
      <c r="T36" s="21" t="str">
        <f>"364,2310"</f>
        <v>364,2310</v>
      </c>
      <c r="U36" s="20" t="s">
        <v>145</v>
      </c>
    </row>
    <row r="37" spans="1:21">
      <c r="A37" s="19" t="s">
        <v>168</v>
      </c>
      <c r="B37" s="18" t="s">
        <v>146</v>
      </c>
      <c r="C37" s="18" t="s">
        <v>147</v>
      </c>
      <c r="D37" s="18" t="s">
        <v>128</v>
      </c>
      <c r="E37" s="18" t="s">
        <v>579</v>
      </c>
      <c r="F37" s="18" t="s">
        <v>102</v>
      </c>
      <c r="G37" s="23" t="s">
        <v>103</v>
      </c>
      <c r="H37" s="23" t="s">
        <v>29</v>
      </c>
      <c r="I37" s="23" t="s">
        <v>31</v>
      </c>
      <c r="J37" s="19"/>
      <c r="K37" s="23" t="s">
        <v>76</v>
      </c>
      <c r="L37" s="27" t="s">
        <v>77</v>
      </c>
      <c r="M37" s="23" t="s">
        <v>77</v>
      </c>
      <c r="N37" s="19"/>
      <c r="O37" s="23" t="s">
        <v>148</v>
      </c>
      <c r="P37" s="23" t="s">
        <v>97</v>
      </c>
      <c r="Q37" s="23" t="s">
        <v>110</v>
      </c>
      <c r="R37" s="19"/>
      <c r="S37" s="33" t="str">
        <f>"572,5"</f>
        <v>572,5</v>
      </c>
      <c r="T37" s="19" t="str">
        <f>"340,2367"</f>
        <v>340,2367</v>
      </c>
      <c r="U37" s="18"/>
    </row>
    <row r="38" spans="1:21">
      <c r="B38" s="5" t="s">
        <v>39</v>
      </c>
    </row>
    <row r="39" spans="1:21" ht="16">
      <c r="A39" s="56" t="s">
        <v>149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21">
      <c r="A40" s="8" t="s">
        <v>38</v>
      </c>
      <c r="B40" s="7" t="s">
        <v>150</v>
      </c>
      <c r="C40" s="7" t="s">
        <v>151</v>
      </c>
      <c r="D40" s="7" t="s">
        <v>152</v>
      </c>
      <c r="E40" s="7" t="s">
        <v>579</v>
      </c>
      <c r="F40" s="7" t="s">
        <v>14</v>
      </c>
      <c r="G40" s="14" t="s">
        <v>87</v>
      </c>
      <c r="H40" s="14" t="s">
        <v>96</v>
      </c>
      <c r="I40" s="14" t="s">
        <v>30</v>
      </c>
      <c r="J40" s="8"/>
      <c r="K40" s="14" t="s">
        <v>45</v>
      </c>
      <c r="L40" s="14" t="s">
        <v>67</v>
      </c>
      <c r="M40" s="14" t="s">
        <v>47</v>
      </c>
      <c r="N40" s="8"/>
      <c r="O40" s="14" t="s">
        <v>75</v>
      </c>
      <c r="P40" s="14" t="s">
        <v>30</v>
      </c>
      <c r="Q40" s="14" t="s">
        <v>95</v>
      </c>
      <c r="R40" s="8"/>
      <c r="S40" s="35" t="str">
        <f>"415,0"</f>
        <v>415,0</v>
      </c>
      <c r="T40" s="8" t="str">
        <f>"236,2180"</f>
        <v>236,2180</v>
      </c>
      <c r="U40" s="28" t="s">
        <v>507</v>
      </c>
    </row>
    <row r="41" spans="1:21">
      <c r="B41" s="5" t="s">
        <v>39</v>
      </c>
    </row>
    <row r="42" spans="1:21" ht="16">
      <c r="A42" s="56" t="s">
        <v>153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21">
      <c r="A43" s="8" t="s">
        <v>38</v>
      </c>
      <c r="B43" s="7" t="s">
        <v>154</v>
      </c>
      <c r="C43" s="7" t="s">
        <v>550</v>
      </c>
      <c r="D43" s="7" t="s">
        <v>155</v>
      </c>
      <c r="E43" s="7" t="s">
        <v>583</v>
      </c>
      <c r="F43" s="7" t="s">
        <v>28</v>
      </c>
      <c r="G43" s="14" t="s">
        <v>85</v>
      </c>
      <c r="H43" s="14" t="s">
        <v>86</v>
      </c>
      <c r="I43" s="14" t="s">
        <v>94</v>
      </c>
      <c r="J43" s="8"/>
      <c r="K43" s="14" t="s">
        <v>156</v>
      </c>
      <c r="L43" s="14" t="s">
        <v>21</v>
      </c>
      <c r="M43" s="15" t="s">
        <v>87</v>
      </c>
      <c r="N43" s="8"/>
      <c r="O43" s="14" t="s">
        <v>30</v>
      </c>
      <c r="P43" s="14" t="s">
        <v>94</v>
      </c>
      <c r="Q43" s="15" t="s">
        <v>95</v>
      </c>
      <c r="R43" s="8"/>
      <c r="S43" s="35" t="str">
        <f>"425,0"</f>
        <v>425,0</v>
      </c>
      <c r="T43" s="8" t="str">
        <f>"232,6663"</f>
        <v>232,6663</v>
      </c>
      <c r="U43" s="28" t="s">
        <v>494</v>
      </c>
    </row>
    <row r="44" spans="1:21">
      <c r="B44" s="5" t="s">
        <v>39</v>
      </c>
    </row>
    <row r="46" spans="1:21">
      <c r="B46" s="5" t="s">
        <v>39</v>
      </c>
    </row>
    <row r="47" spans="1:21" ht="18">
      <c r="B47" s="9" t="s">
        <v>32</v>
      </c>
      <c r="C47" s="9"/>
    </row>
    <row r="48" spans="1:21" ht="16">
      <c r="B48" s="10" t="s">
        <v>158</v>
      </c>
      <c r="C48" s="10"/>
    </row>
    <row r="49" spans="2:6" ht="14">
      <c r="B49" s="11"/>
      <c r="C49" s="12" t="s">
        <v>33</v>
      </c>
    </row>
    <row r="50" spans="2:6" ht="14">
      <c r="B50" s="13" t="s">
        <v>34</v>
      </c>
      <c r="C50" s="13" t="s">
        <v>35</v>
      </c>
      <c r="D50" s="13" t="s">
        <v>570</v>
      </c>
      <c r="E50" s="13" t="s">
        <v>36</v>
      </c>
      <c r="F50" s="13" t="s">
        <v>37</v>
      </c>
    </row>
    <row r="51" spans="2:6">
      <c r="B51" s="5" t="s">
        <v>126</v>
      </c>
      <c r="C51" s="5" t="s">
        <v>33</v>
      </c>
      <c r="D51" s="6" t="s">
        <v>159</v>
      </c>
      <c r="E51" s="6" t="s">
        <v>160</v>
      </c>
      <c r="F51" s="6" t="s">
        <v>161</v>
      </c>
    </row>
    <row r="52" spans="2:6">
      <c r="B52" s="5" t="s">
        <v>139</v>
      </c>
      <c r="C52" s="5" t="s">
        <v>33</v>
      </c>
      <c r="D52" s="6" t="s">
        <v>159</v>
      </c>
      <c r="E52" s="6" t="s">
        <v>162</v>
      </c>
      <c r="F52" s="6" t="s">
        <v>163</v>
      </c>
    </row>
    <row r="53" spans="2:6">
      <c r="B53" s="5" t="s">
        <v>133</v>
      </c>
      <c r="C53" s="5" t="s">
        <v>33</v>
      </c>
      <c r="D53" s="6" t="s">
        <v>159</v>
      </c>
      <c r="E53" s="6" t="s">
        <v>164</v>
      </c>
      <c r="F53" s="6" t="s">
        <v>165</v>
      </c>
    </row>
  </sheetData>
  <mergeCells count="23">
    <mergeCell ref="A30:R30"/>
    <mergeCell ref="A39:R39"/>
    <mergeCell ref="A42:R42"/>
    <mergeCell ref="B3:B4"/>
    <mergeCell ref="A8:R8"/>
    <mergeCell ref="A11:R11"/>
    <mergeCell ref="A14:R14"/>
    <mergeCell ref="A18:R18"/>
    <mergeCell ref="A21:R21"/>
    <mergeCell ref="A26:R26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45" t="s">
        <v>557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8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82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369</v>
      </c>
      <c r="C6" s="7" t="s">
        <v>370</v>
      </c>
      <c r="D6" s="7" t="s">
        <v>371</v>
      </c>
      <c r="E6" s="7" t="s">
        <v>579</v>
      </c>
      <c r="F6" s="7" t="s">
        <v>372</v>
      </c>
      <c r="G6" s="14" t="s">
        <v>88</v>
      </c>
      <c r="H6" s="15" t="s">
        <v>148</v>
      </c>
      <c r="I6" s="14" t="s">
        <v>148</v>
      </c>
      <c r="J6" s="8"/>
      <c r="K6" s="8" t="str">
        <f>"215,0"</f>
        <v>215,0</v>
      </c>
      <c r="L6" s="8" t="str">
        <f>"140,8357"</f>
        <v>140,8357</v>
      </c>
      <c r="M6" s="7" t="s">
        <v>566</v>
      </c>
    </row>
    <row r="7" spans="1:13">
      <c r="B7" s="5" t="s">
        <v>39</v>
      </c>
    </row>
    <row r="8" spans="1:13">
      <c r="B8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5.332031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5" t="s">
        <v>558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8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153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364</v>
      </c>
      <c r="C6" s="7" t="s">
        <v>365</v>
      </c>
      <c r="D6" s="7" t="s">
        <v>366</v>
      </c>
      <c r="E6" s="7" t="s">
        <v>579</v>
      </c>
      <c r="F6" s="7" t="s">
        <v>523</v>
      </c>
      <c r="G6" s="15" t="s">
        <v>367</v>
      </c>
      <c r="H6" s="14" t="s">
        <v>367</v>
      </c>
      <c r="I6" s="14" t="s">
        <v>368</v>
      </c>
      <c r="J6" s="8"/>
      <c r="K6" s="8" t="str">
        <f>"262,5"</f>
        <v>262,5</v>
      </c>
      <c r="L6" s="8" t="str">
        <f>"146,5538"</f>
        <v>146,5538</v>
      </c>
      <c r="M6" s="28" t="s">
        <v>501</v>
      </c>
    </row>
    <row r="7" spans="1:13">
      <c r="B7" s="5" t="s">
        <v>39</v>
      </c>
    </row>
    <row r="8" spans="1:13">
      <c r="B8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8.33203125" style="5" customWidth="1"/>
    <col min="14" max="16384" width="9.1640625" style="3"/>
  </cols>
  <sheetData>
    <row r="1" spans="1:13" s="2" customFormat="1" ht="29" customHeight="1">
      <c r="A1" s="45" t="s">
        <v>516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8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24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7" t="s">
        <v>38</v>
      </c>
      <c r="B6" s="16" t="s">
        <v>479</v>
      </c>
      <c r="C6" s="16" t="s">
        <v>480</v>
      </c>
      <c r="D6" s="16" t="s">
        <v>481</v>
      </c>
      <c r="E6" s="16" t="s">
        <v>579</v>
      </c>
      <c r="F6" s="16" t="s">
        <v>14</v>
      </c>
      <c r="G6" s="24" t="s">
        <v>317</v>
      </c>
      <c r="H6" s="24" t="s">
        <v>317</v>
      </c>
      <c r="I6" s="22" t="s">
        <v>317</v>
      </c>
      <c r="J6" s="17"/>
      <c r="K6" s="17" t="str">
        <f>"147,5"</f>
        <v>147,5</v>
      </c>
      <c r="L6" s="17" t="str">
        <f>"91,5238"</f>
        <v>91,5238</v>
      </c>
      <c r="M6" s="16" t="s">
        <v>482</v>
      </c>
    </row>
    <row r="7" spans="1:13">
      <c r="A7" s="19" t="s">
        <v>166</v>
      </c>
      <c r="B7" s="18" t="s">
        <v>483</v>
      </c>
      <c r="C7" s="18" t="s">
        <v>484</v>
      </c>
      <c r="D7" s="18" t="s">
        <v>485</v>
      </c>
      <c r="E7" s="18" t="s">
        <v>579</v>
      </c>
      <c r="F7" s="18" t="s">
        <v>486</v>
      </c>
      <c r="G7" s="23" t="s">
        <v>317</v>
      </c>
      <c r="H7" s="27" t="s">
        <v>95</v>
      </c>
      <c r="I7" s="27" t="s">
        <v>95</v>
      </c>
      <c r="J7" s="19"/>
      <c r="K7" s="19" t="str">
        <f>"147,5"</f>
        <v>147,5</v>
      </c>
      <c r="L7" s="19" t="str">
        <f>"90,6461"</f>
        <v>90,6461</v>
      </c>
      <c r="M7" s="18"/>
    </row>
    <row r="8" spans="1:13">
      <c r="B8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45" t="s">
        <v>517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8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115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476</v>
      </c>
      <c r="C6" s="7" t="s">
        <v>477</v>
      </c>
      <c r="D6" s="7" t="s">
        <v>478</v>
      </c>
      <c r="E6" s="7" t="s">
        <v>579</v>
      </c>
      <c r="F6" s="7" t="s">
        <v>28</v>
      </c>
      <c r="G6" s="15" t="s">
        <v>90</v>
      </c>
      <c r="H6" s="14" t="s">
        <v>97</v>
      </c>
      <c r="I6" s="14" t="s">
        <v>110</v>
      </c>
      <c r="J6" s="8"/>
      <c r="K6" s="8" t="str">
        <f>"230,0"</f>
        <v>230,0</v>
      </c>
      <c r="L6" s="8" t="str">
        <f>"134,5615"</f>
        <v>134,5615</v>
      </c>
      <c r="M6" s="7"/>
    </row>
    <row r="7" spans="1:13">
      <c r="B7" s="5" t="s">
        <v>39</v>
      </c>
    </row>
    <row r="8" spans="1:13">
      <c r="B8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6.83203125" style="5" bestFit="1" customWidth="1"/>
    <col min="14" max="16384" width="9.1640625" style="3"/>
  </cols>
  <sheetData>
    <row r="1" spans="1:13" s="2" customFormat="1" ht="29" customHeight="1">
      <c r="A1" s="45" t="s">
        <v>514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8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82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441</v>
      </c>
      <c r="C6" s="7" t="s">
        <v>442</v>
      </c>
      <c r="D6" s="7" t="s">
        <v>443</v>
      </c>
      <c r="E6" s="7" t="s">
        <v>579</v>
      </c>
      <c r="F6" s="7" t="s">
        <v>444</v>
      </c>
      <c r="G6" s="15" t="s">
        <v>388</v>
      </c>
      <c r="H6" s="14" t="s">
        <v>388</v>
      </c>
      <c r="I6" s="15" t="s">
        <v>488</v>
      </c>
      <c r="J6" s="8"/>
      <c r="K6" s="8" t="str">
        <f>"322,5"</f>
        <v>322,5</v>
      </c>
      <c r="L6" s="8" t="str">
        <f>"208,2060"</f>
        <v>208,2060</v>
      </c>
      <c r="M6" s="7"/>
    </row>
    <row r="7" spans="1:13">
      <c r="B7" s="5" t="s">
        <v>39</v>
      </c>
    </row>
    <row r="8" spans="1:13" ht="16">
      <c r="A8" s="56" t="s">
        <v>115</v>
      </c>
      <c r="B8" s="56"/>
      <c r="C8" s="56"/>
      <c r="D8" s="56"/>
      <c r="E8" s="56"/>
      <c r="F8" s="56"/>
      <c r="G8" s="56"/>
      <c r="H8" s="56"/>
      <c r="I8" s="56"/>
      <c r="J8" s="56"/>
    </row>
    <row r="9" spans="1:13">
      <c r="A9" s="8" t="s">
        <v>38</v>
      </c>
      <c r="B9" s="7" t="s">
        <v>489</v>
      </c>
      <c r="C9" s="7" t="s">
        <v>490</v>
      </c>
      <c r="D9" s="7" t="s">
        <v>357</v>
      </c>
      <c r="E9" s="7" t="s">
        <v>579</v>
      </c>
      <c r="F9" s="7" t="s">
        <v>28</v>
      </c>
      <c r="G9" s="14" t="s">
        <v>88</v>
      </c>
      <c r="H9" s="15" t="s">
        <v>148</v>
      </c>
      <c r="I9" s="15" t="s">
        <v>148</v>
      </c>
      <c r="J9" s="8"/>
      <c r="K9" s="8" t="str">
        <f>"200,0"</f>
        <v>200,0</v>
      </c>
      <c r="L9" s="8" t="str">
        <f>"116,7600"</f>
        <v>116,7600</v>
      </c>
      <c r="M9" s="28" t="s">
        <v>494</v>
      </c>
    </row>
    <row r="10" spans="1:13">
      <c r="B10" s="5" t="s">
        <v>39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1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45" t="s">
        <v>515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8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82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17" t="s">
        <v>38</v>
      </c>
      <c r="B6" s="16" t="s">
        <v>226</v>
      </c>
      <c r="C6" s="16" t="s">
        <v>227</v>
      </c>
      <c r="D6" s="16" t="s">
        <v>228</v>
      </c>
      <c r="E6" s="16" t="s">
        <v>579</v>
      </c>
      <c r="F6" s="16" t="s">
        <v>14</v>
      </c>
      <c r="G6" s="22" t="s">
        <v>487</v>
      </c>
      <c r="H6" s="24" t="s">
        <v>131</v>
      </c>
      <c r="I6" s="24" t="s">
        <v>131</v>
      </c>
      <c r="J6" s="17"/>
      <c r="K6" s="17" t="str">
        <f>"245,0"</f>
        <v>245,0</v>
      </c>
      <c r="L6" s="17" t="str">
        <f>"159,1887"</f>
        <v>159,1887</v>
      </c>
      <c r="M6" s="16"/>
    </row>
    <row r="7" spans="1:13">
      <c r="A7" s="21" t="s">
        <v>166</v>
      </c>
      <c r="B7" s="20" t="s">
        <v>222</v>
      </c>
      <c r="C7" s="20" t="s">
        <v>223</v>
      </c>
      <c r="D7" s="20" t="s">
        <v>224</v>
      </c>
      <c r="E7" s="20" t="s">
        <v>579</v>
      </c>
      <c r="F7" s="20" t="s">
        <v>225</v>
      </c>
      <c r="G7" s="25" t="s">
        <v>110</v>
      </c>
      <c r="H7" s="26" t="s">
        <v>137</v>
      </c>
      <c r="I7" s="26" t="s">
        <v>131</v>
      </c>
      <c r="J7" s="21"/>
      <c r="K7" s="21" t="str">
        <f>"230,0"</f>
        <v>230,0</v>
      </c>
      <c r="L7" s="21" t="str">
        <f>"151,8115"</f>
        <v>151,8115</v>
      </c>
      <c r="M7" s="29" t="s">
        <v>495</v>
      </c>
    </row>
    <row r="8" spans="1:13">
      <c r="A8" s="19" t="s">
        <v>167</v>
      </c>
      <c r="B8" s="18" t="s">
        <v>229</v>
      </c>
      <c r="C8" s="18" t="s">
        <v>230</v>
      </c>
      <c r="D8" s="18" t="s">
        <v>177</v>
      </c>
      <c r="E8" s="18" t="s">
        <v>579</v>
      </c>
      <c r="F8" s="18" t="s">
        <v>28</v>
      </c>
      <c r="G8" s="27" t="s">
        <v>90</v>
      </c>
      <c r="H8" s="23" t="s">
        <v>90</v>
      </c>
      <c r="I8" s="27" t="s">
        <v>487</v>
      </c>
      <c r="J8" s="19"/>
      <c r="K8" s="19" t="str">
        <f>"220,0"</f>
        <v>220,0</v>
      </c>
      <c r="L8" s="19" t="str">
        <f>"143,6380"</f>
        <v>143,6380</v>
      </c>
      <c r="M8" s="30" t="s">
        <v>494</v>
      </c>
    </row>
    <row r="9" spans="1:13">
      <c r="B9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45" t="s">
        <v>513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8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82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491</v>
      </c>
      <c r="C6" s="7" t="s">
        <v>492</v>
      </c>
      <c r="D6" s="7" t="s">
        <v>320</v>
      </c>
      <c r="E6" s="7" t="s">
        <v>579</v>
      </c>
      <c r="F6" s="7" t="s">
        <v>14</v>
      </c>
      <c r="G6" s="14" t="s">
        <v>94</v>
      </c>
      <c r="H6" s="14" t="s">
        <v>95</v>
      </c>
      <c r="I6" s="14" t="s">
        <v>103</v>
      </c>
      <c r="J6" s="8"/>
      <c r="K6" s="8" t="str">
        <f>"170,0"</f>
        <v>170,0</v>
      </c>
      <c r="L6" s="8" t="str">
        <f>"109,5820"</f>
        <v>109,5820</v>
      </c>
      <c r="M6" s="7" t="s">
        <v>439</v>
      </c>
    </row>
    <row r="7" spans="1:13">
      <c r="B7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35"/>
  <sheetViews>
    <sheetView workbookViewId="0">
      <selection activeCell="E35" sqref="E35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8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1640625" style="5" customWidth="1"/>
    <col min="14" max="16384" width="9.1640625" style="3"/>
  </cols>
  <sheetData>
    <row r="1" spans="1:13" s="2" customFormat="1" ht="29" customHeight="1">
      <c r="A1" s="45" t="s">
        <v>555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9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396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397</v>
      </c>
      <c r="C6" s="7" t="s">
        <v>528</v>
      </c>
      <c r="D6" s="7" t="s">
        <v>398</v>
      </c>
      <c r="E6" s="7" t="s">
        <v>577</v>
      </c>
      <c r="F6" s="7" t="s">
        <v>14</v>
      </c>
      <c r="G6" s="14" t="s">
        <v>53</v>
      </c>
      <c r="H6" s="15" t="s">
        <v>58</v>
      </c>
      <c r="I6" s="15" t="s">
        <v>45</v>
      </c>
      <c r="J6" s="8"/>
      <c r="K6" s="8" t="str">
        <f>"65,0"</f>
        <v>65,0</v>
      </c>
      <c r="L6" s="8" t="str">
        <f>"81,7700"</f>
        <v>81,7700</v>
      </c>
      <c r="M6" s="7" t="s">
        <v>565</v>
      </c>
    </row>
    <row r="7" spans="1:13">
      <c r="B7" s="5" t="s">
        <v>39</v>
      </c>
    </row>
    <row r="8" spans="1:13" ht="16">
      <c r="A8" s="56" t="s">
        <v>190</v>
      </c>
      <c r="B8" s="56"/>
      <c r="C8" s="56"/>
      <c r="D8" s="56"/>
      <c r="E8" s="56"/>
      <c r="F8" s="56"/>
      <c r="G8" s="56"/>
      <c r="H8" s="56"/>
      <c r="I8" s="56"/>
      <c r="J8" s="56"/>
    </row>
    <row r="9" spans="1:13">
      <c r="A9" s="8" t="s">
        <v>38</v>
      </c>
      <c r="B9" s="7" t="s">
        <v>399</v>
      </c>
      <c r="C9" s="7" t="s">
        <v>529</v>
      </c>
      <c r="D9" s="7" t="s">
        <v>400</v>
      </c>
      <c r="E9" s="7" t="s">
        <v>584</v>
      </c>
      <c r="F9" s="7" t="s">
        <v>14</v>
      </c>
      <c r="G9" s="14" t="s">
        <v>46</v>
      </c>
      <c r="H9" s="15" t="s">
        <v>52</v>
      </c>
      <c r="I9" s="15" t="s">
        <v>52</v>
      </c>
      <c r="J9" s="8"/>
      <c r="K9" s="8" t="str">
        <f>"50,0"</f>
        <v>50,0</v>
      </c>
      <c r="L9" s="8" t="str">
        <f>"60,4850"</f>
        <v>60,4850</v>
      </c>
      <c r="M9" s="7" t="s">
        <v>565</v>
      </c>
    </row>
    <row r="10" spans="1:13">
      <c r="B10" s="5" t="s">
        <v>39</v>
      </c>
    </row>
    <row r="11" spans="1:13" ht="16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>
      <c r="A12" s="17" t="s">
        <v>38</v>
      </c>
      <c r="B12" s="16" t="s">
        <v>42</v>
      </c>
      <c r="C12" s="16" t="s">
        <v>530</v>
      </c>
      <c r="D12" s="16" t="s">
        <v>43</v>
      </c>
      <c r="E12" s="16" t="s">
        <v>577</v>
      </c>
      <c r="F12" s="16" t="s">
        <v>44</v>
      </c>
      <c r="G12" s="22" t="s">
        <v>67</v>
      </c>
      <c r="H12" s="24" t="s">
        <v>47</v>
      </c>
      <c r="I12" s="24" t="s">
        <v>47</v>
      </c>
      <c r="J12" s="17"/>
      <c r="K12" s="17" t="str">
        <f>"90,0"</f>
        <v>90,0</v>
      </c>
      <c r="L12" s="17" t="str">
        <f>"95,3190"</f>
        <v>95,3190</v>
      </c>
      <c r="M12" s="16"/>
    </row>
    <row r="13" spans="1:13">
      <c r="A13" s="19" t="s">
        <v>38</v>
      </c>
      <c r="B13" s="18" t="s">
        <v>401</v>
      </c>
      <c r="C13" s="18" t="s">
        <v>402</v>
      </c>
      <c r="D13" s="18" t="s">
        <v>403</v>
      </c>
      <c r="E13" s="18" t="s">
        <v>579</v>
      </c>
      <c r="F13" s="18" t="s">
        <v>14</v>
      </c>
      <c r="G13" s="23" t="s">
        <v>67</v>
      </c>
      <c r="H13" s="27" t="s">
        <v>47</v>
      </c>
      <c r="I13" s="19"/>
      <c r="J13" s="19"/>
      <c r="K13" s="19" t="str">
        <f>"90,0"</f>
        <v>90,0</v>
      </c>
      <c r="L13" s="19" t="str">
        <f>"95,1750"</f>
        <v>95,1750</v>
      </c>
      <c r="M13" s="18"/>
    </row>
    <row r="14" spans="1:13">
      <c r="B14" s="5" t="s">
        <v>39</v>
      </c>
    </row>
    <row r="15" spans="1:13" ht="16">
      <c r="A15" s="56" t="s">
        <v>10</v>
      </c>
      <c r="B15" s="56"/>
      <c r="C15" s="56"/>
      <c r="D15" s="56"/>
      <c r="E15" s="56"/>
      <c r="F15" s="56"/>
      <c r="G15" s="56"/>
      <c r="H15" s="56"/>
      <c r="I15" s="56"/>
      <c r="J15" s="56"/>
    </row>
    <row r="16" spans="1:13">
      <c r="A16" s="17" t="s">
        <v>38</v>
      </c>
      <c r="B16" s="16" t="s">
        <v>404</v>
      </c>
      <c r="C16" s="16" t="s">
        <v>531</v>
      </c>
      <c r="D16" s="16" t="s">
        <v>405</v>
      </c>
      <c r="E16" s="16" t="s">
        <v>577</v>
      </c>
      <c r="F16" s="16" t="s">
        <v>14</v>
      </c>
      <c r="G16" s="22" t="s">
        <v>54</v>
      </c>
      <c r="H16" s="22" t="s">
        <v>58</v>
      </c>
      <c r="I16" s="22" t="s">
        <v>45</v>
      </c>
      <c r="J16" s="17"/>
      <c r="K16" s="17" t="str">
        <f>"80,0"</f>
        <v>80,0</v>
      </c>
      <c r="L16" s="17" t="str">
        <f>"81,9840"</f>
        <v>81,9840</v>
      </c>
      <c r="M16" s="16" t="s">
        <v>565</v>
      </c>
    </row>
    <row r="17" spans="1:13">
      <c r="A17" s="19" t="s">
        <v>38</v>
      </c>
      <c r="B17" s="18" t="s">
        <v>406</v>
      </c>
      <c r="C17" s="18" t="s">
        <v>532</v>
      </c>
      <c r="D17" s="18" t="s">
        <v>407</v>
      </c>
      <c r="E17" s="18" t="s">
        <v>583</v>
      </c>
      <c r="F17" s="18" t="s">
        <v>14</v>
      </c>
      <c r="G17" s="23" t="s">
        <v>75</v>
      </c>
      <c r="H17" s="23" t="s">
        <v>96</v>
      </c>
      <c r="I17" s="27" t="s">
        <v>332</v>
      </c>
      <c r="J17" s="19"/>
      <c r="K17" s="19" t="str">
        <f>"130,0"</f>
        <v>130,0</v>
      </c>
      <c r="L17" s="19" t="str">
        <f>"132,1190"</f>
        <v>132,1190</v>
      </c>
      <c r="M17" s="18"/>
    </row>
    <row r="18" spans="1:13">
      <c r="B18" s="5" t="s">
        <v>39</v>
      </c>
    </row>
    <row r="19" spans="1:13" ht="16">
      <c r="A19" s="56" t="s">
        <v>48</v>
      </c>
      <c r="B19" s="56"/>
      <c r="C19" s="56"/>
      <c r="D19" s="56"/>
      <c r="E19" s="56"/>
      <c r="F19" s="56"/>
      <c r="G19" s="56"/>
      <c r="H19" s="56"/>
      <c r="I19" s="56"/>
      <c r="J19" s="56"/>
    </row>
    <row r="20" spans="1:13">
      <c r="A20" s="8" t="s">
        <v>38</v>
      </c>
      <c r="B20" s="7" t="s">
        <v>49</v>
      </c>
      <c r="C20" s="7" t="s">
        <v>50</v>
      </c>
      <c r="D20" s="7" t="s">
        <v>51</v>
      </c>
      <c r="E20" s="7" t="s">
        <v>578</v>
      </c>
      <c r="F20" s="7" t="s">
        <v>523</v>
      </c>
      <c r="G20" s="14" t="s">
        <v>53</v>
      </c>
      <c r="H20" s="14" t="s">
        <v>58</v>
      </c>
      <c r="I20" s="15" t="s">
        <v>59</v>
      </c>
      <c r="J20" s="8"/>
      <c r="K20" s="8" t="str">
        <f>"75,0"</f>
        <v>75,0</v>
      </c>
      <c r="L20" s="8" t="str">
        <f>"75,3260"</f>
        <v>75,3260</v>
      </c>
      <c r="M20" s="7"/>
    </row>
    <row r="21" spans="1:13">
      <c r="B21" s="5" t="s">
        <v>39</v>
      </c>
    </row>
    <row r="22" spans="1:13" ht="16">
      <c r="A22" s="56" t="s">
        <v>60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3">
      <c r="A23" s="8" t="s">
        <v>38</v>
      </c>
      <c r="B23" s="7" t="s">
        <v>408</v>
      </c>
      <c r="C23" s="7" t="s">
        <v>409</v>
      </c>
      <c r="D23" s="7" t="s">
        <v>410</v>
      </c>
      <c r="E23" s="7" t="s">
        <v>579</v>
      </c>
      <c r="F23" s="7" t="s">
        <v>523</v>
      </c>
      <c r="G23" s="14" t="s">
        <v>85</v>
      </c>
      <c r="H23" s="8"/>
      <c r="I23" s="8"/>
      <c r="J23" s="8"/>
      <c r="K23" s="8" t="str">
        <f>"145,0"</f>
        <v>145,0</v>
      </c>
      <c r="L23" s="8" t="str">
        <f>"102,5802"</f>
        <v>102,5802</v>
      </c>
      <c r="M23" s="28" t="s">
        <v>501</v>
      </c>
    </row>
    <row r="24" spans="1:13">
      <c r="B24" s="5" t="s">
        <v>39</v>
      </c>
    </row>
    <row r="25" spans="1:13" ht="16">
      <c r="A25" s="56" t="s">
        <v>411</v>
      </c>
      <c r="B25" s="56"/>
      <c r="C25" s="56"/>
      <c r="D25" s="56"/>
      <c r="E25" s="56"/>
      <c r="F25" s="56"/>
      <c r="G25" s="56"/>
      <c r="H25" s="56"/>
      <c r="I25" s="56"/>
      <c r="J25" s="56"/>
    </row>
    <row r="26" spans="1:13">
      <c r="A26" s="17" t="s">
        <v>38</v>
      </c>
      <c r="B26" s="16" t="s">
        <v>412</v>
      </c>
      <c r="C26" s="16" t="s">
        <v>533</v>
      </c>
      <c r="D26" s="16" t="s">
        <v>413</v>
      </c>
      <c r="E26" s="16" t="s">
        <v>584</v>
      </c>
      <c r="F26" s="16" t="s">
        <v>142</v>
      </c>
      <c r="G26" s="22" t="s">
        <v>56</v>
      </c>
      <c r="H26" s="22" t="s">
        <v>46</v>
      </c>
      <c r="I26" s="22" t="s">
        <v>274</v>
      </c>
      <c r="J26" s="17"/>
      <c r="K26" s="17" t="str">
        <f>"60,0"</f>
        <v>60,0</v>
      </c>
      <c r="L26" s="17" t="str">
        <f>"79,4610"</f>
        <v>79,4610</v>
      </c>
      <c r="M26" s="16" t="s">
        <v>145</v>
      </c>
    </row>
    <row r="27" spans="1:13">
      <c r="A27" s="21" t="s">
        <v>166</v>
      </c>
      <c r="B27" s="20" t="s">
        <v>414</v>
      </c>
      <c r="C27" s="20" t="s">
        <v>534</v>
      </c>
      <c r="D27" s="20" t="s">
        <v>415</v>
      </c>
      <c r="E27" s="20" t="s">
        <v>584</v>
      </c>
      <c r="F27" s="20" t="s">
        <v>142</v>
      </c>
      <c r="G27" s="25" t="s">
        <v>416</v>
      </c>
      <c r="H27" s="25" t="s">
        <v>194</v>
      </c>
      <c r="I27" s="25" t="s">
        <v>195</v>
      </c>
      <c r="J27" s="21"/>
      <c r="K27" s="21" t="str">
        <f>"45,0"</f>
        <v>45,0</v>
      </c>
      <c r="L27" s="21" t="str">
        <f>"59,5957"</f>
        <v>59,5957</v>
      </c>
      <c r="M27" s="20" t="s">
        <v>145</v>
      </c>
    </row>
    <row r="28" spans="1:13">
      <c r="A28" s="19" t="s">
        <v>38</v>
      </c>
      <c r="B28" s="18" t="s">
        <v>417</v>
      </c>
      <c r="C28" s="18" t="s">
        <v>535</v>
      </c>
      <c r="D28" s="18" t="s">
        <v>418</v>
      </c>
      <c r="E28" s="18" t="s">
        <v>577</v>
      </c>
      <c r="F28" s="18" t="s">
        <v>142</v>
      </c>
      <c r="G28" s="23" t="s">
        <v>174</v>
      </c>
      <c r="H28" s="23" t="s">
        <v>22</v>
      </c>
      <c r="I28" s="27" t="s">
        <v>332</v>
      </c>
      <c r="J28" s="19"/>
      <c r="K28" s="19" t="str">
        <f>"122,5"</f>
        <v>122,5</v>
      </c>
      <c r="L28" s="19" t="str">
        <f>"135,3319"</f>
        <v>135,3319</v>
      </c>
      <c r="M28" s="18" t="s">
        <v>145</v>
      </c>
    </row>
    <row r="29" spans="1:13">
      <c r="B29" s="5" t="s">
        <v>39</v>
      </c>
    </row>
    <row r="30" spans="1:13" ht="16">
      <c r="A30" s="56" t="s">
        <v>10</v>
      </c>
      <c r="B30" s="56"/>
      <c r="C30" s="56"/>
      <c r="D30" s="56"/>
      <c r="E30" s="56"/>
      <c r="F30" s="56"/>
      <c r="G30" s="56"/>
      <c r="H30" s="56"/>
      <c r="I30" s="56"/>
      <c r="J30" s="56"/>
    </row>
    <row r="31" spans="1:13">
      <c r="A31" s="8" t="s">
        <v>38</v>
      </c>
      <c r="B31" s="7" t="s">
        <v>419</v>
      </c>
      <c r="C31" s="7" t="s">
        <v>536</v>
      </c>
      <c r="D31" s="7" t="s">
        <v>405</v>
      </c>
      <c r="E31" s="7" t="s">
        <v>584</v>
      </c>
      <c r="F31" s="7" t="s">
        <v>142</v>
      </c>
      <c r="G31" s="14" t="s">
        <v>118</v>
      </c>
      <c r="H31" s="14" t="s">
        <v>174</v>
      </c>
      <c r="I31" s="14" t="s">
        <v>22</v>
      </c>
      <c r="J31" s="8"/>
      <c r="K31" s="8" t="str">
        <f>"122,5"</f>
        <v>122,5</v>
      </c>
      <c r="L31" s="8" t="str">
        <f>"106,7955"</f>
        <v>106,7955</v>
      </c>
      <c r="M31" s="7" t="s">
        <v>145</v>
      </c>
    </row>
    <row r="32" spans="1:13">
      <c r="B32" s="5" t="s">
        <v>39</v>
      </c>
    </row>
    <row r="33" spans="1:13" ht="16">
      <c r="A33" s="56" t="s">
        <v>82</v>
      </c>
      <c r="B33" s="56"/>
      <c r="C33" s="56"/>
      <c r="D33" s="56"/>
      <c r="E33" s="56"/>
      <c r="F33" s="56"/>
      <c r="G33" s="56"/>
      <c r="H33" s="56"/>
      <c r="I33" s="56"/>
      <c r="J33" s="56"/>
    </row>
    <row r="34" spans="1:13">
      <c r="A34" s="8" t="s">
        <v>38</v>
      </c>
      <c r="B34" s="7" t="s">
        <v>420</v>
      </c>
      <c r="C34" s="7" t="s">
        <v>421</v>
      </c>
      <c r="D34" s="7" t="s">
        <v>422</v>
      </c>
      <c r="E34" s="7" t="s">
        <v>579</v>
      </c>
      <c r="F34" s="7" t="s">
        <v>14</v>
      </c>
      <c r="G34" s="14" t="s">
        <v>182</v>
      </c>
      <c r="H34" s="14" t="s">
        <v>423</v>
      </c>
      <c r="I34" s="15" t="s">
        <v>393</v>
      </c>
      <c r="J34" s="8"/>
      <c r="K34" s="8" t="str">
        <f>"285,0"</f>
        <v>285,0</v>
      </c>
      <c r="L34" s="8" t="str">
        <f>"184,5803"</f>
        <v>184,5803</v>
      </c>
      <c r="M34" s="7"/>
    </row>
    <row r="35" spans="1:13">
      <c r="B35" s="5" t="s">
        <v>39</v>
      </c>
    </row>
  </sheetData>
  <mergeCells count="20">
    <mergeCell ref="A30:J30"/>
    <mergeCell ref="A33:J33"/>
    <mergeCell ref="B3:B4"/>
    <mergeCell ref="A8:J8"/>
    <mergeCell ref="A11:J11"/>
    <mergeCell ref="A15:J15"/>
    <mergeCell ref="A19:J19"/>
    <mergeCell ref="A22:J22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7.5" style="5" bestFit="1" customWidth="1"/>
    <col min="14" max="16384" width="9.1640625" style="3"/>
  </cols>
  <sheetData>
    <row r="1" spans="1:13" s="2" customFormat="1" ht="29" customHeight="1">
      <c r="A1" s="45" t="s">
        <v>556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9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10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373</v>
      </c>
      <c r="C6" s="7" t="s">
        <v>374</v>
      </c>
      <c r="D6" s="7" t="s">
        <v>375</v>
      </c>
      <c r="E6" s="7" t="s">
        <v>578</v>
      </c>
      <c r="F6" s="7" t="s">
        <v>376</v>
      </c>
      <c r="G6" s="14" t="s">
        <v>45</v>
      </c>
      <c r="H6" s="14" t="s">
        <v>67</v>
      </c>
      <c r="I6" s="14" t="s">
        <v>47</v>
      </c>
      <c r="J6" s="8"/>
      <c r="K6" s="8" t="str">
        <f>"100,0"</f>
        <v>100,0</v>
      </c>
      <c r="L6" s="8" t="str">
        <f>"110,2595"</f>
        <v>110,2595</v>
      </c>
      <c r="M6" s="7"/>
    </row>
    <row r="7" spans="1:13">
      <c r="B7" s="5" t="s">
        <v>39</v>
      </c>
    </row>
    <row r="8" spans="1:13" ht="16">
      <c r="A8" s="56" t="s">
        <v>82</v>
      </c>
      <c r="B8" s="56"/>
      <c r="C8" s="56"/>
      <c r="D8" s="56"/>
      <c r="E8" s="56"/>
      <c r="F8" s="56"/>
      <c r="G8" s="56"/>
      <c r="H8" s="56"/>
      <c r="I8" s="56"/>
      <c r="J8" s="56"/>
    </row>
    <row r="9" spans="1:13">
      <c r="A9" s="8" t="s">
        <v>38</v>
      </c>
      <c r="B9" s="7" t="s">
        <v>377</v>
      </c>
      <c r="C9" s="7" t="s">
        <v>378</v>
      </c>
      <c r="D9" s="7" t="s">
        <v>379</v>
      </c>
      <c r="E9" s="7" t="s">
        <v>579</v>
      </c>
      <c r="F9" s="7" t="s">
        <v>142</v>
      </c>
      <c r="G9" s="14" t="s">
        <v>110</v>
      </c>
      <c r="H9" s="14" t="s">
        <v>136</v>
      </c>
      <c r="I9" s="14" t="s">
        <v>143</v>
      </c>
      <c r="J9" s="8"/>
      <c r="K9" s="8" t="str">
        <f>"250,0"</f>
        <v>250,0</v>
      </c>
      <c r="L9" s="8" t="str">
        <f>"169,1875"</f>
        <v>169,1875</v>
      </c>
      <c r="M9" s="7" t="s">
        <v>145</v>
      </c>
    </row>
    <row r="10" spans="1:13">
      <c r="B10" s="5" t="s">
        <v>39</v>
      </c>
    </row>
    <row r="11" spans="1:13" ht="16">
      <c r="A11" s="56" t="s">
        <v>24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>
      <c r="A12" s="8" t="s">
        <v>38</v>
      </c>
      <c r="B12" s="7" t="s">
        <v>380</v>
      </c>
      <c r="C12" s="7" t="s">
        <v>381</v>
      </c>
      <c r="D12" s="7" t="s">
        <v>382</v>
      </c>
      <c r="E12" s="7" t="s">
        <v>578</v>
      </c>
      <c r="F12" s="7" t="s">
        <v>173</v>
      </c>
      <c r="G12" s="14" t="s">
        <v>131</v>
      </c>
      <c r="H12" s="14" t="s">
        <v>182</v>
      </c>
      <c r="I12" s="14" t="s">
        <v>132</v>
      </c>
      <c r="J12" s="8"/>
      <c r="K12" s="8" t="str">
        <f>"280,0"</f>
        <v>280,0</v>
      </c>
      <c r="L12" s="8" t="str">
        <f>"186,1025"</f>
        <v>186,1025</v>
      </c>
      <c r="M12" s="7"/>
    </row>
    <row r="13" spans="1:13">
      <c r="B13" s="5" t="s">
        <v>39</v>
      </c>
    </row>
    <row r="14" spans="1:13" ht="16">
      <c r="A14" s="56" t="s">
        <v>149</v>
      </c>
      <c r="B14" s="56"/>
      <c r="C14" s="56"/>
      <c r="D14" s="56"/>
      <c r="E14" s="56"/>
      <c r="F14" s="56"/>
      <c r="G14" s="56"/>
      <c r="H14" s="56"/>
      <c r="I14" s="56"/>
      <c r="J14" s="56"/>
    </row>
    <row r="15" spans="1:13">
      <c r="A15" s="8" t="s">
        <v>38</v>
      </c>
      <c r="B15" s="7" t="s">
        <v>383</v>
      </c>
      <c r="C15" s="7" t="s">
        <v>384</v>
      </c>
      <c r="D15" s="7" t="s">
        <v>385</v>
      </c>
      <c r="E15" s="7" t="s">
        <v>579</v>
      </c>
      <c r="F15" s="7" t="s">
        <v>74</v>
      </c>
      <c r="G15" s="15" t="s">
        <v>387</v>
      </c>
      <c r="H15" s="14" t="s">
        <v>387</v>
      </c>
      <c r="I15" s="15" t="s">
        <v>388</v>
      </c>
      <c r="J15" s="8"/>
      <c r="K15" s="8" t="str">
        <f>"305,0"</f>
        <v>305,0</v>
      </c>
      <c r="L15" s="8" t="str">
        <f>"174,3380"</f>
        <v>174,3380</v>
      </c>
      <c r="M15" s="7" t="s">
        <v>389</v>
      </c>
    </row>
    <row r="16" spans="1:13">
      <c r="B16" s="5" t="s">
        <v>39</v>
      </c>
    </row>
    <row r="17" spans="1:13" ht="16">
      <c r="A17" s="56" t="s">
        <v>153</v>
      </c>
      <c r="B17" s="56"/>
      <c r="C17" s="56"/>
      <c r="D17" s="56"/>
      <c r="E17" s="56"/>
      <c r="F17" s="56"/>
      <c r="G17" s="56"/>
      <c r="H17" s="56"/>
      <c r="I17" s="56"/>
      <c r="J17" s="56"/>
    </row>
    <row r="18" spans="1:13">
      <c r="A18" s="17" t="s">
        <v>38</v>
      </c>
      <c r="B18" s="16" t="s">
        <v>390</v>
      </c>
      <c r="C18" s="16" t="s">
        <v>391</v>
      </c>
      <c r="D18" s="16" t="s">
        <v>392</v>
      </c>
      <c r="E18" s="16" t="s">
        <v>579</v>
      </c>
      <c r="F18" s="16" t="s">
        <v>14</v>
      </c>
      <c r="G18" s="22" t="s">
        <v>132</v>
      </c>
      <c r="H18" s="22" t="s">
        <v>393</v>
      </c>
      <c r="I18" s="22" t="s">
        <v>394</v>
      </c>
      <c r="J18" s="17"/>
      <c r="K18" s="17" t="str">
        <f>"310,0"</f>
        <v>310,0</v>
      </c>
      <c r="L18" s="17" t="str">
        <f>"171,1820"</f>
        <v>171,1820</v>
      </c>
      <c r="M18" s="31" t="s">
        <v>502</v>
      </c>
    </row>
    <row r="19" spans="1:13">
      <c r="A19" s="19" t="s">
        <v>38</v>
      </c>
      <c r="B19" s="18" t="s">
        <v>390</v>
      </c>
      <c r="C19" s="18" t="s">
        <v>395</v>
      </c>
      <c r="D19" s="18" t="s">
        <v>392</v>
      </c>
      <c r="E19" s="18" t="s">
        <v>578</v>
      </c>
      <c r="F19" s="18" t="s">
        <v>14</v>
      </c>
      <c r="G19" s="23" t="s">
        <v>132</v>
      </c>
      <c r="H19" s="23" t="s">
        <v>393</v>
      </c>
      <c r="I19" s="23" t="s">
        <v>394</v>
      </c>
      <c r="J19" s="19"/>
      <c r="K19" s="19" t="str">
        <f>"310,0"</f>
        <v>310,0</v>
      </c>
      <c r="L19" s="19" t="str">
        <f>"185,2189"</f>
        <v>185,2189</v>
      </c>
      <c r="M19" s="30" t="s">
        <v>502</v>
      </c>
    </row>
    <row r="20" spans="1:13">
      <c r="B20" s="5" t="s">
        <v>39</v>
      </c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3.1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7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5" t="s">
        <v>554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9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48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424</v>
      </c>
      <c r="C6" s="7" t="s">
        <v>425</v>
      </c>
      <c r="D6" s="7" t="s">
        <v>426</v>
      </c>
      <c r="E6" s="7" t="s">
        <v>578</v>
      </c>
      <c r="F6" s="7" t="s">
        <v>376</v>
      </c>
      <c r="G6" s="14" t="s">
        <v>427</v>
      </c>
      <c r="H6" s="15" t="s">
        <v>69</v>
      </c>
      <c r="I6" s="14" t="s">
        <v>85</v>
      </c>
      <c r="J6" s="8"/>
      <c r="K6" s="8" t="str">
        <f>"145,0"</f>
        <v>145,0</v>
      </c>
      <c r="L6" s="8" t="str">
        <f>"138,9608"</f>
        <v>138,9608</v>
      </c>
      <c r="M6" s="28" t="s">
        <v>500</v>
      </c>
    </row>
    <row r="7" spans="1:13">
      <c r="B7" s="5" t="s">
        <v>39</v>
      </c>
    </row>
    <row r="8" spans="1:13">
      <c r="B8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Лист5">
    <pageSetUpPr fitToPage="1"/>
  </sheetPr>
  <dimension ref="A1:U10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1" width="5.5" style="6" customWidth="1"/>
    <col min="12" max="13" width="4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4" bestFit="1" customWidth="1"/>
    <col min="20" max="20" width="8.5" style="6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5" t="s">
        <v>564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7</v>
      </c>
      <c r="H3" s="39"/>
      <c r="I3" s="39"/>
      <c r="J3" s="39"/>
      <c r="K3" s="39" t="s">
        <v>8</v>
      </c>
      <c r="L3" s="39"/>
      <c r="M3" s="39"/>
      <c r="N3" s="39"/>
      <c r="O3" s="39" t="s">
        <v>9</v>
      </c>
      <c r="P3" s="39"/>
      <c r="Q3" s="39"/>
      <c r="R3" s="39"/>
      <c r="S3" s="37" t="s">
        <v>1</v>
      </c>
      <c r="T3" s="39" t="s">
        <v>3</v>
      </c>
      <c r="U3" s="41" t="s">
        <v>2</v>
      </c>
    </row>
    <row r="4" spans="1:21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40"/>
      <c r="U4" s="42"/>
    </row>
    <row r="5" spans="1:21" ht="16">
      <c r="A5" s="43" t="s">
        <v>10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21">
      <c r="A6" s="8" t="s">
        <v>38</v>
      </c>
      <c r="B6" s="7" t="s">
        <v>11</v>
      </c>
      <c r="C6" s="7" t="s">
        <v>12</v>
      </c>
      <c r="D6" s="7" t="s">
        <v>13</v>
      </c>
      <c r="E6" s="7" t="s">
        <v>579</v>
      </c>
      <c r="F6" s="7" t="s">
        <v>14</v>
      </c>
      <c r="G6" s="14" t="s">
        <v>15</v>
      </c>
      <c r="H6" s="14" t="s">
        <v>16</v>
      </c>
      <c r="I6" s="14" t="s">
        <v>17</v>
      </c>
      <c r="J6" s="8"/>
      <c r="K6" s="14" t="s">
        <v>18</v>
      </c>
      <c r="L6" s="14" t="s">
        <v>19</v>
      </c>
      <c r="M6" s="14" t="s">
        <v>20</v>
      </c>
      <c r="N6" s="8"/>
      <c r="O6" s="15" t="s">
        <v>21</v>
      </c>
      <c r="P6" s="14" t="s">
        <v>21</v>
      </c>
      <c r="Q6" s="14" t="s">
        <v>22</v>
      </c>
      <c r="R6" s="8"/>
      <c r="S6" s="35" t="str">
        <f>"307,5"</f>
        <v>307,5</v>
      </c>
      <c r="T6" s="8" t="str">
        <f>"304,5172"</f>
        <v>304,5172</v>
      </c>
      <c r="U6" s="7" t="s">
        <v>23</v>
      </c>
    </row>
    <row r="7" spans="1:21">
      <c r="B7" s="5" t="s">
        <v>39</v>
      </c>
    </row>
    <row r="8" spans="1:21" ht="16">
      <c r="A8" s="56" t="s">
        <v>24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21">
      <c r="A9" s="8" t="s">
        <v>40</v>
      </c>
      <c r="B9" s="7" t="s">
        <v>25</v>
      </c>
      <c r="C9" s="7" t="s">
        <v>26</v>
      </c>
      <c r="D9" s="7" t="s">
        <v>27</v>
      </c>
      <c r="E9" s="7" t="s">
        <v>579</v>
      </c>
      <c r="F9" s="7" t="s">
        <v>28</v>
      </c>
      <c r="G9" s="15" t="s">
        <v>29</v>
      </c>
      <c r="H9" s="8"/>
      <c r="I9" s="8"/>
      <c r="J9" s="8"/>
      <c r="K9" s="15"/>
      <c r="L9" s="8"/>
      <c r="M9" s="8"/>
      <c r="N9" s="8"/>
      <c r="O9" s="15"/>
      <c r="P9" s="8"/>
      <c r="Q9" s="8"/>
      <c r="R9" s="8"/>
      <c r="S9" s="35">
        <v>0</v>
      </c>
      <c r="T9" s="8" t="str">
        <f>"0,0000"</f>
        <v>0,0000</v>
      </c>
      <c r="U9" s="28" t="s">
        <v>506</v>
      </c>
    </row>
    <row r="10" spans="1:21">
      <c r="B10" s="5" t="s">
        <v>39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7.5" style="6" bestFit="1" customWidth="1"/>
    <col min="17" max="17" width="20" style="5" customWidth="1"/>
    <col min="18" max="16384" width="9.1640625" style="3"/>
  </cols>
  <sheetData>
    <row r="1" spans="1:17" s="2" customFormat="1" ht="29" customHeight="1">
      <c r="A1" s="45" t="s">
        <v>518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447</v>
      </c>
      <c r="H3" s="39"/>
      <c r="I3" s="39"/>
      <c r="J3" s="39"/>
      <c r="K3" s="39" t="s">
        <v>452</v>
      </c>
      <c r="L3" s="39"/>
      <c r="M3" s="39"/>
      <c r="N3" s="39"/>
      <c r="O3" s="39" t="s">
        <v>1</v>
      </c>
      <c r="P3" s="39" t="s">
        <v>3</v>
      </c>
      <c r="Q3" s="41" t="s">
        <v>2</v>
      </c>
    </row>
    <row r="4" spans="1:17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0"/>
      <c r="P4" s="40"/>
      <c r="Q4" s="42"/>
    </row>
    <row r="5" spans="1:17" ht="16">
      <c r="A5" s="43" t="s">
        <v>169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7">
      <c r="A6" s="8" t="s">
        <v>38</v>
      </c>
      <c r="B6" s="7" t="s">
        <v>471</v>
      </c>
      <c r="C6" s="7" t="s">
        <v>472</v>
      </c>
      <c r="D6" s="7" t="s">
        <v>473</v>
      </c>
      <c r="E6" s="7" t="s">
        <v>579</v>
      </c>
      <c r="F6" s="7" t="s">
        <v>372</v>
      </c>
      <c r="G6" s="15" t="s">
        <v>54</v>
      </c>
      <c r="H6" s="14" t="s">
        <v>54</v>
      </c>
      <c r="I6" s="15" t="s">
        <v>18</v>
      </c>
      <c r="J6" s="8"/>
      <c r="K6" s="14" t="s">
        <v>195</v>
      </c>
      <c r="L6" s="15" t="s">
        <v>46</v>
      </c>
      <c r="M6" s="15" t="s">
        <v>46</v>
      </c>
      <c r="N6" s="8"/>
      <c r="O6" s="8" t="str">
        <f>"115,0"</f>
        <v>115,0</v>
      </c>
      <c r="P6" s="8" t="str">
        <f>"81,5868"</f>
        <v>81,5868</v>
      </c>
      <c r="Q6" s="7" t="s">
        <v>474</v>
      </c>
    </row>
    <row r="7" spans="1:17">
      <c r="B7" s="5" t="s">
        <v>39</v>
      </c>
    </row>
    <row r="8" spans="1:17" ht="16">
      <c r="A8" s="56" t="s">
        <v>82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7">
      <c r="A9" s="17" t="s">
        <v>38</v>
      </c>
      <c r="B9" s="16" t="s">
        <v>451</v>
      </c>
      <c r="C9" s="16" t="s">
        <v>475</v>
      </c>
      <c r="D9" s="16" t="s">
        <v>371</v>
      </c>
      <c r="E9" s="16" t="s">
        <v>579</v>
      </c>
      <c r="F9" s="16" t="s">
        <v>523</v>
      </c>
      <c r="G9" s="22" t="s">
        <v>54</v>
      </c>
      <c r="H9" s="22" t="s">
        <v>58</v>
      </c>
      <c r="I9" s="24" t="s">
        <v>19</v>
      </c>
      <c r="J9" s="17"/>
      <c r="K9" s="22" t="s">
        <v>195</v>
      </c>
      <c r="L9" s="22" t="s">
        <v>52</v>
      </c>
      <c r="M9" s="24" t="s">
        <v>275</v>
      </c>
      <c r="N9" s="17"/>
      <c r="O9" s="17" t="str">
        <f>"130,0"</f>
        <v>130,0</v>
      </c>
      <c r="P9" s="17" t="str">
        <f>"85,1565"</f>
        <v>85,1565</v>
      </c>
      <c r="Q9" s="16"/>
    </row>
    <row r="10" spans="1:17">
      <c r="A10" s="19" t="s">
        <v>38</v>
      </c>
      <c r="B10" s="18" t="s">
        <v>451</v>
      </c>
      <c r="C10" s="18" t="s">
        <v>524</v>
      </c>
      <c r="D10" s="18" t="s">
        <v>371</v>
      </c>
      <c r="E10" s="18" t="s">
        <v>578</v>
      </c>
      <c r="F10" s="18" t="s">
        <v>523</v>
      </c>
      <c r="G10" s="23" t="s">
        <v>54</v>
      </c>
      <c r="H10" s="23" t="s">
        <v>58</v>
      </c>
      <c r="I10" s="27" t="s">
        <v>19</v>
      </c>
      <c r="J10" s="19"/>
      <c r="K10" s="23" t="s">
        <v>195</v>
      </c>
      <c r="L10" s="23" t="s">
        <v>52</v>
      </c>
      <c r="M10" s="27" t="s">
        <v>275</v>
      </c>
      <c r="N10" s="19"/>
      <c r="O10" s="19" t="str">
        <f>"130,0"</f>
        <v>130,0</v>
      </c>
      <c r="P10" s="19" t="str">
        <f>"94,7792"</f>
        <v>94,7792</v>
      </c>
      <c r="Q10" s="18"/>
    </row>
    <row r="11" spans="1:17">
      <c r="B11" s="5" t="s">
        <v>39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45" t="s">
        <v>521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447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82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451</v>
      </c>
      <c r="C6" s="7" t="s">
        <v>524</v>
      </c>
      <c r="D6" s="7" t="s">
        <v>371</v>
      </c>
      <c r="E6" s="7" t="s">
        <v>578</v>
      </c>
      <c r="F6" s="7" t="s">
        <v>523</v>
      </c>
      <c r="G6" s="14" t="s">
        <v>54</v>
      </c>
      <c r="H6" s="14" t="s">
        <v>58</v>
      </c>
      <c r="I6" s="15" t="s">
        <v>19</v>
      </c>
      <c r="J6" s="8"/>
      <c r="K6" s="8" t="str">
        <f>"75,0"</f>
        <v>75,0</v>
      </c>
      <c r="L6" s="8" t="str">
        <f>"54,6803"</f>
        <v>54,6803</v>
      </c>
      <c r="M6" s="7"/>
    </row>
    <row r="7" spans="1:13">
      <c r="B7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45" t="s">
        <v>522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447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82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448</v>
      </c>
      <c r="C6" s="7" t="s">
        <v>449</v>
      </c>
      <c r="D6" s="7" t="s">
        <v>450</v>
      </c>
      <c r="E6" s="7" t="s">
        <v>579</v>
      </c>
      <c r="F6" s="7" t="s">
        <v>372</v>
      </c>
      <c r="G6" s="14" t="s">
        <v>19</v>
      </c>
      <c r="H6" s="14" t="s">
        <v>45</v>
      </c>
      <c r="I6" s="15" t="s">
        <v>20</v>
      </c>
      <c r="J6" s="8"/>
      <c r="K6" s="8" t="str">
        <f>"80,0"</f>
        <v>80,0</v>
      </c>
      <c r="L6" s="8" t="str">
        <f>"51,7320"</f>
        <v>51,7320</v>
      </c>
      <c r="M6" s="7"/>
    </row>
    <row r="7" spans="1:13">
      <c r="B7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45" t="s">
        <v>519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452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169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282</v>
      </c>
      <c r="C6" s="7" t="s">
        <v>283</v>
      </c>
      <c r="D6" s="7" t="s">
        <v>284</v>
      </c>
      <c r="E6" s="7" t="s">
        <v>579</v>
      </c>
      <c r="F6" s="7" t="s">
        <v>523</v>
      </c>
      <c r="G6" s="14" t="s">
        <v>56</v>
      </c>
      <c r="H6" s="14" t="s">
        <v>195</v>
      </c>
      <c r="I6" s="8"/>
      <c r="J6" s="8"/>
      <c r="K6" s="8" t="str">
        <f>"45,0"</f>
        <v>45,0</v>
      </c>
      <c r="L6" s="8" t="str">
        <f>"38,9385"</f>
        <v>38,9385</v>
      </c>
      <c r="M6" s="28" t="s">
        <v>496</v>
      </c>
    </row>
    <row r="7" spans="1:13">
      <c r="B7" s="5" t="s">
        <v>39</v>
      </c>
    </row>
    <row r="8" spans="1:13" ht="16">
      <c r="A8" s="56" t="s">
        <v>48</v>
      </c>
      <c r="B8" s="56"/>
      <c r="C8" s="56"/>
      <c r="D8" s="56"/>
      <c r="E8" s="56"/>
      <c r="F8" s="56"/>
      <c r="G8" s="56"/>
      <c r="H8" s="56"/>
      <c r="I8" s="56"/>
      <c r="J8" s="56"/>
    </row>
    <row r="9" spans="1:13">
      <c r="A9" s="17" t="s">
        <v>38</v>
      </c>
      <c r="B9" s="16" t="s">
        <v>462</v>
      </c>
      <c r="C9" s="16" t="s">
        <v>525</v>
      </c>
      <c r="D9" s="16" t="s">
        <v>463</v>
      </c>
      <c r="E9" s="16" t="s">
        <v>585</v>
      </c>
      <c r="F9" s="16" t="s">
        <v>464</v>
      </c>
      <c r="G9" s="22" t="s">
        <v>55</v>
      </c>
      <c r="H9" s="22" t="s">
        <v>57</v>
      </c>
      <c r="I9" s="22" t="s">
        <v>46</v>
      </c>
      <c r="J9" s="17"/>
      <c r="K9" s="17" t="str">
        <f>"50,0"</f>
        <v>50,0</v>
      </c>
      <c r="L9" s="17" t="str">
        <f>"38,6650"</f>
        <v>38,6650</v>
      </c>
      <c r="M9" s="16"/>
    </row>
    <row r="10" spans="1:13">
      <c r="A10" s="19" t="s">
        <v>166</v>
      </c>
      <c r="B10" s="18" t="s">
        <v>445</v>
      </c>
      <c r="C10" s="18" t="s">
        <v>526</v>
      </c>
      <c r="D10" s="18" t="s">
        <v>465</v>
      </c>
      <c r="E10" s="18" t="s">
        <v>585</v>
      </c>
      <c r="F10" s="18" t="s">
        <v>102</v>
      </c>
      <c r="G10" s="23" t="s">
        <v>56</v>
      </c>
      <c r="H10" s="23" t="s">
        <v>57</v>
      </c>
      <c r="I10" s="27" t="s">
        <v>195</v>
      </c>
      <c r="J10" s="19"/>
      <c r="K10" s="19" t="str">
        <f>"42,5"</f>
        <v>42,5</v>
      </c>
      <c r="L10" s="19" t="str">
        <f>"34,7841"</f>
        <v>34,7841</v>
      </c>
      <c r="M10" s="18" t="s">
        <v>446</v>
      </c>
    </row>
    <row r="11" spans="1:13">
      <c r="B11" s="5" t="s">
        <v>39</v>
      </c>
    </row>
    <row r="12" spans="1:13" ht="16">
      <c r="A12" s="56" t="s">
        <v>24</v>
      </c>
      <c r="B12" s="56"/>
      <c r="C12" s="56"/>
      <c r="D12" s="56"/>
      <c r="E12" s="56"/>
      <c r="F12" s="56"/>
      <c r="G12" s="56"/>
      <c r="H12" s="56"/>
      <c r="I12" s="56"/>
      <c r="J12" s="56"/>
    </row>
    <row r="13" spans="1:13">
      <c r="A13" s="8" t="s">
        <v>38</v>
      </c>
      <c r="B13" s="7" t="s">
        <v>318</v>
      </c>
      <c r="C13" s="7" t="s">
        <v>319</v>
      </c>
      <c r="D13" s="7" t="s">
        <v>466</v>
      </c>
      <c r="E13" s="7" t="s">
        <v>579</v>
      </c>
      <c r="F13" s="7" t="s">
        <v>523</v>
      </c>
      <c r="G13" s="14" t="s">
        <v>195</v>
      </c>
      <c r="H13" s="14" t="s">
        <v>52</v>
      </c>
      <c r="I13" s="14" t="s">
        <v>440</v>
      </c>
      <c r="J13" s="8"/>
      <c r="K13" s="8" t="str">
        <f>"57,5"</f>
        <v>57,5</v>
      </c>
      <c r="L13" s="8" t="str">
        <f>"36,7540"</f>
        <v>36,7540</v>
      </c>
      <c r="M13" s="7"/>
    </row>
    <row r="14" spans="1:13">
      <c r="B14" s="5" t="s">
        <v>39</v>
      </c>
    </row>
    <row r="15" spans="1:13" ht="16">
      <c r="A15" s="56" t="s">
        <v>149</v>
      </c>
      <c r="B15" s="56"/>
      <c r="C15" s="56"/>
      <c r="D15" s="56"/>
      <c r="E15" s="56"/>
      <c r="F15" s="56"/>
      <c r="G15" s="56"/>
      <c r="H15" s="56"/>
      <c r="I15" s="56"/>
      <c r="J15" s="56"/>
    </row>
    <row r="16" spans="1:13">
      <c r="A16" s="8" t="s">
        <v>38</v>
      </c>
      <c r="B16" s="7" t="s">
        <v>467</v>
      </c>
      <c r="C16" s="7" t="s">
        <v>527</v>
      </c>
      <c r="D16" s="7" t="s">
        <v>468</v>
      </c>
      <c r="E16" s="7" t="s">
        <v>578</v>
      </c>
      <c r="F16" s="7" t="s">
        <v>469</v>
      </c>
      <c r="G16" s="14" t="s">
        <v>54</v>
      </c>
      <c r="H16" s="14" t="s">
        <v>58</v>
      </c>
      <c r="I16" s="15" t="s">
        <v>59</v>
      </c>
      <c r="J16" s="8"/>
      <c r="K16" s="8" t="str">
        <f>"75,0"</f>
        <v>75,0</v>
      </c>
      <c r="L16" s="8" t="str">
        <f>"44,3050"</f>
        <v>44,3050</v>
      </c>
      <c r="M16" s="7" t="s">
        <v>470</v>
      </c>
    </row>
    <row r="17" spans="2:2">
      <c r="B17" s="5" t="s">
        <v>39</v>
      </c>
    </row>
  </sheetData>
  <mergeCells count="15">
    <mergeCell ref="A8:J8"/>
    <mergeCell ref="A12:J12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3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45" t="s">
        <v>520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452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115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453</v>
      </c>
      <c r="C6" s="7" t="s">
        <v>454</v>
      </c>
      <c r="D6" s="7" t="s">
        <v>455</v>
      </c>
      <c r="E6" s="7" t="s">
        <v>580</v>
      </c>
      <c r="F6" s="7" t="s">
        <v>28</v>
      </c>
      <c r="G6" s="14" t="s">
        <v>456</v>
      </c>
      <c r="H6" s="14" t="s">
        <v>274</v>
      </c>
      <c r="I6" s="15" t="s">
        <v>275</v>
      </c>
      <c r="J6" s="8"/>
      <c r="K6" s="8" t="str">
        <f>"60,0"</f>
        <v>60,0</v>
      </c>
      <c r="L6" s="8" t="str">
        <f>"60,4410"</f>
        <v>60,4410</v>
      </c>
      <c r="M6" s="7"/>
    </row>
    <row r="7" spans="1:13">
      <c r="B7" s="5" t="s">
        <v>39</v>
      </c>
    </row>
    <row r="8" spans="1:13" ht="16">
      <c r="A8" s="56" t="s">
        <v>149</v>
      </c>
      <c r="B8" s="56"/>
      <c r="C8" s="56"/>
      <c r="D8" s="56"/>
      <c r="E8" s="56"/>
      <c r="F8" s="56"/>
      <c r="G8" s="56"/>
      <c r="H8" s="56"/>
      <c r="I8" s="56"/>
      <c r="J8" s="56"/>
    </row>
    <row r="9" spans="1:13">
      <c r="A9" s="8" t="s">
        <v>38</v>
      </c>
      <c r="B9" s="7" t="s">
        <v>256</v>
      </c>
      <c r="C9" s="7" t="s">
        <v>257</v>
      </c>
      <c r="D9" s="7" t="s">
        <v>152</v>
      </c>
      <c r="E9" s="7" t="s">
        <v>579</v>
      </c>
      <c r="F9" s="7" t="s">
        <v>102</v>
      </c>
      <c r="G9" s="14" t="s">
        <v>18</v>
      </c>
      <c r="H9" s="15" t="s">
        <v>19</v>
      </c>
      <c r="I9" s="15" t="s">
        <v>20</v>
      </c>
      <c r="J9" s="8"/>
      <c r="K9" s="8" t="str">
        <f>"72,5"</f>
        <v>72,5</v>
      </c>
      <c r="L9" s="8" t="str">
        <f>"41,2670"</f>
        <v>41,2670</v>
      </c>
      <c r="M9" s="7"/>
    </row>
    <row r="10" spans="1:13">
      <c r="B10" s="5" t="s">
        <v>39</v>
      </c>
    </row>
    <row r="11" spans="1:13" ht="16">
      <c r="A11" s="56" t="s">
        <v>153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>
      <c r="A12" s="8" t="s">
        <v>38</v>
      </c>
      <c r="B12" s="7" t="s">
        <v>457</v>
      </c>
      <c r="C12" s="7" t="s">
        <v>458</v>
      </c>
      <c r="D12" s="7" t="s">
        <v>459</v>
      </c>
      <c r="E12" s="7" t="s">
        <v>579</v>
      </c>
      <c r="F12" s="7" t="s">
        <v>460</v>
      </c>
      <c r="G12" s="14" t="s">
        <v>47</v>
      </c>
      <c r="H12" s="14" t="s">
        <v>87</v>
      </c>
      <c r="I12" s="14" t="s">
        <v>461</v>
      </c>
      <c r="J12" s="8"/>
      <c r="K12" s="8" t="str">
        <f>"111,0"</f>
        <v>111,0</v>
      </c>
      <c r="L12" s="8" t="str">
        <f>"61,0777"</f>
        <v>61,0777</v>
      </c>
      <c r="M12" s="7"/>
    </row>
    <row r="13" spans="1:13">
      <c r="B13" s="5" t="s">
        <v>39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24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7.664062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6.83203125" style="5" bestFit="1" customWidth="1"/>
    <col min="22" max="16384" width="9.1640625" style="3"/>
  </cols>
  <sheetData>
    <row r="1" spans="1:21" s="2" customFormat="1" ht="29" customHeight="1">
      <c r="A1" s="45" t="s">
        <v>561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7</v>
      </c>
      <c r="H3" s="39"/>
      <c r="I3" s="39"/>
      <c r="J3" s="39"/>
      <c r="K3" s="39" t="s">
        <v>8</v>
      </c>
      <c r="L3" s="39"/>
      <c r="M3" s="39"/>
      <c r="N3" s="39"/>
      <c r="O3" s="39" t="s">
        <v>9</v>
      </c>
      <c r="P3" s="39"/>
      <c r="Q3" s="39"/>
      <c r="R3" s="39"/>
      <c r="S3" s="39" t="s">
        <v>1</v>
      </c>
      <c r="T3" s="39" t="s">
        <v>3</v>
      </c>
      <c r="U3" s="41" t="s">
        <v>2</v>
      </c>
    </row>
    <row r="4" spans="1:21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0"/>
      <c r="T4" s="40"/>
      <c r="U4" s="42"/>
    </row>
    <row r="5" spans="1:21" ht="16">
      <c r="A5" s="43" t="s">
        <v>190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21">
      <c r="A6" s="8" t="s">
        <v>38</v>
      </c>
      <c r="B6" s="7" t="s">
        <v>191</v>
      </c>
      <c r="C6" s="7" t="s">
        <v>192</v>
      </c>
      <c r="D6" s="7" t="s">
        <v>193</v>
      </c>
      <c r="E6" s="7" t="s">
        <v>579</v>
      </c>
      <c r="F6" s="7" t="s">
        <v>523</v>
      </c>
      <c r="G6" s="14" t="s">
        <v>19</v>
      </c>
      <c r="H6" s="14" t="s">
        <v>59</v>
      </c>
      <c r="I6" s="14" t="s">
        <v>67</v>
      </c>
      <c r="J6" s="8"/>
      <c r="K6" s="14" t="s">
        <v>194</v>
      </c>
      <c r="L6" s="14" t="s">
        <v>57</v>
      </c>
      <c r="M6" s="15" t="s">
        <v>195</v>
      </c>
      <c r="N6" s="8"/>
      <c r="O6" s="14" t="s">
        <v>19</v>
      </c>
      <c r="P6" s="14" t="s">
        <v>20</v>
      </c>
      <c r="Q6" s="14" t="s">
        <v>59</v>
      </c>
      <c r="R6" s="8"/>
      <c r="S6" s="8" t="str">
        <f>"217,5"</f>
        <v>217,5</v>
      </c>
      <c r="T6" s="8" t="str">
        <f>"259,3035"</f>
        <v>259,3035</v>
      </c>
      <c r="U6" s="28" t="s">
        <v>508</v>
      </c>
    </row>
    <row r="7" spans="1:21">
      <c r="B7" s="5" t="s">
        <v>39</v>
      </c>
    </row>
    <row r="8" spans="1:21" ht="16">
      <c r="A8" s="56" t="s">
        <v>82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21">
      <c r="A9" s="8" t="s">
        <v>38</v>
      </c>
      <c r="B9" s="7" t="s">
        <v>196</v>
      </c>
      <c r="C9" s="7" t="s">
        <v>197</v>
      </c>
      <c r="D9" s="7" t="s">
        <v>198</v>
      </c>
      <c r="E9" s="7" t="s">
        <v>579</v>
      </c>
      <c r="F9" s="7" t="s">
        <v>199</v>
      </c>
      <c r="G9" s="14" t="s">
        <v>96</v>
      </c>
      <c r="H9" s="14" t="s">
        <v>70</v>
      </c>
      <c r="I9" s="14" t="s">
        <v>30</v>
      </c>
      <c r="J9" s="8"/>
      <c r="K9" s="14" t="s">
        <v>59</v>
      </c>
      <c r="L9" s="14" t="s">
        <v>67</v>
      </c>
      <c r="M9" s="14" t="s">
        <v>156</v>
      </c>
      <c r="N9" s="8"/>
      <c r="O9" s="14" t="s">
        <v>96</v>
      </c>
      <c r="P9" s="14" t="s">
        <v>70</v>
      </c>
      <c r="Q9" s="14" t="s">
        <v>30</v>
      </c>
      <c r="R9" s="8"/>
      <c r="S9" s="8" t="str">
        <f>"395,0"</f>
        <v>395,0</v>
      </c>
      <c r="T9" s="8" t="str">
        <f>"314,2422"</f>
        <v>314,2422</v>
      </c>
      <c r="U9" s="28" t="s">
        <v>508</v>
      </c>
    </row>
    <row r="10" spans="1:21">
      <c r="B10" s="5" t="s">
        <v>39</v>
      </c>
    </row>
    <row r="11" spans="1:21" ht="16">
      <c r="A11" s="56" t="s">
        <v>48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1">
      <c r="A12" s="8" t="s">
        <v>38</v>
      </c>
      <c r="B12" s="7" t="s">
        <v>124</v>
      </c>
      <c r="C12" s="7" t="s">
        <v>200</v>
      </c>
      <c r="D12" s="7" t="s">
        <v>201</v>
      </c>
      <c r="E12" s="7" t="s">
        <v>579</v>
      </c>
      <c r="F12" s="7" t="s">
        <v>523</v>
      </c>
      <c r="G12" s="14" t="s">
        <v>70</v>
      </c>
      <c r="H12" s="15" t="s">
        <v>85</v>
      </c>
      <c r="I12" s="8"/>
      <c r="J12" s="8"/>
      <c r="K12" s="14" t="s">
        <v>87</v>
      </c>
      <c r="L12" s="14" t="s">
        <v>65</v>
      </c>
      <c r="M12" s="14" t="s">
        <v>75</v>
      </c>
      <c r="N12" s="8"/>
      <c r="O12" s="14" t="s">
        <v>30</v>
      </c>
      <c r="P12" s="14" t="s">
        <v>94</v>
      </c>
      <c r="Q12" s="14" t="s">
        <v>103</v>
      </c>
      <c r="R12" s="8"/>
      <c r="S12" s="8" t="str">
        <f>"430,0"</f>
        <v>430,0</v>
      </c>
      <c r="T12" s="8" t="str">
        <f>"331,1645"</f>
        <v>331,1645</v>
      </c>
      <c r="U12" s="28" t="s">
        <v>508</v>
      </c>
    </row>
    <row r="13" spans="1:21">
      <c r="B13" s="5" t="s">
        <v>39</v>
      </c>
    </row>
    <row r="14" spans="1:21" ht="16">
      <c r="A14" s="56" t="s">
        <v>115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5" spans="1:21">
      <c r="A15" s="17" t="s">
        <v>38</v>
      </c>
      <c r="B15" s="16" t="s">
        <v>202</v>
      </c>
      <c r="C15" s="16" t="s">
        <v>544</v>
      </c>
      <c r="D15" s="16" t="s">
        <v>135</v>
      </c>
      <c r="E15" s="16" t="s">
        <v>583</v>
      </c>
      <c r="F15" s="16" t="s">
        <v>102</v>
      </c>
      <c r="G15" s="22" t="s">
        <v>108</v>
      </c>
      <c r="H15" s="22" t="s">
        <v>88</v>
      </c>
      <c r="I15" s="24" t="s">
        <v>89</v>
      </c>
      <c r="J15" s="17"/>
      <c r="K15" s="24" t="s">
        <v>109</v>
      </c>
      <c r="L15" s="24" t="s">
        <v>109</v>
      </c>
      <c r="M15" s="22" t="s">
        <v>130</v>
      </c>
      <c r="N15" s="17"/>
      <c r="O15" s="22" t="s">
        <v>108</v>
      </c>
      <c r="P15" s="22" t="s">
        <v>129</v>
      </c>
      <c r="Q15" s="24" t="s">
        <v>203</v>
      </c>
      <c r="R15" s="17"/>
      <c r="S15" s="17" t="str">
        <f>"547,5"</f>
        <v>547,5</v>
      </c>
      <c r="T15" s="17" t="str">
        <f>"319,4936"</f>
        <v>319,4936</v>
      </c>
      <c r="U15" s="16" t="s">
        <v>204</v>
      </c>
    </row>
    <row r="16" spans="1:21">
      <c r="A16" s="19" t="s">
        <v>38</v>
      </c>
      <c r="B16" s="18" t="s">
        <v>205</v>
      </c>
      <c r="C16" s="18" t="s">
        <v>206</v>
      </c>
      <c r="D16" s="18" t="s">
        <v>207</v>
      </c>
      <c r="E16" s="18" t="s">
        <v>579</v>
      </c>
      <c r="F16" s="18" t="s">
        <v>523</v>
      </c>
      <c r="G16" s="23" t="s">
        <v>29</v>
      </c>
      <c r="H16" s="23" t="s">
        <v>108</v>
      </c>
      <c r="I16" s="23" t="s">
        <v>129</v>
      </c>
      <c r="J16" s="19"/>
      <c r="K16" s="23" t="s">
        <v>85</v>
      </c>
      <c r="L16" s="23" t="s">
        <v>30</v>
      </c>
      <c r="M16" s="23" t="s">
        <v>86</v>
      </c>
      <c r="N16" s="19"/>
      <c r="O16" s="23" t="s">
        <v>208</v>
      </c>
      <c r="P16" s="23" t="s">
        <v>89</v>
      </c>
      <c r="Q16" s="27" t="s">
        <v>209</v>
      </c>
      <c r="R16" s="19"/>
      <c r="S16" s="19" t="str">
        <f>"570,0"</f>
        <v>570,0</v>
      </c>
      <c r="T16" s="19" t="str">
        <f>"332,0535"</f>
        <v>332,0535</v>
      </c>
      <c r="U16" s="30" t="s">
        <v>508</v>
      </c>
    </row>
    <row r="17" spans="1:21">
      <c r="B17" s="5" t="s">
        <v>39</v>
      </c>
    </row>
    <row r="18" spans="1:21" ht="16">
      <c r="A18" s="56" t="s">
        <v>149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</row>
    <row r="19" spans="1:21">
      <c r="A19" s="17" t="s">
        <v>38</v>
      </c>
      <c r="B19" s="16" t="s">
        <v>210</v>
      </c>
      <c r="C19" s="16" t="s">
        <v>211</v>
      </c>
      <c r="D19" s="16" t="s">
        <v>212</v>
      </c>
      <c r="E19" s="16" t="s">
        <v>579</v>
      </c>
      <c r="F19" s="16" t="s">
        <v>28</v>
      </c>
      <c r="G19" s="24" t="s">
        <v>90</v>
      </c>
      <c r="H19" s="22" t="s">
        <v>90</v>
      </c>
      <c r="I19" s="24" t="s">
        <v>110</v>
      </c>
      <c r="J19" s="17"/>
      <c r="K19" s="22" t="s">
        <v>85</v>
      </c>
      <c r="L19" s="22" t="s">
        <v>86</v>
      </c>
      <c r="M19" s="24" t="s">
        <v>94</v>
      </c>
      <c r="N19" s="17"/>
      <c r="O19" s="22" t="s">
        <v>90</v>
      </c>
      <c r="P19" s="22" t="s">
        <v>136</v>
      </c>
      <c r="Q19" s="22" t="s">
        <v>143</v>
      </c>
      <c r="R19" s="17"/>
      <c r="S19" s="17" t="str">
        <f>"625,0"</f>
        <v>625,0</v>
      </c>
      <c r="T19" s="17" t="str">
        <f>"353,7187"</f>
        <v>353,7187</v>
      </c>
      <c r="U19" s="31" t="s">
        <v>506</v>
      </c>
    </row>
    <row r="20" spans="1:21">
      <c r="A20" s="19" t="s">
        <v>38</v>
      </c>
      <c r="B20" s="18" t="s">
        <v>213</v>
      </c>
      <c r="C20" s="18" t="s">
        <v>214</v>
      </c>
      <c r="D20" s="18" t="s">
        <v>215</v>
      </c>
      <c r="E20" s="18" t="s">
        <v>578</v>
      </c>
      <c r="F20" s="18" t="s">
        <v>102</v>
      </c>
      <c r="G20" s="23" t="s">
        <v>108</v>
      </c>
      <c r="H20" s="23" t="s">
        <v>88</v>
      </c>
      <c r="I20" s="19"/>
      <c r="J20" s="19"/>
      <c r="K20" s="23" t="s">
        <v>85</v>
      </c>
      <c r="L20" s="23" t="s">
        <v>30</v>
      </c>
      <c r="M20" s="27" t="s">
        <v>216</v>
      </c>
      <c r="N20" s="19"/>
      <c r="O20" s="23" t="s">
        <v>110</v>
      </c>
      <c r="P20" s="23" t="s">
        <v>143</v>
      </c>
      <c r="Q20" s="23" t="s">
        <v>137</v>
      </c>
      <c r="R20" s="19"/>
      <c r="S20" s="19" t="str">
        <f>"605,0"</f>
        <v>605,0</v>
      </c>
      <c r="T20" s="19" t="str">
        <f>"356,1449"</f>
        <v>356,1449</v>
      </c>
      <c r="U20" s="18" t="s">
        <v>217</v>
      </c>
    </row>
    <row r="21" spans="1:21">
      <c r="B21" s="5" t="s">
        <v>39</v>
      </c>
    </row>
    <row r="22" spans="1:21" ht="16">
      <c r="A22" s="56" t="s">
        <v>153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</row>
    <row r="23" spans="1:21">
      <c r="A23" s="8" t="s">
        <v>38</v>
      </c>
      <c r="B23" s="7" t="s">
        <v>218</v>
      </c>
      <c r="C23" s="7" t="s">
        <v>219</v>
      </c>
      <c r="D23" s="7" t="s">
        <v>220</v>
      </c>
      <c r="E23" s="7" t="s">
        <v>579</v>
      </c>
      <c r="F23" s="7" t="s">
        <v>523</v>
      </c>
      <c r="G23" s="14" t="s">
        <v>148</v>
      </c>
      <c r="H23" s="15" t="s">
        <v>97</v>
      </c>
      <c r="I23" s="15" t="s">
        <v>136</v>
      </c>
      <c r="J23" s="8"/>
      <c r="K23" s="14" t="s">
        <v>70</v>
      </c>
      <c r="L23" s="14" t="s">
        <v>30</v>
      </c>
      <c r="M23" s="14" t="s">
        <v>94</v>
      </c>
      <c r="N23" s="8"/>
      <c r="O23" s="14" t="s">
        <v>136</v>
      </c>
      <c r="P23" s="14" t="s">
        <v>143</v>
      </c>
      <c r="Q23" s="8" t="s">
        <v>131</v>
      </c>
      <c r="R23" s="8"/>
      <c r="S23" s="8" t="str">
        <f>"625,0"</f>
        <v>625,0</v>
      </c>
      <c r="T23" s="8" t="str">
        <f>"342,2188"</f>
        <v>342,2188</v>
      </c>
      <c r="U23" s="28" t="s">
        <v>508</v>
      </c>
    </row>
    <row r="24" spans="1:21">
      <c r="B24" s="5" t="s">
        <v>39</v>
      </c>
    </row>
  </sheetData>
  <mergeCells count="19">
    <mergeCell ref="A22:R22"/>
    <mergeCell ref="A5:R5"/>
    <mergeCell ref="A8:R8"/>
    <mergeCell ref="A11:R11"/>
    <mergeCell ref="A14:R14"/>
    <mergeCell ref="A18:R18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U1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34" bestFit="1" customWidth="1"/>
    <col min="20" max="20" width="8.5" style="6" bestFit="1" customWidth="1"/>
    <col min="21" max="21" width="26.83203125" style="5" bestFit="1" customWidth="1"/>
    <col min="22" max="16384" width="9.1640625" style="3"/>
  </cols>
  <sheetData>
    <row r="1" spans="1:21" s="2" customFormat="1" ht="29" customHeight="1">
      <c r="A1" s="45" t="s">
        <v>562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</row>
    <row r="2" spans="1:21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7</v>
      </c>
      <c r="H3" s="39"/>
      <c r="I3" s="39"/>
      <c r="J3" s="39"/>
      <c r="K3" s="39" t="s">
        <v>8</v>
      </c>
      <c r="L3" s="39"/>
      <c r="M3" s="39"/>
      <c r="N3" s="39"/>
      <c r="O3" s="39" t="s">
        <v>9</v>
      </c>
      <c r="P3" s="39"/>
      <c r="Q3" s="39"/>
      <c r="R3" s="39"/>
      <c r="S3" s="37" t="s">
        <v>1</v>
      </c>
      <c r="T3" s="39" t="s">
        <v>3</v>
      </c>
      <c r="U3" s="41" t="s">
        <v>2</v>
      </c>
    </row>
    <row r="4" spans="1:21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8"/>
      <c r="T4" s="40"/>
      <c r="U4" s="42"/>
    </row>
    <row r="5" spans="1:21" ht="16">
      <c r="A5" s="43" t="s">
        <v>169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21">
      <c r="A6" s="8" t="s">
        <v>38</v>
      </c>
      <c r="B6" s="7" t="s">
        <v>170</v>
      </c>
      <c r="C6" s="7" t="s">
        <v>171</v>
      </c>
      <c r="D6" s="7" t="s">
        <v>172</v>
      </c>
      <c r="E6" s="7" t="s">
        <v>579</v>
      </c>
      <c r="F6" s="7" t="s">
        <v>173</v>
      </c>
      <c r="G6" s="14" t="s">
        <v>70</v>
      </c>
      <c r="H6" s="14" t="s">
        <v>30</v>
      </c>
      <c r="I6" s="14" t="s">
        <v>94</v>
      </c>
      <c r="J6" s="8"/>
      <c r="K6" s="14" t="s">
        <v>87</v>
      </c>
      <c r="L6" s="14" t="s">
        <v>65</v>
      </c>
      <c r="M6" s="14" t="s">
        <v>174</v>
      </c>
      <c r="N6" s="8"/>
      <c r="O6" s="14" t="s">
        <v>86</v>
      </c>
      <c r="P6" s="14" t="s">
        <v>95</v>
      </c>
      <c r="Q6" s="14" t="s">
        <v>29</v>
      </c>
      <c r="R6" s="8"/>
      <c r="S6" s="35" t="str">
        <f>"452,5"</f>
        <v>452,5</v>
      </c>
      <c r="T6" s="8" t="str">
        <f>"315,6414"</f>
        <v>315,6414</v>
      </c>
      <c r="U6" s="7"/>
    </row>
    <row r="7" spans="1:21">
      <c r="B7" s="5" t="s">
        <v>39</v>
      </c>
    </row>
    <row r="8" spans="1:21" ht="16">
      <c r="A8" s="56" t="s">
        <v>82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21">
      <c r="A9" s="8" t="s">
        <v>38</v>
      </c>
      <c r="B9" s="7" t="s">
        <v>175</v>
      </c>
      <c r="C9" s="7" t="s">
        <v>176</v>
      </c>
      <c r="D9" s="7" t="s">
        <v>177</v>
      </c>
      <c r="E9" s="7" t="s">
        <v>579</v>
      </c>
      <c r="F9" s="7" t="s">
        <v>571</v>
      </c>
      <c r="G9" s="14" t="s">
        <v>29</v>
      </c>
      <c r="H9" s="15" t="s">
        <v>123</v>
      </c>
      <c r="I9" s="14" t="s">
        <v>178</v>
      </c>
      <c r="J9" s="8"/>
      <c r="K9" s="14" t="s">
        <v>68</v>
      </c>
      <c r="L9" s="15" t="s">
        <v>109</v>
      </c>
      <c r="M9" s="15" t="s">
        <v>109</v>
      </c>
      <c r="N9" s="8"/>
      <c r="O9" s="14" t="s">
        <v>129</v>
      </c>
      <c r="P9" s="14" t="s">
        <v>148</v>
      </c>
      <c r="Q9" s="15" t="s">
        <v>90</v>
      </c>
      <c r="R9" s="8"/>
      <c r="S9" s="35" t="str">
        <f>"527,5"</f>
        <v>527,5</v>
      </c>
      <c r="T9" s="8" t="str">
        <f>"344,4047"</f>
        <v>344,4047</v>
      </c>
      <c r="U9" s="7"/>
    </row>
    <row r="10" spans="1:21">
      <c r="B10" s="5" t="s">
        <v>39</v>
      </c>
    </row>
    <row r="11" spans="1:21" ht="16">
      <c r="A11" s="56" t="s">
        <v>115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1">
      <c r="A12" s="17" t="s">
        <v>38</v>
      </c>
      <c r="B12" s="16" t="s">
        <v>179</v>
      </c>
      <c r="C12" s="16" t="s">
        <v>180</v>
      </c>
      <c r="D12" s="16" t="s">
        <v>181</v>
      </c>
      <c r="E12" s="16" t="s">
        <v>579</v>
      </c>
      <c r="F12" s="16" t="s">
        <v>28</v>
      </c>
      <c r="G12" s="24" t="s">
        <v>136</v>
      </c>
      <c r="H12" s="22" t="s">
        <v>136</v>
      </c>
      <c r="I12" s="24" t="s">
        <v>143</v>
      </c>
      <c r="J12" s="17"/>
      <c r="K12" s="22" t="s">
        <v>94</v>
      </c>
      <c r="L12" s="22" t="s">
        <v>95</v>
      </c>
      <c r="M12" s="22" t="s">
        <v>103</v>
      </c>
      <c r="N12" s="17"/>
      <c r="O12" s="22" t="s">
        <v>143</v>
      </c>
      <c r="P12" s="22" t="s">
        <v>131</v>
      </c>
      <c r="Q12" s="22" t="s">
        <v>182</v>
      </c>
      <c r="R12" s="17"/>
      <c r="S12" s="32" t="str">
        <f>"680,0"</f>
        <v>680,0</v>
      </c>
      <c r="T12" s="17" t="str">
        <f>"398,0380"</f>
        <v>398,0380</v>
      </c>
      <c r="U12" s="16"/>
    </row>
    <row r="13" spans="1:21">
      <c r="A13" s="19" t="s">
        <v>40</v>
      </c>
      <c r="B13" s="18" t="s">
        <v>183</v>
      </c>
      <c r="C13" s="18" t="s">
        <v>184</v>
      </c>
      <c r="D13" s="18" t="s">
        <v>185</v>
      </c>
      <c r="E13" s="18" t="s">
        <v>579</v>
      </c>
      <c r="F13" s="18" t="s">
        <v>28</v>
      </c>
      <c r="G13" s="27" t="s">
        <v>143</v>
      </c>
      <c r="H13" s="27" t="s">
        <v>143</v>
      </c>
      <c r="I13" s="27" t="s">
        <v>143</v>
      </c>
      <c r="J13" s="19"/>
      <c r="K13" s="27"/>
      <c r="L13" s="19"/>
      <c r="M13" s="19"/>
      <c r="N13" s="19"/>
      <c r="O13" s="27"/>
      <c r="P13" s="19"/>
      <c r="Q13" s="19"/>
      <c r="R13" s="19"/>
      <c r="S13" s="33">
        <v>0</v>
      </c>
      <c r="T13" s="19" t="str">
        <f>"0,0000"</f>
        <v>0,0000</v>
      </c>
      <c r="U13" s="30" t="s">
        <v>499</v>
      </c>
    </row>
    <row r="14" spans="1:21">
      <c r="B14" s="5" t="s">
        <v>39</v>
      </c>
    </row>
    <row r="15" spans="1:21" ht="16">
      <c r="A15" s="56" t="s">
        <v>153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6" spans="1:21">
      <c r="A16" s="8" t="s">
        <v>38</v>
      </c>
      <c r="B16" s="7" t="s">
        <v>186</v>
      </c>
      <c r="C16" s="7" t="s">
        <v>187</v>
      </c>
      <c r="D16" s="7" t="s">
        <v>188</v>
      </c>
      <c r="E16" s="7" t="s">
        <v>579</v>
      </c>
      <c r="F16" s="7" t="s">
        <v>28</v>
      </c>
      <c r="G16" s="15" t="s">
        <v>136</v>
      </c>
      <c r="H16" s="14" t="s">
        <v>136</v>
      </c>
      <c r="I16" s="14" t="s">
        <v>143</v>
      </c>
      <c r="J16" s="8"/>
      <c r="K16" s="14" t="s">
        <v>94</v>
      </c>
      <c r="L16" s="14" t="s">
        <v>95</v>
      </c>
      <c r="M16" s="14" t="s">
        <v>103</v>
      </c>
      <c r="N16" s="8"/>
      <c r="O16" s="14" t="s">
        <v>89</v>
      </c>
      <c r="P16" s="14" t="s">
        <v>90</v>
      </c>
      <c r="Q16" s="14" t="s">
        <v>98</v>
      </c>
      <c r="R16" s="8"/>
      <c r="S16" s="35" t="str">
        <f>"655,0"</f>
        <v>655,0</v>
      </c>
      <c r="T16" s="8" t="str">
        <f>"359,4312"</f>
        <v>359,4312</v>
      </c>
      <c r="U16" s="28" t="s">
        <v>506</v>
      </c>
    </row>
    <row r="17" spans="2:2">
      <c r="B17" s="5" t="s">
        <v>39</v>
      </c>
    </row>
  </sheetData>
  <mergeCells count="17">
    <mergeCell ref="A8:R8"/>
    <mergeCell ref="A11:R11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1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2.1640625" style="5" customWidth="1"/>
    <col min="18" max="16384" width="9.1640625" style="3"/>
  </cols>
  <sheetData>
    <row r="1" spans="1:17" s="2" customFormat="1" ht="29" customHeight="1">
      <c r="A1" s="45" t="s">
        <v>552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8</v>
      </c>
      <c r="H3" s="39"/>
      <c r="I3" s="39"/>
      <c r="J3" s="39"/>
      <c r="K3" s="39" t="s">
        <v>9</v>
      </c>
      <c r="L3" s="39"/>
      <c r="M3" s="39"/>
      <c r="N3" s="39"/>
      <c r="O3" s="39" t="s">
        <v>1</v>
      </c>
      <c r="P3" s="39" t="s">
        <v>3</v>
      </c>
      <c r="Q3" s="41" t="s">
        <v>2</v>
      </c>
    </row>
    <row r="4" spans="1:17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0"/>
      <c r="P4" s="40"/>
      <c r="Q4" s="42"/>
    </row>
    <row r="5" spans="1:17" ht="16">
      <c r="A5" s="43" t="s">
        <v>82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7">
      <c r="A6" s="8" t="s">
        <v>38</v>
      </c>
      <c r="B6" s="7" t="s">
        <v>285</v>
      </c>
      <c r="C6" s="7" t="s">
        <v>286</v>
      </c>
      <c r="D6" s="7" t="s">
        <v>287</v>
      </c>
      <c r="E6" s="7" t="s">
        <v>578</v>
      </c>
      <c r="F6" s="7" t="s">
        <v>102</v>
      </c>
      <c r="G6" s="14" t="s">
        <v>58</v>
      </c>
      <c r="H6" s="14" t="s">
        <v>45</v>
      </c>
      <c r="I6" s="14" t="s">
        <v>59</v>
      </c>
      <c r="J6" s="8"/>
      <c r="K6" s="14" t="s">
        <v>96</v>
      </c>
      <c r="L6" s="14" t="s">
        <v>85</v>
      </c>
      <c r="M6" s="15" t="s">
        <v>76</v>
      </c>
      <c r="N6" s="8"/>
      <c r="O6" s="8" t="str">
        <f>"230,0"</f>
        <v>230,0</v>
      </c>
      <c r="P6" s="8" t="str">
        <f>"191,1324"</f>
        <v>191,1324</v>
      </c>
      <c r="Q6" s="28" t="s">
        <v>497</v>
      </c>
    </row>
    <row r="7" spans="1:17">
      <c r="B7" s="5" t="s">
        <v>39</v>
      </c>
    </row>
    <row r="8" spans="1:17" ht="16">
      <c r="A8" s="56" t="s">
        <v>115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7">
      <c r="A9" s="8" t="s">
        <v>38</v>
      </c>
      <c r="B9" s="7" t="s">
        <v>430</v>
      </c>
      <c r="C9" s="7" t="s">
        <v>431</v>
      </c>
      <c r="D9" s="7" t="s">
        <v>432</v>
      </c>
      <c r="E9" s="7" t="s">
        <v>579</v>
      </c>
      <c r="F9" s="7" t="s">
        <v>523</v>
      </c>
      <c r="G9" s="14" t="s">
        <v>317</v>
      </c>
      <c r="H9" s="15" t="s">
        <v>216</v>
      </c>
      <c r="I9" s="15" t="s">
        <v>216</v>
      </c>
      <c r="J9" s="8"/>
      <c r="K9" s="14" t="s">
        <v>209</v>
      </c>
      <c r="L9" s="14" t="s">
        <v>110</v>
      </c>
      <c r="M9" s="15" t="s">
        <v>433</v>
      </c>
      <c r="N9" s="8"/>
      <c r="O9" s="8" t="str">
        <f>"377,5"</f>
        <v>377,5</v>
      </c>
      <c r="P9" s="8" t="str">
        <f>"224,6880"</f>
        <v>224,6880</v>
      </c>
      <c r="Q9" s="7"/>
    </row>
    <row r="10" spans="1:17">
      <c r="B10" s="5" t="s">
        <v>39</v>
      </c>
    </row>
    <row r="11" spans="1:17" ht="16">
      <c r="A11" s="56" t="s">
        <v>149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7">
      <c r="A12" s="8" t="s">
        <v>38</v>
      </c>
      <c r="B12" s="7" t="s">
        <v>213</v>
      </c>
      <c r="C12" s="7" t="s">
        <v>214</v>
      </c>
      <c r="D12" s="7" t="s">
        <v>215</v>
      </c>
      <c r="E12" s="7" t="s">
        <v>578</v>
      </c>
      <c r="F12" s="7" t="s">
        <v>102</v>
      </c>
      <c r="G12" s="14" t="s">
        <v>85</v>
      </c>
      <c r="H12" s="14" t="s">
        <v>30</v>
      </c>
      <c r="I12" s="15" t="s">
        <v>216</v>
      </c>
      <c r="J12" s="8"/>
      <c r="K12" s="14" t="s">
        <v>110</v>
      </c>
      <c r="L12" s="14" t="s">
        <v>143</v>
      </c>
      <c r="M12" s="14" t="s">
        <v>137</v>
      </c>
      <c r="N12" s="8"/>
      <c r="O12" s="8" t="str">
        <f>"405,0"</f>
        <v>405,0</v>
      </c>
      <c r="P12" s="8" t="str">
        <f>"238,4110"</f>
        <v>238,4110</v>
      </c>
      <c r="Q12" s="7" t="s">
        <v>217</v>
      </c>
    </row>
    <row r="13" spans="1:17">
      <c r="B13" s="5" t="s">
        <v>39</v>
      </c>
    </row>
    <row r="14" spans="1:17" ht="16">
      <c r="A14" s="56" t="s">
        <v>153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7">
      <c r="A15" s="8" t="s">
        <v>38</v>
      </c>
      <c r="B15" s="7" t="s">
        <v>434</v>
      </c>
      <c r="C15" s="7" t="s">
        <v>435</v>
      </c>
      <c r="D15" s="7" t="s">
        <v>155</v>
      </c>
      <c r="E15" s="7" t="s">
        <v>579</v>
      </c>
      <c r="F15" s="7" t="s">
        <v>372</v>
      </c>
      <c r="G15" s="14" t="s">
        <v>103</v>
      </c>
      <c r="H15" s="14" t="s">
        <v>29</v>
      </c>
      <c r="I15" s="15" t="s">
        <v>31</v>
      </c>
      <c r="J15" s="8"/>
      <c r="K15" s="15" t="s">
        <v>90</v>
      </c>
      <c r="L15" s="14" t="s">
        <v>90</v>
      </c>
      <c r="M15" s="14" t="s">
        <v>98</v>
      </c>
      <c r="N15" s="8"/>
      <c r="O15" s="8" t="str">
        <f>"410,0"</f>
        <v>410,0</v>
      </c>
      <c r="P15" s="8" t="str">
        <f>"224,4545"</f>
        <v>224,4545</v>
      </c>
      <c r="Q15" s="28" t="s">
        <v>498</v>
      </c>
    </row>
    <row r="16" spans="1:17">
      <c r="B16" s="5" t="s">
        <v>39</v>
      </c>
    </row>
  </sheetData>
  <mergeCells count="16">
    <mergeCell ref="A8:N8"/>
    <mergeCell ref="A11:N11"/>
    <mergeCell ref="A14:N14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1.5" style="5" customWidth="1"/>
    <col min="18" max="16384" width="9.1640625" style="3"/>
  </cols>
  <sheetData>
    <row r="1" spans="1:17" s="2" customFormat="1" ht="29" customHeight="1">
      <c r="A1" s="45" t="s">
        <v>553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8</v>
      </c>
      <c r="H3" s="39"/>
      <c r="I3" s="39"/>
      <c r="J3" s="39"/>
      <c r="K3" s="39" t="s">
        <v>9</v>
      </c>
      <c r="L3" s="39"/>
      <c r="M3" s="39"/>
      <c r="N3" s="39"/>
      <c r="O3" s="39" t="s">
        <v>1</v>
      </c>
      <c r="P3" s="39" t="s">
        <v>3</v>
      </c>
      <c r="Q3" s="41" t="s">
        <v>2</v>
      </c>
    </row>
    <row r="4" spans="1:17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0"/>
      <c r="P4" s="40"/>
      <c r="Q4" s="42"/>
    </row>
    <row r="5" spans="1:17" ht="16">
      <c r="A5" s="43" t="s">
        <v>115</v>
      </c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7">
      <c r="A6" s="8" t="s">
        <v>38</v>
      </c>
      <c r="B6" s="7" t="s">
        <v>183</v>
      </c>
      <c r="C6" s="7" t="s">
        <v>184</v>
      </c>
      <c r="D6" s="7" t="s">
        <v>185</v>
      </c>
      <c r="E6" s="7" t="s">
        <v>579</v>
      </c>
      <c r="F6" s="7" t="s">
        <v>28</v>
      </c>
      <c r="G6" s="14" t="s">
        <v>70</v>
      </c>
      <c r="H6" s="14" t="s">
        <v>85</v>
      </c>
      <c r="I6" s="15" t="s">
        <v>30</v>
      </c>
      <c r="J6" s="8"/>
      <c r="K6" s="14" t="s">
        <v>137</v>
      </c>
      <c r="L6" s="14" t="s">
        <v>428</v>
      </c>
      <c r="M6" s="14" t="s">
        <v>429</v>
      </c>
      <c r="N6" s="8"/>
      <c r="O6" s="8" t="str">
        <f>"420,0"</f>
        <v>420,0</v>
      </c>
      <c r="P6" s="8" t="str">
        <f>"245,3010"</f>
        <v>245,3010</v>
      </c>
      <c r="Q6" s="28" t="s">
        <v>499</v>
      </c>
    </row>
    <row r="7" spans="1:17">
      <c r="B7" s="5" t="s">
        <v>39</v>
      </c>
    </row>
    <row r="8" spans="1:17" ht="16">
      <c r="A8" s="56" t="s">
        <v>149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7">
      <c r="A9" s="8" t="s">
        <v>38</v>
      </c>
      <c r="B9" s="7" t="s">
        <v>383</v>
      </c>
      <c r="C9" s="7" t="s">
        <v>384</v>
      </c>
      <c r="D9" s="7" t="s">
        <v>385</v>
      </c>
      <c r="E9" s="7" t="s">
        <v>579</v>
      </c>
      <c r="F9" s="7" t="s">
        <v>74</v>
      </c>
      <c r="G9" s="15" t="s">
        <v>95</v>
      </c>
      <c r="H9" s="14" t="s">
        <v>95</v>
      </c>
      <c r="I9" s="14" t="s">
        <v>386</v>
      </c>
      <c r="J9" s="8"/>
      <c r="K9" s="15" t="s">
        <v>387</v>
      </c>
      <c r="L9" s="14" t="s">
        <v>387</v>
      </c>
      <c r="M9" s="15" t="s">
        <v>388</v>
      </c>
      <c r="N9" s="8"/>
      <c r="O9" s="8" t="str">
        <f>"477,5"</f>
        <v>477,5</v>
      </c>
      <c r="P9" s="8" t="str">
        <f>"272,9390"</f>
        <v>272,9390</v>
      </c>
      <c r="Q9" s="7" t="s">
        <v>389</v>
      </c>
    </row>
    <row r="10" spans="1:17">
      <c r="B10" s="5" t="s">
        <v>39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16406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45" t="s">
        <v>551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7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411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436</v>
      </c>
      <c r="C6" s="7" t="s">
        <v>437</v>
      </c>
      <c r="D6" s="7" t="s">
        <v>438</v>
      </c>
      <c r="E6" s="7" t="s">
        <v>579</v>
      </c>
      <c r="F6" s="7" t="s">
        <v>14</v>
      </c>
      <c r="G6" s="14" t="s">
        <v>54</v>
      </c>
      <c r="H6" s="14" t="s">
        <v>58</v>
      </c>
      <c r="I6" s="14" t="s">
        <v>45</v>
      </c>
      <c r="J6" s="8"/>
      <c r="K6" s="8" t="str">
        <f>"80,0"</f>
        <v>80,0</v>
      </c>
      <c r="L6" s="8" t="str">
        <f>"91,2400"</f>
        <v>91,2400</v>
      </c>
      <c r="M6" s="7" t="s">
        <v>439</v>
      </c>
    </row>
    <row r="7" spans="1:13">
      <c r="B7" s="5" t="s">
        <v>39</v>
      </c>
    </row>
    <row r="8" spans="1:13">
      <c r="B8" s="5" t="s">
        <v>39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65"/>
  <sheetViews>
    <sheetView topLeftCell="A20" workbookViewId="0">
      <selection activeCell="F59" sqref="F59"/>
    </sheetView>
  </sheetViews>
  <sheetFormatPr baseColWidth="10" defaultColWidth="9.1640625" defaultRowHeight="13"/>
  <cols>
    <col min="1" max="1" width="7.5" style="5" bestFit="1" customWidth="1"/>
    <col min="2" max="2" width="26.1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8.33203125" style="5" bestFit="1" customWidth="1"/>
    <col min="7" max="9" width="5.5" style="6" customWidth="1"/>
    <col min="10" max="10" width="4.83203125" style="6" customWidth="1"/>
    <col min="11" max="11" width="10.5" style="6" customWidth="1"/>
    <col min="12" max="12" width="8.5" style="6" bestFit="1" customWidth="1"/>
    <col min="13" max="13" width="30.6640625" style="5" bestFit="1" customWidth="1"/>
    <col min="14" max="16384" width="9.1640625" style="3"/>
  </cols>
  <sheetData>
    <row r="1" spans="1:13" s="2" customFormat="1" ht="29" customHeight="1">
      <c r="A1" s="45" t="s">
        <v>559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8</v>
      </c>
      <c r="H3" s="39"/>
      <c r="I3" s="39"/>
      <c r="J3" s="39"/>
      <c r="K3" s="39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40"/>
      <c r="L4" s="40"/>
      <c r="M4" s="42"/>
    </row>
    <row r="5" spans="1:13" ht="16">
      <c r="A5" s="43" t="s">
        <v>41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270</v>
      </c>
      <c r="C6" s="7" t="s">
        <v>271</v>
      </c>
      <c r="D6" s="7" t="s">
        <v>272</v>
      </c>
      <c r="E6" s="7" t="s">
        <v>579</v>
      </c>
      <c r="F6" s="7" t="s">
        <v>273</v>
      </c>
      <c r="G6" s="14" t="s">
        <v>274</v>
      </c>
      <c r="H6" s="14" t="s">
        <v>275</v>
      </c>
      <c r="I6" s="15" t="s">
        <v>53</v>
      </c>
      <c r="J6" s="8"/>
      <c r="K6" s="8" t="str">
        <f>"62,5"</f>
        <v>62,5</v>
      </c>
      <c r="L6" s="8" t="str">
        <f>"65,2438"</f>
        <v>65,2438</v>
      </c>
      <c r="M6" s="7"/>
    </row>
    <row r="7" spans="1:13">
      <c r="B7" s="5" t="s">
        <v>39</v>
      </c>
    </row>
    <row r="8" spans="1:13" ht="16">
      <c r="A8" s="56" t="s">
        <v>10</v>
      </c>
      <c r="B8" s="56"/>
      <c r="C8" s="56"/>
      <c r="D8" s="56"/>
      <c r="E8" s="56"/>
      <c r="F8" s="56"/>
      <c r="G8" s="56"/>
      <c r="H8" s="56"/>
      <c r="I8" s="56"/>
      <c r="J8" s="56"/>
    </row>
    <row r="9" spans="1:13">
      <c r="A9" s="8" t="s">
        <v>38</v>
      </c>
      <c r="B9" s="7" t="s">
        <v>276</v>
      </c>
      <c r="C9" s="7" t="s">
        <v>277</v>
      </c>
      <c r="D9" s="7" t="s">
        <v>73</v>
      </c>
      <c r="E9" s="7" t="s">
        <v>579</v>
      </c>
      <c r="F9" s="7" t="s">
        <v>44</v>
      </c>
      <c r="G9" s="15" t="s">
        <v>53</v>
      </c>
      <c r="H9" s="14" t="s">
        <v>53</v>
      </c>
      <c r="I9" s="15" t="s">
        <v>278</v>
      </c>
      <c r="J9" s="8"/>
      <c r="K9" s="8" t="str">
        <f>"65,0"</f>
        <v>65,0</v>
      </c>
      <c r="L9" s="8" t="str">
        <f>"64,2785"</f>
        <v>64,2785</v>
      </c>
      <c r="M9" s="7"/>
    </row>
    <row r="10" spans="1:13">
      <c r="B10" s="5" t="s">
        <v>39</v>
      </c>
    </row>
    <row r="11" spans="1:13" ht="16">
      <c r="A11" s="56" t="s">
        <v>48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3">
      <c r="A12" s="8" t="s">
        <v>38</v>
      </c>
      <c r="B12" s="7" t="s">
        <v>279</v>
      </c>
      <c r="C12" s="7" t="s">
        <v>280</v>
      </c>
      <c r="D12" s="7" t="s">
        <v>281</v>
      </c>
      <c r="E12" s="7" t="s">
        <v>579</v>
      </c>
      <c r="F12" s="7" t="s">
        <v>523</v>
      </c>
      <c r="G12" s="14" t="s">
        <v>278</v>
      </c>
      <c r="H12" s="14" t="s">
        <v>18</v>
      </c>
      <c r="I12" s="14" t="s">
        <v>58</v>
      </c>
      <c r="J12" s="8"/>
      <c r="K12" s="8" t="str">
        <f>"75,0"</f>
        <v>75,0</v>
      </c>
      <c r="L12" s="8" t="str">
        <f>"67,4963"</f>
        <v>67,4963</v>
      </c>
      <c r="M12" s="28" t="s">
        <v>508</v>
      </c>
    </row>
    <row r="13" spans="1:13">
      <c r="B13" s="5" t="s">
        <v>39</v>
      </c>
    </row>
    <row r="14" spans="1:13" ht="16">
      <c r="A14" s="56" t="s">
        <v>169</v>
      </c>
      <c r="B14" s="56"/>
      <c r="C14" s="56"/>
      <c r="D14" s="56"/>
      <c r="E14" s="56"/>
      <c r="F14" s="56"/>
      <c r="G14" s="56"/>
      <c r="H14" s="56"/>
      <c r="I14" s="56"/>
      <c r="J14" s="56"/>
    </row>
    <row r="15" spans="1:13">
      <c r="A15" s="8" t="s">
        <v>38</v>
      </c>
      <c r="B15" s="7" t="s">
        <v>282</v>
      </c>
      <c r="C15" s="7" t="s">
        <v>283</v>
      </c>
      <c r="D15" s="7" t="s">
        <v>284</v>
      </c>
      <c r="E15" s="7" t="s">
        <v>579</v>
      </c>
      <c r="F15" s="7" t="s">
        <v>523</v>
      </c>
      <c r="G15" s="14" t="s">
        <v>45</v>
      </c>
      <c r="H15" s="14" t="s">
        <v>59</v>
      </c>
      <c r="I15" s="14" t="s">
        <v>67</v>
      </c>
      <c r="J15" s="8"/>
      <c r="K15" s="8" t="str">
        <f>"90,0"</f>
        <v>90,0</v>
      </c>
      <c r="L15" s="8" t="str">
        <f>"77,8770"</f>
        <v>77,8770</v>
      </c>
      <c r="M15" s="28" t="s">
        <v>496</v>
      </c>
    </row>
    <row r="16" spans="1:13">
      <c r="B16" s="5" t="s">
        <v>39</v>
      </c>
    </row>
    <row r="17" spans="1:13" ht="16">
      <c r="A17" s="56" t="s">
        <v>82</v>
      </c>
      <c r="B17" s="56"/>
      <c r="C17" s="56"/>
      <c r="D17" s="56"/>
      <c r="E17" s="56"/>
      <c r="F17" s="56"/>
      <c r="G17" s="56"/>
      <c r="H17" s="56"/>
      <c r="I17" s="56"/>
      <c r="J17" s="56"/>
    </row>
    <row r="18" spans="1:13">
      <c r="A18" s="8" t="s">
        <v>38</v>
      </c>
      <c r="B18" s="7" t="s">
        <v>285</v>
      </c>
      <c r="C18" s="7" t="s">
        <v>286</v>
      </c>
      <c r="D18" s="7" t="s">
        <v>287</v>
      </c>
      <c r="E18" s="7" t="s">
        <v>578</v>
      </c>
      <c r="F18" s="7" t="s">
        <v>102</v>
      </c>
      <c r="G18" s="14" t="s">
        <v>58</v>
      </c>
      <c r="H18" s="14" t="s">
        <v>45</v>
      </c>
      <c r="I18" s="14" t="s">
        <v>59</v>
      </c>
      <c r="J18" s="8"/>
      <c r="K18" s="8" t="str">
        <f>"85,0"</f>
        <v>85,0</v>
      </c>
      <c r="L18" s="8" t="str">
        <f>"70,6359"</f>
        <v>70,6359</v>
      </c>
      <c r="M18" s="28" t="s">
        <v>497</v>
      </c>
    </row>
    <row r="19" spans="1:13">
      <c r="B19" s="5" t="s">
        <v>39</v>
      </c>
    </row>
    <row r="20" spans="1:13" ht="16">
      <c r="A20" s="56" t="s">
        <v>48</v>
      </c>
      <c r="B20" s="56"/>
      <c r="C20" s="56"/>
      <c r="D20" s="56"/>
      <c r="E20" s="56"/>
      <c r="F20" s="56"/>
      <c r="G20" s="56"/>
      <c r="H20" s="56"/>
      <c r="I20" s="56"/>
      <c r="J20" s="56"/>
    </row>
    <row r="21" spans="1:13">
      <c r="A21" s="17" t="s">
        <v>38</v>
      </c>
      <c r="B21" s="16" t="s">
        <v>288</v>
      </c>
      <c r="C21" s="16" t="s">
        <v>289</v>
      </c>
      <c r="D21" s="16" t="s">
        <v>290</v>
      </c>
      <c r="E21" s="16" t="s">
        <v>579</v>
      </c>
      <c r="F21" s="16" t="s">
        <v>291</v>
      </c>
      <c r="G21" s="22" t="s">
        <v>85</v>
      </c>
      <c r="H21" s="22" t="s">
        <v>30</v>
      </c>
      <c r="I21" s="24" t="s">
        <v>216</v>
      </c>
      <c r="J21" s="17"/>
      <c r="K21" s="17" t="str">
        <f>"150,0"</f>
        <v>150,0</v>
      </c>
      <c r="L21" s="17" t="str">
        <f>"112,9725"</f>
        <v>112,9725</v>
      </c>
      <c r="M21" s="16"/>
    </row>
    <row r="22" spans="1:13">
      <c r="A22" s="21" t="s">
        <v>166</v>
      </c>
      <c r="B22" s="20" t="s">
        <v>292</v>
      </c>
      <c r="C22" s="20" t="s">
        <v>293</v>
      </c>
      <c r="D22" s="20" t="s">
        <v>294</v>
      </c>
      <c r="E22" s="20" t="s">
        <v>579</v>
      </c>
      <c r="F22" s="20" t="s">
        <v>295</v>
      </c>
      <c r="G22" s="25" t="s">
        <v>118</v>
      </c>
      <c r="H22" s="25" t="s">
        <v>174</v>
      </c>
      <c r="I22" s="26" t="s">
        <v>68</v>
      </c>
      <c r="J22" s="21"/>
      <c r="K22" s="21" t="str">
        <f>"117,5"</f>
        <v>117,5</v>
      </c>
      <c r="L22" s="21" t="str">
        <f>"92,9190"</f>
        <v>92,9190</v>
      </c>
      <c r="M22" s="20"/>
    </row>
    <row r="23" spans="1:13">
      <c r="A23" s="19" t="s">
        <v>167</v>
      </c>
      <c r="B23" s="18" t="s">
        <v>296</v>
      </c>
      <c r="C23" s="18" t="s">
        <v>297</v>
      </c>
      <c r="D23" s="18" t="s">
        <v>298</v>
      </c>
      <c r="E23" s="18" t="s">
        <v>579</v>
      </c>
      <c r="F23" s="18" t="s">
        <v>14</v>
      </c>
      <c r="G23" s="23" t="s">
        <v>45</v>
      </c>
      <c r="H23" s="27" t="s">
        <v>47</v>
      </c>
      <c r="I23" s="27" t="s">
        <v>47</v>
      </c>
      <c r="J23" s="19"/>
      <c r="K23" s="19" t="str">
        <f>"80,0"</f>
        <v>80,0</v>
      </c>
      <c r="L23" s="19" t="str">
        <f>"60,5640"</f>
        <v>60,5640</v>
      </c>
      <c r="M23" s="30" t="s">
        <v>507</v>
      </c>
    </row>
    <row r="24" spans="1:13">
      <c r="B24" s="5" t="s">
        <v>39</v>
      </c>
    </row>
    <row r="25" spans="1:13" ht="16">
      <c r="A25" s="56" t="s">
        <v>169</v>
      </c>
      <c r="B25" s="56"/>
      <c r="C25" s="56"/>
      <c r="D25" s="56"/>
      <c r="E25" s="56"/>
      <c r="F25" s="56"/>
      <c r="G25" s="56"/>
      <c r="H25" s="56"/>
      <c r="I25" s="56"/>
      <c r="J25" s="56"/>
    </row>
    <row r="26" spans="1:13">
      <c r="A26" s="17" t="s">
        <v>38</v>
      </c>
      <c r="B26" s="16" t="s">
        <v>299</v>
      </c>
      <c r="C26" s="16" t="s">
        <v>537</v>
      </c>
      <c r="D26" s="16" t="s">
        <v>300</v>
      </c>
      <c r="E26" s="16" t="s">
        <v>584</v>
      </c>
      <c r="F26" s="16" t="s">
        <v>28</v>
      </c>
      <c r="G26" s="22" t="s">
        <v>54</v>
      </c>
      <c r="H26" s="22" t="s">
        <v>45</v>
      </c>
      <c r="I26" s="24" t="s">
        <v>59</v>
      </c>
      <c r="J26" s="17"/>
      <c r="K26" s="17" t="str">
        <f>"80,0"</f>
        <v>80,0</v>
      </c>
      <c r="L26" s="17" t="str">
        <f>"57,7000"</f>
        <v>57,7000</v>
      </c>
      <c r="M26" s="31" t="s">
        <v>506</v>
      </c>
    </row>
    <row r="27" spans="1:13">
      <c r="A27" s="21" t="s">
        <v>38</v>
      </c>
      <c r="B27" s="20" t="s">
        <v>301</v>
      </c>
      <c r="C27" s="20" t="s">
        <v>538</v>
      </c>
      <c r="D27" s="20" t="s">
        <v>302</v>
      </c>
      <c r="E27" s="20" t="s">
        <v>577</v>
      </c>
      <c r="F27" s="20" t="s">
        <v>14</v>
      </c>
      <c r="G27" s="25" t="s">
        <v>75</v>
      </c>
      <c r="H27" s="26" t="s">
        <v>96</v>
      </c>
      <c r="I27" s="25" t="s">
        <v>96</v>
      </c>
      <c r="J27" s="21"/>
      <c r="K27" s="21" t="str">
        <f>"130,0"</f>
        <v>130,0</v>
      </c>
      <c r="L27" s="21" t="str">
        <f>"90,4085"</f>
        <v>90,4085</v>
      </c>
      <c r="M27" s="20"/>
    </row>
    <row r="28" spans="1:13">
      <c r="A28" s="19" t="s">
        <v>38</v>
      </c>
      <c r="B28" s="18" t="s">
        <v>303</v>
      </c>
      <c r="C28" s="18" t="s">
        <v>539</v>
      </c>
      <c r="D28" s="18" t="s">
        <v>304</v>
      </c>
      <c r="E28" s="18" t="s">
        <v>581</v>
      </c>
      <c r="F28" s="18" t="s">
        <v>305</v>
      </c>
      <c r="G28" s="23" t="s">
        <v>20</v>
      </c>
      <c r="H28" s="27" t="s">
        <v>15</v>
      </c>
      <c r="I28" s="27" t="s">
        <v>15</v>
      </c>
      <c r="J28" s="19"/>
      <c r="K28" s="19" t="str">
        <f>"82,5"</f>
        <v>82,5</v>
      </c>
      <c r="L28" s="19" t="str">
        <f>"61,1366"</f>
        <v>61,1366</v>
      </c>
      <c r="M28" s="18"/>
    </row>
    <row r="29" spans="1:13">
      <c r="B29" s="5" t="s">
        <v>39</v>
      </c>
    </row>
    <row r="30" spans="1:13" ht="16">
      <c r="A30" s="56" t="s">
        <v>82</v>
      </c>
      <c r="B30" s="56"/>
      <c r="C30" s="56"/>
      <c r="D30" s="56"/>
      <c r="E30" s="56"/>
      <c r="F30" s="56"/>
      <c r="G30" s="56"/>
      <c r="H30" s="56"/>
      <c r="I30" s="56"/>
      <c r="J30" s="56"/>
    </row>
    <row r="31" spans="1:13">
      <c r="A31" s="17" t="s">
        <v>38</v>
      </c>
      <c r="B31" s="16" t="s">
        <v>306</v>
      </c>
      <c r="C31" s="16" t="s">
        <v>540</v>
      </c>
      <c r="D31" s="16" t="s">
        <v>307</v>
      </c>
      <c r="E31" s="16" t="s">
        <v>577</v>
      </c>
      <c r="F31" s="16" t="s">
        <v>14</v>
      </c>
      <c r="G31" s="22" t="s">
        <v>66</v>
      </c>
      <c r="H31" s="22" t="s">
        <v>156</v>
      </c>
      <c r="I31" s="24" t="s">
        <v>17</v>
      </c>
      <c r="J31" s="17"/>
      <c r="K31" s="17" t="str">
        <f>"95,0"</f>
        <v>95,0</v>
      </c>
      <c r="L31" s="17" t="str">
        <f>"62,2868"</f>
        <v>62,2868</v>
      </c>
      <c r="M31" s="31" t="s">
        <v>505</v>
      </c>
    </row>
    <row r="32" spans="1:13">
      <c r="A32" s="21" t="s">
        <v>38</v>
      </c>
      <c r="B32" s="20" t="s">
        <v>308</v>
      </c>
      <c r="C32" s="20" t="s">
        <v>541</v>
      </c>
      <c r="D32" s="20" t="s">
        <v>309</v>
      </c>
      <c r="E32" s="20" t="s">
        <v>583</v>
      </c>
      <c r="F32" s="20" t="s">
        <v>142</v>
      </c>
      <c r="G32" s="26" t="s">
        <v>15</v>
      </c>
      <c r="H32" s="25" t="s">
        <v>15</v>
      </c>
      <c r="I32" s="25" t="s">
        <v>47</v>
      </c>
      <c r="J32" s="21"/>
      <c r="K32" s="21" t="str">
        <f>"100,0"</f>
        <v>100,0</v>
      </c>
      <c r="L32" s="21" t="str">
        <f>"68,1900"</f>
        <v>68,1900</v>
      </c>
      <c r="M32" s="20" t="s">
        <v>145</v>
      </c>
    </row>
    <row r="33" spans="1:13">
      <c r="A33" s="21" t="s">
        <v>38</v>
      </c>
      <c r="B33" s="20" t="s">
        <v>310</v>
      </c>
      <c r="C33" s="20" t="s">
        <v>311</v>
      </c>
      <c r="D33" s="20" t="s">
        <v>228</v>
      </c>
      <c r="E33" s="20" t="s">
        <v>579</v>
      </c>
      <c r="F33" s="20" t="s">
        <v>312</v>
      </c>
      <c r="G33" s="25" t="s">
        <v>94</v>
      </c>
      <c r="H33" s="26" t="s">
        <v>95</v>
      </c>
      <c r="I33" s="26" t="s">
        <v>95</v>
      </c>
      <c r="J33" s="21"/>
      <c r="K33" s="21" t="str">
        <f>"160,0"</f>
        <v>160,0</v>
      </c>
      <c r="L33" s="21" t="str">
        <f>"103,9600"</f>
        <v>103,9600</v>
      </c>
      <c r="M33" s="20" t="s">
        <v>313</v>
      </c>
    </row>
    <row r="34" spans="1:13">
      <c r="A34" s="21" t="s">
        <v>166</v>
      </c>
      <c r="B34" s="20" t="s">
        <v>314</v>
      </c>
      <c r="C34" s="20" t="s">
        <v>315</v>
      </c>
      <c r="D34" s="20" t="s">
        <v>316</v>
      </c>
      <c r="E34" s="20" t="s">
        <v>579</v>
      </c>
      <c r="F34" s="20" t="s">
        <v>28</v>
      </c>
      <c r="G34" s="26" t="s">
        <v>85</v>
      </c>
      <c r="H34" s="25" t="s">
        <v>85</v>
      </c>
      <c r="I34" s="26" t="s">
        <v>317</v>
      </c>
      <c r="J34" s="21"/>
      <c r="K34" s="21" t="str">
        <f>"145,0"</f>
        <v>145,0</v>
      </c>
      <c r="L34" s="21" t="str">
        <f>"94,5182"</f>
        <v>94,5182</v>
      </c>
      <c r="M34" s="29"/>
    </row>
    <row r="35" spans="1:13">
      <c r="A35" s="21" t="s">
        <v>167</v>
      </c>
      <c r="B35" s="20" t="s">
        <v>318</v>
      </c>
      <c r="C35" s="20" t="s">
        <v>319</v>
      </c>
      <c r="D35" s="20" t="s">
        <v>320</v>
      </c>
      <c r="E35" s="20" t="s">
        <v>579</v>
      </c>
      <c r="F35" s="20" t="s">
        <v>523</v>
      </c>
      <c r="G35" s="25" t="s">
        <v>174</v>
      </c>
      <c r="H35" s="25" t="s">
        <v>75</v>
      </c>
      <c r="I35" s="25" t="s">
        <v>68</v>
      </c>
      <c r="J35" s="21"/>
      <c r="K35" s="21" t="str">
        <f>"125,0"</f>
        <v>125,0</v>
      </c>
      <c r="L35" s="21" t="str">
        <f>"80,5750"</f>
        <v>80,5750</v>
      </c>
      <c r="M35" s="20"/>
    </row>
    <row r="36" spans="1:13">
      <c r="A36" s="19" t="s">
        <v>38</v>
      </c>
      <c r="B36" s="18" t="s">
        <v>321</v>
      </c>
      <c r="C36" s="18" t="s">
        <v>322</v>
      </c>
      <c r="D36" s="18" t="s">
        <v>323</v>
      </c>
      <c r="E36" s="18" t="s">
        <v>582</v>
      </c>
      <c r="F36" s="18" t="s">
        <v>44</v>
      </c>
      <c r="G36" s="23" t="s">
        <v>109</v>
      </c>
      <c r="H36" s="23" t="s">
        <v>70</v>
      </c>
      <c r="I36" s="27" t="s">
        <v>85</v>
      </c>
      <c r="J36" s="19"/>
      <c r="K36" s="19" t="str">
        <f>"140,0"</f>
        <v>140,0</v>
      </c>
      <c r="L36" s="19" t="str">
        <f>"105,1397"</f>
        <v>105,1397</v>
      </c>
      <c r="M36" s="30" t="s">
        <v>504</v>
      </c>
    </row>
    <row r="37" spans="1:13">
      <c r="B37" s="5" t="s">
        <v>39</v>
      </c>
    </row>
    <row r="38" spans="1:13" ht="16">
      <c r="A38" s="56" t="s">
        <v>24</v>
      </c>
      <c r="B38" s="56"/>
      <c r="C38" s="56"/>
      <c r="D38" s="56"/>
      <c r="E38" s="56"/>
      <c r="F38" s="56"/>
      <c r="G38" s="56"/>
      <c r="H38" s="56"/>
      <c r="I38" s="56"/>
      <c r="J38" s="56"/>
    </row>
    <row r="39" spans="1:13">
      <c r="A39" s="17" t="s">
        <v>38</v>
      </c>
      <c r="B39" s="16" t="s">
        <v>324</v>
      </c>
      <c r="C39" s="16" t="s">
        <v>325</v>
      </c>
      <c r="D39" s="16" t="s">
        <v>326</v>
      </c>
      <c r="E39" s="16" t="s">
        <v>579</v>
      </c>
      <c r="F39" s="16" t="s">
        <v>327</v>
      </c>
      <c r="G39" s="22" t="s">
        <v>94</v>
      </c>
      <c r="H39" s="22" t="s">
        <v>103</v>
      </c>
      <c r="I39" s="22" t="s">
        <v>29</v>
      </c>
      <c r="J39" s="17"/>
      <c r="K39" s="17" t="str">
        <f>"175,0"</f>
        <v>175,0</v>
      </c>
      <c r="L39" s="17" t="str">
        <f>"108,9550"</f>
        <v>108,9550</v>
      </c>
      <c r="M39" s="16" t="s">
        <v>567</v>
      </c>
    </row>
    <row r="40" spans="1:13">
      <c r="A40" s="21" t="s">
        <v>166</v>
      </c>
      <c r="B40" s="20" t="s">
        <v>328</v>
      </c>
      <c r="C40" s="20" t="s">
        <v>329</v>
      </c>
      <c r="D40" s="20" t="s">
        <v>330</v>
      </c>
      <c r="E40" s="20" t="s">
        <v>579</v>
      </c>
      <c r="F40" s="20" t="s">
        <v>331</v>
      </c>
      <c r="G40" s="25" t="s">
        <v>332</v>
      </c>
      <c r="H40" s="25" t="s">
        <v>70</v>
      </c>
      <c r="I40" s="26" t="s">
        <v>317</v>
      </c>
      <c r="J40" s="21"/>
      <c r="K40" s="21" t="str">
        <f>"140,0"</f>
        <v>140,0</v>
      </c>
      <c r="L40" s="21" t="str">
        <f>"87,2760"</f>
        <v>87,2760</v>
      </c>
      <c r="M40" s="29" t="s">
        <v>503</v>
      </c>
    </row>
    <row r="41" spans="1:13">
      <c r="A41" s="21" t="s">
        <v>167</v>
      </c>
      <c r="B41" s="20" t="s">
        <v>333</v>
      </c>
      <c r="C41" s="20" t="s">
        <v>334</v>
      </c>
      <c r="D41" s="20" t="s">
        <v>335</v>
      </c>
      <c r="E41" s="20" t="s">
        <v>579</v>
      </c>
      <c r="F41" s="20" t="s">
        <v>14</v>
      </c>
      <c r="G41" s="25" t="s">
        <v>22</v>
      </c>
      <c r="H41" s="26" t="s">
        <v>332</v>
      </c>
      <c r="I41" s="26" t="s">
        <v>332</v>
      </c>
      <c r="J41" s="21"/>
      <c r="K41" s="21" t="str">
        <f>"122,5"</f>
        <v>122,5</v>
      </c>
      <c r="L41" s="21" t="str">
        <f>"76,1154"</f>
        <v>76,1154</v>
      </c>
      <c r="M41" s="20" t="s">
        <v>568</v>
      </c>
    </row>
    <row r="42" spans="1:13">
      <c r="A42" s="21" t="s">
        <v>38</v>
      </c>
      <c r="B42" s="20" t="s">
        <v>336</v>
      </c>
      <c r="C42" s="20" t="s">
        <v>337</v>
      </c>
      <c r="D42" s="20" t="s">
        <v>338</v>
      </c>
      <c r="E42" s="20" t="s">
        <v>578</v>
      </c>
      <c r="F42" s="20" t="s">
        <v>327</v>
      </c>
      <c r="G42" s="26" t="s">
        <v>85</v>
      </c>
      <c r="H42" s="25" t="s">
        <v>85</v>
      </c>
      <c r="I42" s="21"/>
      <c r="J42" s="21"/>
      <c r="K42" s="21" t="str">
        <f>"145,0"</f>
        <v>145,0</v>
      </c>
      <c r="L42" s="21" t="str">
        <f>"99,8731"</f>
        <v>99,8731</v>
      </c>
      <c r="M42" s="20" t="s">
        <v>569</v>
      </c>
    </row>
    <row r="43" spans="1:13">
      <c r="A43" s="19" t="s">
        <v>166</v>
      </c>
      <c r="B43" s="18" t="s">
        <v>339</v>
      </c>
      <c r="C43" s="18" t="s">
        <v>340</v>
      </c>
      <c r="D43" s="18" t="s">
        <v>341</v>
      </c>
      <c r="E43" s="18" t="s">
        <v>578</v>
      </c>
      <c r="F43" s="18" t="s">
        <v>14</v>
      </c>
      <c r="G43" s="23" t="s">
        <v>109</v>
      </c>
      <c r="H43" s="23" t="s">
        <v>70</v>
      </c>
      <c r="I43" s="23" t="s">
        <v>85</v>
      </c>
      <c r="J43" s="19"/>
      <c r="K43" s="19" t="str">
        <f>"145,0"</f>
        <v>145,0</v>
      </c>
      <c r="L43" s="19" t="str">
        <f>"93,7737"</f>
        <v>93,7737</v>
      </c>
      <c r="M43" s="18"/>
    </row>
    <row r="44" spans="1:13">
      <c r="B44" s="5" t="s">
        <v>39</v>
      </c>
    </row>
    <row r="45" spans="1:13" ht="16">
      <c r="A45" s="56" t="s">
        <v>115</v>
      </c>
      <c r="B45" s="56"/>
      <c r="C45" s="56"/>
      <c r="D45" s="56"/>
      <c r="E45" s="56"/>
      <c r="F45" s="56"/>
      <c r="G45" s="56"/>
      <c r="H45" s="56"/>
      <c r="I45" s="56"/>
      <c r="J45" s="56"/>
    </row>
    <row r="46" spans="1:13">
      <c r="A46" s="17" t="s">
        <v>38</v>
      </c>
      <c r="B46" s="16" t="s">
        <v>342</v>
      </c>
      <c r="C46" s="16" t="s">
        <v>542</v>
      </c>
      <c r="D46" s="16" t="s">
        <v>343</v>
      </c>
      <c r="E46" s="16" t="s">
        <v>581</v>
      </c>
      <c r="F46" s="16" t="s">
        <v>14</v>
      </c>
      <c r="G46" s="22" t="s">
        <v>68</v>
      </c>
      <c r="H46" s="22" t="s">
        <v>332</v>
      </c>
      <c r="I46" s="24" t="s">
        <v>109</v>
      </c>
      <c r="J46" s="17"/>
      <c r="K46" s="17" t="str">
        <f>"132,5"</f>
        <v>132,5</v>
      </c>
      <c r="L46" s="17" t="str">
        <f>"78,4731"</f>
        <v>78,4731</v>
      </c>
      <c r="M46" s="16"/>
    </row>
    <row r="47" spans="1:13">
      <c r="A47" s="21" t="s">
        <v>38</v>
      </c>
      <c r="B47" s="20" t="s">
        <v>344</v>
      </c>
      <c r="C47" s="20" t="s">
        <v>345</v>
      </c>
      <c r="D47" s="20" t="s">
        <v>346</v>
      </c>
      <c r="E47" s="20" t="s">
        <v>579</v>
      </c>
      <c r="F47" s="20" t="s">
        <v>347</v>
      </c>
      <c r="G47" s="25" t="s">
        <v>29</v>
      </c>
      <c r="H47" s="25" t="s">
        <v>123</v>
      </c>
      <c r="I47" s="26" t="s">
        <v>108</v>
      </c>
      <c r="J47" s="21"/>
      <c r="K47" s="21" t="str">
        <f>"185,0"</f>
        <v>185,0</v>
      </c>
      <c r="L47" s="21" t="str">
        <f>"108,6783"</f>
        <v>108,6783</v>
      </c>
      <c r="M47" s="29" t="s">
        <v>493</v>
      </c>
    </row>
    <row r="48" spans="1:13">
      <c r="A48" s="21" t="s">
        <v>166</v>
      </c>
      <c r="B48" s="20" t="s">
        <v>348</v>
      </c>
      <c r="C48" s="20" t="s">
        <v>349</v>
      </c>
      <c r="D48" s="20" t="s">
        <v>350</v>
      </c>
      <c r="E48" s="20" t="s">
        <v>579</v>
      </c>
      <c r="F48" s="20" t="s">
        <v>28</v>
      </c>
      <c r="G48" s="25" t="s">
        <v>77</v>
      </c>
      <c r="H48" s="25" t="s">
        <v>103</v>
      </c>
      <c r="I48" s="26" t="s">
        <v>29</v>
      </c>
      <c r="J48" s="21"/>
      <c r="K48" s="21" t="str">
        <f>"170,0"</f>
        <v>170,0</v>
      </c>
      <c r="L48" s="21" t="str">
        <f>"100,5380"</f>
        <v>100,5380</v>
      </c>
      <c r="M48" s="20"/>
    </row>
    <row r="49" spans="1:13">
      <c r="A49" s="21" t="s">
        <v>167</v>
      </c>
      <c r="B49" s="20" t="s">
        <v>351</v>
      </c>
      <c r="C49" s="20" t="s">
        <v>352</v>
      </c>
      <c r="D49" s="20" t="s">
        <v>353</v>
      </c>
      <c r="E49" s="20" t="s">
        <v>579</v>
      </c>
      <c r="F49" s="20" t="s">
        <v>74</v>
      </c>
      <c r="G49" s="25" t="s">
        <v>86</v>
      </c>
      <c r="H49" s="25" t="s">
        <v>94</v>
      </c>
      <c r="I49" s="25" t="s">
        <v>95</v>
      </c>
      <c r="J49" s="21"/>
      <c r="K49" s="21" t="str">
        <f>"165,0"</f>
        <v>165,0</v>
      </c>
      <c r="L49" s="21" t="str">
        <f>"99,5445"</f>
        <v>99,5445</v>
      </c>
      <c r="M49" s="20"/>
    </row>
    <row r="50" spans="1:13">
      <c r="A50" s="21" t="s">
        <v>168</v>
      </c>
      <c r="B50" s="20" t="s">
        <v>146</v>
      </c>
      <c r="C50" s="20" t="s">
        <v>147</v>
      </c>
      <c r="D50" s="20" t="s">
        <v>128</v>
      </c>
      <c r="E50" s="20" t="s">
        <v>579</v>
      </c>
      <c r="F50" s="20" t="s">
        <v>102</v>
      </c>
      <c r="G50" s="25" t="s">
        <v>76</v>
      </c>
      <c r="H50" s="26" t="s">
        <v>77</v>
      </c>
      <c r="I50" s="25" t="s">
        <v>77</v>
      </c>
      <c r="J50" s="21"/>
      <c r="K50" s="21" t="str">
        <f>"162,5"</f>
        <v>162,5</v>
      </c>
      <c r="L50" s="21" t="str">
        <f>"96,5737"</f>
        <v>96,5737</v>
      </c>
      <c r="M50" s="20"/>
    </row>
    <row r="51" spans="1:13">
      <c r="A51" s="21" t="s">
        <v>38</v>
      </c>
      <c r="B51" s="20" t="s">
        <v>351</v>
      </c>
      <c r="C51" s="20" t="s">
        <v>354</v>
      </c>
      <c r="D51" s="20" t="s">
        <v>353</v>
      </c>
      <c r="E51" s="20" t="s">
        <v>578</v>
      </c>
      <c r="F51" s="20" t="s">
        <v>74</v>
      </c>
      <c r="G51" s="25" t="s">
        <v>86</v>
      </c>
      <c r="H51" s="25" t="s">
        <v>94</v>
      </c>
      <c r="I51" s="25" t="s">
        <v>95</v>
      </c>
      <c r="J51" s="21"/>
      <c r="K51" s="21" t="str">
        <f>"165,0"</f>
        <v>165,0</v>
      </c>
      <c r="L51" s="21" t="str">
        <f>"101,5354"</f>
        <v>101,5354</v>
      </c>
      <c r="M51" s="20"/>
    </row>
    <row r="52" spans="1:13">
      <c r="A52" s="19" t="s">
        <v>166</v>
      </c>
      <c r="B52" s="18" t="s">
        <v>355</v>
      </c>
      <c r="C52" s="18" t="s">
        <v>356</v>
      </c>
      <c r="D52" s="18" t="s">
        <v>357</v>
      </c>
      <c r="E52" s="18" t="s">
        <v>578</v>
      </c>
      <c r="F52" s="18" t="s">
        <v>44</v>
      </c>
      <c r="G52" s="23" t="s">
        <v>86</v>
      </c>
      <c r="H52" s="23" t="s">
        <v>77</v>
      </c>
      <c r="I52" s="27" t="s">
        <v>95</v>
      </c>
      <c r="J52" s="19"/>
      <c r="K52" s="19" t="str">
        <f>"162,5"</f>
        <v>162,5</v>
      </c>
      <c r="L52" s="19" t="str">
        <f>"98,9468"</f>
        <v>98,9468</v>
      </c>
      <c r="M52" s="18"/>
    </row>
    <row r="53" spans="1:13">
      <c r="B53" s="5" t="s">
        <v>39</v>
      </c>
    </row>
    <row r="54" spans="1:13" ht="16">
      <c r="A54" s="56" t="s">
        <v>149</v>
      </c>
      <c r="B54" s="56"/>
      <c r="C54" s="56"/>
      <c r="D54" s="56"/>
      <c r="E54" s="56"/>
      <c r="F54" s="56"/>
      <c r="G54" s="56"/>
      <c r="H54" s="56"/>
      <c r="I54" s="56"/>
      <c r="J54" s="56"/>
    </row>
    <row r="55" spans="1:13">
      <c r="A55" s="8" t="s">
        <v>38</v>
      </c>
      <c r="B55" s="7" t="s">
        <v>358</v>
      </c>
      <c r="C55" s="7" t="s">
        <v>543</v>
      </c>
      <c r="D55" s="7" t="s">
        <v>359</v>
      </c>
      <c r="E55" s="7" t="s">
        <v>581</v>
      </c>
      <c r="F55" s="7" t="s">
        <v>28</v>
      </c>
      <c r="G55" s="15" t="s">
        <v>86</v>
      </c>
      <c r="H55" s="15" t="s">
        <v>86</v>
      </c>
      <c r="I55" s="14" t="s">
        <v>86</v>
      </c>
      <c r="J55" s="8"/>
      <c r="K55" s="8" t="str">
        <f>"155,0"</f>
        <v>155,0</v>
      </c>
      <c r="L55" s="8" t="str">
        <f>"87,6525"</f>
        <v>87,6525</v>
      </c>
      <c r="M55" s="7"/>
    </row>
    <row r="56" spans="1:13">
      <c r="B56" s="5" t="s">
        <v>39</v>
      </c>
    </row>
    <row r="57" spans="1:13">
      <c r="B57" s="5" t="s">
        <v>39</v>
      </c>
    </row>
    <row r="59" spans="1:13" ht="18">
      <c r="B59" s="9" t="s">
        <v>32</v>
      </c>
      <c r="C59" s="9"/>
    </row>
    <row r="60" spans="1:13" ht="16">
      <c r="B60" s="10" t="s">
        <v>158</v>
      </c>
      <c r="C60" s="10"/>
    </row>
    <row r="61" spans="1:13" ht="14">
      <c r="B61" s="11"/>
      <c r="C61" s="12" t="s">
        <v>33</v>
      </c>
    </row>
    <row r="62" spans="1:13" ht="14">
      <c r="B62" s="13" t="s">
        <v>34</v>
      </c>
      <c r="C62" s="13" t="s">
        <v>35</v>
      </c>
      <c r="D62" s="13" t="s">
        <v>570</v>
      </c>
      <c r="E62" s="13" t="s">
        <v>265</v>
      </c>
      <c r="F62" s="13" t="s">
        <v>37</v>
      </c>
    </row>
    <row r="63" spans="1:13">
      <c r="B63" s="5" t="s">
        <v>288</v>
      </c>
      <c r="C63" s="5" t="s">
        <v>33</v>
      </c>
      <c r="D63" s="6" t="s">
        <v>157</v>
      </c>
      <c r="E63" s="6" t="s">
        <v>30</v>
      </c>
      <c r="F63" s="6" t="s">
        <v>360</v>
      </c>
    </row>
    <row r="64" spans="1:13">
      <c r="B64" s="5" t="s">
        <v>324</v>
      </c>
      <c r="C64" s="5" t="s">
        <v>33</v>
      </c>
      <c r="D64" s="6" t="s">
        <v>361</v>
      </c>
      <c r="E64" s="6" t="s">
        <v>29</v>
      </c>
      <c r="F64" s="6" t="s">
        <v>362</v>
      </c>
    </row>
    <row r="65" spans="2:6">
      <c r="B65" s="5" t="s">
        <v>344</v>
      </c>
      <c r="C65" s="5" t="s">
        <v>33</v>
      </c>
      <c r="D65" s="6" t="s">
        <v>159</v>
      </c>
      <c r="E65" s="6" t="s">
        <v>123</v>
      </c>
      <c r="F65" s="6" t="s">
        <v>363</v>
      </c>
    </row>
  </sheetData>
  <mergeCells count="22">
    <mergeCell ref="A30:J30"/>
    <mergeCell ref="A38:J38"/>
    <mergeCell ref="A45:J45"/>
    <mergeCell ref="A54:J54"/>
    <mergeCell ref="B3:B4"/>
    <mergeCell ref="A8:J8"/>
    <mergeCell ref="A11:J11"/>
    <mergeCell ref="A14:J14"/>
    <mergeCell ref="A17:J17"/>
    <mergeCell ref="A20:J20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39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7.33203125" style="5" bestFit="1" customWidth="1"/>
    <col min="7" max="9" width="5.5" style="6" customWidth="1"/>
    <col min="10" max="10" width="4.83203125" style="6" customWidth="1"/>
    <col min="11" max="11" width="10.5" style="34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45" t="s">
        <v>560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s="2" customFormat="1" ht="62" customHeight="1" thickBot="1">
      <c r="A2" s="49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1" customFormat="1" ht="12.75" customHeight="1">
      <c r="A3" s="53" t="s">
        <v>574</v>
      </c>
      <c r="B3" s="57" t="s">
        <v>0</v>
      </c>
      <c r="C3" s="55" t="s">
        <v>575</v>
      </c>
      <c r="D3" s="55" t="s">
        <v>6</v>
      </c>
      <c r="E3" s="39" t="s">
        <v>576</v>
      </c>
      <c r="F3" s="39" t="s">
        <v>5</v>
      </c>
      <c r="G3" s="39" t="s">
        <v>8</v>
      </c>
      <c r="H3" s="39"/>
      <c r="I3" s="39"/>
      <c r="J3" s="39"/>
      <c r="K3" s="37" t="s">
        <v>269</v>
      </c>
      <c r="L3" s="39" t="s">
        <v>3</v>
      </c>
      <c r="M3" s="41" t="s">
        <v>2</v>
      </c>
    </row>
    <row r="4" spans="1:13" s="1" customFormat="1" ht="21" customHeight="1" thickBot="1">
      <c r="A4" s="54"/>
      <c r="B4" s="58"/>
      <c r="C4" s="40"/>
      <c r="D4" s="40"/>
      <c r="E4" s="40"/>
      <c r="F4" s="40"/>
      <c r="G4" s="4">
        <v>1</v>
      </c>
      <c r="H4" s="4">
        <v>2</v>
      </c>
      <c r="I4" s="4">
        <v>3</v>
      </c>
      <c r="J4" s="4" t="s">
        <v>4</v>
      </c>
      <c r="K4" s="38"/>
      <c r="L4" s="40"/>
      <c r="M4" s="42"/>
    </row>
    <row r="5" spans="1:13" ht="16">
      <c r="A5" s="43" t="s">
        <v>10</v>
      </c>
      <c r="B5" s="43"/>
      <c r="C5" s="44"/>
      <c r="D5" s="44"/>
      <c r="E5" s="44"/>
      <c r="F5" s="44"/>
      <c r="G5" s="44"/>
      <c r="H5" s="44"/>
      <c r="I5" s="44"/>
      <c r="J5" s="44"/>
    </row>
    <row r="6" spans="1:13">
      <c r="A6" s="8" t="s">
        <v>38</v>
      </c>
      <c r="B6" s="7" t="s">
        <v>11</v>
      </c>
      <c r="C6" s="7" t="s">
        <v>12</v>
      </c>
      <c r="D6" s="7" t="s">
        <v>13</v>
      </c>
      <c r="E6" s="7" t="s">
        <v>579</v>
      </c>
      <c r="F6" s="7" t="s">
        <v>14</v>
      </c>
      <c r="G6" s="14" t="s">
        <v>18</v>
      </c>
      <c r="H6" s="14" t="s">
        <v>19</v>
      </c>
      <c r="I6" s="14" t="s">
        <v>20</v>
      </c>
      <c r="J6" s="8"/>
      <c r="K6" s="35" t="str">
        <f>"82,5"</f>
        <v>82,5</v>
      </c>
      <c r="L6" s="8" t="str">
        <f>"81,6997"</f>
        <v>81,6997</v>
      </c>
      <c r="M6" s="7" t="s">
        <v>23</v>
      </c>
    </row>
    <row r="7" spans="1:13">
      <c r="B7" s="5" t="s">
        <v>39</v>
      </c>
    </row>
    <row r="8" spans="1:13" ht="16">
      <c r="A8" s="56" t="s">
        <v>82</v>
      </c>
      <c r="B8" s="56"/>
      <c r="C8" s="56"/>
      <c r="D8" s="56"/>
      <c r="E8" s="56"/>
      <c r="F8" s="56"/>
      <c r="G8" s="56"/>
      <c r="H8" s="56"/>
      <c r="I8" s="56"/>
      <c r="J8" s="56"/>
    </row>
    <row r="9" spans="1:13">
      <c r="A9" s="17" t="s">
        <v>38</v>
      </c>
      <c r="B9" s="16" t="s">
        <v>222</v>
      </c>
      <c r="C9" s="16" t="s">
        <v>223</v>
      </c>
      <c r="D9" s="16" t="s">
        <v>224</v>
      </c>
      <c r="E9" s="16" t="s">
        <v>579</v>
      </c>
      <c r="F9" s="16" t="s">
        <v>225</v>
      </c>
      <c r="G9" s="22" t="s">
        <v>85</v>
      </c>
      <c r="H9" s="22" t="s">
        <v>216</v>
      </c>
      <c r="I9" s="22" t="s">
        <v>86</v>
      </c>
      <c r="J9" s="17"/>
      <c r="K9" s="32" t="str">
        <f>"155,0"</f>
        <v>155,0</v>
      </c>
      <c r="L9" s="17" t="str">
        <f>"102,3077"</f>
        <v>102,3077</v>
      </c>
      <c r="M9" s="31" t="s">
        <v>510</v>
      </c>
    </row>
    <row r="10" spans="1:13">
      <c r="A10" s="21" t="s">
        <v>166</v>
      </c>
      <c r="B10" s="20" t="s">
        <v>226</v>
      </c>
      <c r="C10" s="20" t="s">
        <v>227</v>
      </c>
      <c r="D10" s="20" t="s">
        <v>228</v>
      </c>
      <c r="E10" s="20" t="s">
        <v>579</v>
      </c>
      <c r="F10" s="20" t="s">
        <v>14</v>
      </c>
      <c r="G10" s="25" t="s">
        <v>85</v>
      </c>
      <c r="H10" s="25" t="s">
        <v>216</v>
      </c>
      <c r="I10" s="26" t="s">
        <v>86</v>
      </c>
      <c r="J10" s="21"/>
      <c r="K10" s="36" t="str">
        <f>"152,5"</f>
        <v>152,5</v>
      </c>
      <c r="L10" s="21" t="str">
        <f>"99,0869"</f>
        <v>99,0869</v>
      </c>
      <c r="M10" s="20"/>
    </row>
    <row r="11" spans="1:13">
      <c r="A11" s="21" t="s">
        <v>167</v>
      </c>
      <c r="B11" s="20" t="s">
        <v>229</v>
      </c>
      <c r="C11" s="20" t="s">
        <v>230</v>
      </c>
      <c r="D11" s="20" t="s">
        <v>177</v>
      </c>
      <c r="E11" s="20" t="s">
        <v>579</v>
      </c>
      <c r="F11" s="20" t="s">
        <v>28</v>
      </c>
      <c r="G11" s="25" t="s">
        <v>85</v>
      </c>
      <c r="H11" s="26" t="s">
        <v>86</v>
      </c>
      <c r="I11" s="26" t="s">
        <v>86</v>
      </c>
      <c r="J11" s="21"/>
      <c r="K11" s="36" t="str">
        <f>"145,0"</f>
        <v>145,0</v>
      </c>
      <c r="L11" s="21" t="str">
        <f>"94,6705"</f>
        <v>94,6705</v>
      </c>
      <c r="M11" s="29" t="s">
        <v>494</v>
      </c>
    </row>
    <row r="12" spans="1:13">
      <c r="A12" s="19" t="s">
        <v>38</v>
      </c>
      <c r="B12" s="18" t="s">
        <v>231</v>
      </c>
      <c r="C12" s="18" t="s">
        <v>232</v>
      </c>
      <c r="D12" s="18" t="s">
        <v>84</v>
      </c>
      <c r="E12" s="18" t="s">
        <v>582</v>
      </c>
      <c r="F12" s="18" t="s">
        <v>233</v>
      </c>
      <c r="G12" s="27" t="s">
        <v>69</v>
      </c>
      <c r="H12" s="23" t="s">
        <v>69</v>
      </c>
      <c r="I12" s="23" t="s">
        <v>70</v>
      </c>
      <c r="J12" s="19"/>
      <c r="K12" s="33" t="str">
        <f>"140,0"</f>
        <v>140,0</v>
      </c>
      <c r="L12" s="19" t="str">
        <f>"109,3449"</f>
        <v>109,3449</v>
      </c>
      <c r="M12" s="18" t="s">
        <v>234</v>
      </c>
    </row>
    <row r="13" spans="1:13">
      <c r="B13" s="5" t="s">
        <v>39</v>
      </c>
    </row>
    <row r="14" spans="1:13" ht="16">
      <c r="A14" s="56" t="s">
        <v>24</v>
      </c>
      <c r="B14" s="56"/>
      <c r="C14" s="56"/>
      <c r="D14" s="56"/>
      <c r="E14" s="56"/>
      <c r="F14" s="56"/>
      <c r="G14" s="56"/>
      <c r="H14" s="56"/>
      <c r="I14" s="56"/>
      <c r="J14" s="56"/>
    </row>
    <row r="15" spans="1:13">
      <c r="A15" s="17" t="s">
        <v>38</v>
      </c>
      <c r="B15" s="16" t="s">
        <v>25</v>
      </c>
      <c r="C15" s="16" t="s">
        <v>26</v>
      </c>
      <c r="D15" s="16" t="s">
        <v>27</v>
      </c>
      <c r="E15" s="16" t="s">
        <v>579</v>
      </c>
      <c r="F15" s="16" t="s">
        <v>28</v>
      </c>
      <c r="G15" s="22" t="s">
        <v>30</v>
      </c>
      <c r="H15" s="22" t="s">
        <v>94</v>
      </c>
      <c r="I15" s="22" t="s">
        <v>103</v>
      </c>
      <c r="J15" s="17"/>
      <c r="K15" s="32" t="str">
        <f>"170,0"</f>
        <v>170,0</v>
      </c>
      <c r="L15" s="17" t="str">
        <f>"106,9300"</f>
        <v>106,9300</v>
      </c>
      <c r="M15" s="16" t="s">
        <v>506</v>
      </c>
    </row>
    <row r="16" spans="1:13">
      <c r="A16" s="19" t="s">
        <v>166</v>
      </c>
      <c r="B16" s="18" t="s">
        <v>235</v>
      </c>
      <c r="C16" s="18" t="s">
        <v>236</v>
      </c>
      <c r="D16" s="18" t="s">
        <v>237</v>
      </c>
      <c r="E16" s="18" t="s">
        <v>579</v>
      </c>
      <c r="F16" s="18" t="s">
        <v>523</v>
      </c>
      <c r="G16" s="23" t="s">
        <v>216</v>
      </c>
      <c r="H16" s="23" t="s">
        <v>94</v>
      </c>
      <c r="I16" s="19"/>
      <c r="J16" s="19"/>
      <c r="K16" s="33" t="str">
        <f>"160,0"</f>
        <v>160,0</v>
      </c>
      <c r="L16" s="19" t="str">
        <f>"99,6800"</f>
        <v>99,6800</v>
      </c>
      <c r="M16" s="30" t="s">
        <v>509</v>
      </c>
    </row>
    <row r="17" spans="1:13">
      <c r="B17" s="5" t="s">
        <v>39</v>
      </c>
    </row>
    <row r="18" spans="1:13" ht="16">
      <c r="A18" s="56" t="s">
        <v>115</v>
      </c>
      <c r="B18" s="56"/>
      <c r="C18" s="56"/>
      <c r="D18" s="56"/>
      <c r="E18" s="56"/>
      <c r="F18" s="56"/>
      <c r="G18" s="56"/>
      <c r="H18" s="56"/>
      <c r="I18" s="56"/>
      <c r="J18" s="56"/>
    </row>
    <row r="19" spans="1:13">
      <c r="A19" s="17" t="s">
        <v>38</v>
      </c>
      <c r="B19" s="16" t="s">
        <v>238</v>
      </c>
      <c r="C19" s="16" t="s">
        <v>239</v>
      </c>
      <c r="D19" s="16" t="s">
        <v>240</v>
      </c>
      <c r="E19" s="16" t="s">
        <v>579</v>
      </c>
      <c r="F19" s="16" t="s">
        <v>74</v>
      </c>
      <c r="G19" s="22" t="s">
        <v>241</v>
      </c>
      <c r="H19" s="22" t="s">
        <v>148</v>
      </c>
      <c r="I19" s="17"/>
      <c r="J19" s="17"/>
      <c r="K19" s="32" t="str">
        <f>"215,0"</f>
        <v>215,0</v>
      </c>
      <c r="L19" s="17" t="str">
        <f>"124,9795"</f>
        <v>124,9795</v>
      </c>
      <c r="M19" s="16" t="s">
        <v>242</v>
      </c>
    </row>
    <row r="20" spans="1:13">
      <c r="A20" s="21" t="s">
        <v>166</v>
      </c>
      <c r="B20" s="20" t="s">
        <v>235</v>
      </c>
      <c r="C20" s="20" t="s">
        <v>243</v>
      </c>
      <c r="D20" s="20" t="s">
        <v>63</v>
      </c>
      <c r="E20" s="20" t="s">
        <v>579</v>
      </c>
      <c r="F20" s="20" t="s">
        <v>523</v>
      </c>
      <c r="G20" s="25" t="s">
        <v>123</v>
      </c>
      <c r="H20" s="25" t="s">
        <v>244</v>
      </c>
      <c r="I20" s="25" t="s">
        <v>208</v>
      </c>
      <c r="J20" s="21"/>
      <c r="K20" s="36" t="str">
        <f>"195,0"</f>
        <v>195,0</v>
      </c>
      <c r="L20" s="21" t="str">
        <f>"114,4553"</f>
        <v>114,4553</v>
      </c>
      <c r="M20" s="29" t="s">
        <v>509</v>
      </c>
    </row>
    <row r="21" spans="1:13">
      <c r="A21" s="21" t="s">
        <v>167</v>
      </c>
      <c r="B21" s="20" t="s">
        <v>245</v>
      </c>
      <c r="C21" s="20" t="s">
        <v>246</v>
      </c>
      <c r="D21" s="20" t="s">
        <v>247</v>
      </c>
      <c r="E21" s="20" t="s">
        <v>579</v>
      </c>
      <c r="F21" s="20" t="s">
        <v>142</v>
      </c>
      <c r="G21" s="25" t="s">
        <v>70</v>
      </c>
      <c r="H21" s="25" t="s">
        <v>30</v>
      </c>
      <c r="I21" s="26" t="s">
        <v>94</v>
      </c>
      <c r="J21" s="21"/>
      <c r="K21" s="36" t="str">
        <f>"150,0"</f>
        <v>150,0</v>
      </c>
      <c r="L21" s="21" t="str">
        <f>"88,3650"</f>
        <v>88,3650</v>
      </c>
      <c r="M21" s="20"/>
    </row>
    <row r="22" spans="1:13">
      <c r="A22" s="19" t="s">
        <v>40</v>
      </c>
      <c r="B22" s="18" t="s">
        <v>248</v>
      </c>
      <c r="C22" s="18" t="s">
        <v>249</v>
      </c>
      <c r="D22" s="18" t="s">
        <v>250</v>
      </c>
      <c r="E22" s="18" t="s">
        <v>579</v>
      </c>
      <c r="F22" s="18" t="s">
        <v>102</v>
      </c>
      <c r="G22" s="27" t="s">
        <v>31</v>
      </c>
      <c r="H22" s="27" t="s">
        <v>31</v>
      </c>
      <c r="I22" s="19"/>
      <c r="J22" s="19"/>
      <c r="K22" s="33">
        <v>0</v>
      </c>
      <c r="L22" s="19" t="str">
        <f>"0,0000"</f>
        <v>0,0000</v>
      </c>
      <c r="M22" s="18" t="s">
        <v>251</v>
      </c>
    </row>
    <row r="23" spans="1:13">
      <c r="B23" s="5" t="s">
        <v>39</v>
      </c>
    </row>
    <row r="24" spans="1:13" ht="16">
      <c r="A24" s="56" t="s">
        <v>149</v>
      </c>
      <c r="B24" s="56"/>
      <c r="C24" s="56"/>
      <c r="D24" s="56"/>
      <c r="E24" s="56"/>
      <c r="F24" s="56"/>
      <c r="G24" s="56"/>
      <c r="H24" s="56"/>
      <c r="I24" s="56"/>
      <c r="J24" s="56"/>
    </row>
    <row r="25" spans="1:13">
      <c r="A25" s="17" t="s">
        <v>38</v>
      </c>
      <c r="B25" s="16" t="s">
        <v>252</v>
      </c>
      <c r="C25" s="16" t="s">
        <v>253</v>
      </c>
      <c r="D25" s="16" t="s">
        <v>254</v>
      </c>
      <c r="E25" s="16" t="s">
        <v>579</v>
      </c>
      <c r="F25" s="16" t="s">
        <v>74</v>
      </c>
      <c r="G25" s="22" t="s">
        <v>148</v>
      </c>
      <c r="H25" s="22" t="s">
        <v>209</v>
      </c>
      <c r="I25" s="24" t="s">
        <v>97</v>
      </c>
      <c r="J25" s="17"/>
      <c r="K25" s="32" t="str">
        <f>"222,5"</f>
        <v>222,5</v>
      </c>
      <c r="L25" s="17" t="str">
        <f>"126,0017"</f>
        <v>126,0017</v>
      </c>
      <c r="M25" s="16" t="s">
        <v>255</v>
      </c>
    </row>
    <row r="26" spans="1:13">
      <c r="A26" s="19" t="s">
        <v>40</v>
      </c>
      <c r="B26" s="18" t="s">
        <v>256</v>
      </c>
      <c r="C26" s="18" t="s">
        <v>257</v>
      </c>
      <c r="D26" s="18" t="s">
        <v>258</v>
      </c>
      <c r="E26" s="18" t="s">
        <v>579</v>
      </c>
      <c r="F26" s="18" t="s">
        <v>102</v>
      </c>
      <c r="G26" s="27" t="s">
        <v>259</v>
      </c>
      <c r="H26" s="27" t="s">
        <v>259</v>
      </c>
      <c r="I26" s="19"/>
      <c r="J26" s="19"/>
      <c r="K26" s="33">
        <v>0</v>
      </c>
      <c r="L26" s="19" t="str">
        <f>"0,0000"</f>
        <v>0,0000</v>
      </c>
      <c r="M26" s="18"/>
    </row>
    <row r="27" spans="1:13">
      <c r="B27" s="5" t="s">
        <v>39</v>
      </c>
    </row>
    <row r="28" spans="1:13" ht="16">
      <c r="A28" s="56" t="s">
        <v>153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3">
      <c r="A29" s="8" t="s">
        <v>38</v>
      </c>
      <c r="B29" s="7" t="s">
        <v>260</v>
      </c>
      <c r="C29" s="7" t="s">
        <v>261</v>
      </c>
      <c r="D29" s="7" t="s">
        <v>262</v>
      </c>
      <c r="E29" s="7" t="s">
        <v>579</v>
      </c>
      <c r="F29" s="7" t="s">
        <v>263</v>
      </c>
      <c r="G29" s="14" t="s">
        <v>90</v>
      </c>
      <c r="H29" s="14" t="s">
        <v>110</v>
      </c>
      <c r="I29" s="15" t="s">
        <v>136</v>
      </c>
      <c r="J29" s="8"/>
      <c r="K29" s="35" t="str">
        <f>"230,0"</f>
        <v>230,0</v>
      </c>
      <c r="L29" s="8" t="str">
        <f>"125,6605"</f>
        <v>125,6605</v>
      </c>
      <c r="M29" s="7" t="s">
        <v>264</v>
      </c>
    </row>
    <row r="30" spans="1:13">
      <c r="B30" s="5" t="s">
        <v>39</v>
      </c>
    </row>
    <row r="32" spans="1:13">
      <c r="B32" s="5" t="s">
        <v>39</v>
      </c>
    </row>
    <row r="33" spans="2:6" ht="18">
      <c r="B33" s="9" t="s">
        <v>32</v>
      </c>
      <c r="C33" s="9"/>
    </row>
    <row r="34" spans="2:6" ht="16">
      <c r="B34" s="10" t="s">
        <v>158</v>
      </c>
      <c r="C34" s="10"/>
    </row>
    <row r="35" spans="2:6" ht="14">
      <c r="B35" s="11"/>
      <c r="C35" s="12" t="s">
        <v>33</v>
      </c>
    </row>
    <row r="36" spans="2:6" ht="14">
      <c r="B36" s="13" t="s">
        <v>34</v>
      </c>
      <c r="C36" s="13" t="s">
        <v>35</v>
      </c>
      <c r="D36" s="13" t="s">
        <v>570</v>
      </c>
      <c r="E36" s="13" t="s">
        <v>265</v>
      </c>
      <c r="F36" s="13" t="s">
        <v>37</v>
      </c>
    </row>
    <row r="37" spans="2:6">
      <c r="B37" s="5" t="s">
        <v>252</v>
      </c>
      <c r="C37" s="5" t="s">
        <v>33</v>
      </c>
      <c r="D37" s="6" t="s">
        <v>221</v>
      </c>
      <c r="E37" s="6" t="s">
        <v>209</v>
      </c>
      <c r="F37" s="6" t="s">
        <v>266</v>
      </c>
    </row>
    <row r="38" spans="2:6">
      <c r="B38" s="5" t="s">
        <v>260</v>
      </c>
      <c r="C38" s="5" t="s">
        <v>33</v>
      </c>
      <c r="D38" s="6" t="s">
        <v>189</v>
      </c>
      <c r="E38" s="6" t="s">
        <v>110</v>
      </c>
      <c r="F38" s="6" t="s">
        <v>267</v>
      </c>
    </row>
    <row r="39" spans="2:6">
      <c r="B39" s="5" t="s">
        <v>238</v>
      </c>
      <c r="C39" s="5" t="s">
        <v>33</v>
      </c>
      <c r="D39" s="6" t="s">
        <v>159</v>
      </c>
      <c r="E39" s="6" t="s">
        <v>148</v>
      </c>
      <c r="F39" s="6" t="s">
        <v>268</v>
      </c>
    </row>
  </sheetData>
  <mergeCells count="17">
    <mergeCell ref="A28:J28"/>
    <mergeCell ref="A5:J5"/>
    <mergeCell ref="A8:J8"/>
    <mergeCell ref="A14:J14"/>
    <mergeCell ref="A18:J18"/>
    <mergeCell ref="A24:J24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GPA ПЛ без экипировки ДК</vt:lpstr>
      <vt:lpstr>GPA ПЛ без экипировки</vt:lpstr>
      <vt:lpstr>GPA ПЛ в бинтах ДК</vt:lpstr>
      <vt:lpstr>GPA ПЛ в бинтах</vt:lpstr>
      <vt:lpstr>GPA Двоеборье без экип ДК</vt:lpstr>
      <vt:lpstr>GPA Двоеборье без экип</vt:lpstr>
      <vt:lpstr>GPA Присед без экипировки ДК</vt:lpstr>
      <vt:lpstr>GPA Жим без экипировки ДК</vt:lpstr>
      <vt:lpstr>GPA Жим без экипировки</vt:lpstr>
      <vt:lpstr>IPO Жим однослой ДК</vt:lpstr>
      <vt:lpstr>IPO Жим однослой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СПР Жим СФО</vt:lpstr>
      <vt:lpstr>GPA Тяга без экипировки ДК</vt:lpstr>
      <vt:lpstr>GPA Тяга без экипировки</vt:lpstr>
      <vt:lpstr>IPO Тяга в экипировке</vt:lpstr>
      <vt:lpstr>СПР Пауэрспорт ДК</vt:lpstr>
      <vt:lpstr>СПР Жим стоя ДК</vt:lpstr>
      <vt:lpstr>СПР Жим стоя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2020-12-29T19:55:05Z</dcterms:modified>
</cp:coreProperties>
</file>