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FFDD9FDD-F00F-D94F-8D0C-8473166C69CB}" xr6:coauthVersionLast="45" xr6:coauthVersionMax="45" xr10:uidLastSave="{00000000-0000-0000-0000-000000000000}"/>
  <bookViews>
    <workbookView xWindow="480" yWindow="460" windowWidth="28280" windowHeight="16100" firstSheet="19" activeTab="24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RPF ПЛ в бинтах" sheetId="5" r:id="rId4"/>
    <sheet name="WEPF ПЛ однослой" sheetId="7" r:id="rId5"/>
    <sheet name="WEPF ПЛ многослой ДК" sheetId="12" r:id="rId6"/>
    <sheet name="WEPF ПЛ многослой" sheetId="11" r:id="rId7"/>
    <sheet name="WRPF Двоеборье без экип ДК" sheetId="28" r:id="rId8"/>
    <sheet name="WRPF Двоеборье без экип" sheetId="27" r:id="rId9"/>
    <sheet name="WRPF Жим лежа без экип ДК" sheetId="15" r:id="rId10"/>
    <sheet name="WRPF Жим лежа без экип" sheetId="14" r:id="rId11"/>
    <sheet name="WEPF Жим однослой ДК" sheetId="18" r:id="rId12"/>
    <sheet name="WEPF Жим однослой" sheetId="17" r:id="rId13"/>
    <sheet name="WEPF Жим многослой ДК" sheetId="22" r:id="rId14"/>
    <sheet name="WEPF Жим многослой" sheetId="21" r:id="rId15"/>
    <sheet name="WEPF Жим софт однопетельная ДК" sheetId="16" r:id="rId16"/>
    <sheet name="WEPF Жим софт однопетельная" sheetId="13" r:id="rId17"/>
    <sheet name="WEPF Жим софт многопетельнаяДК" sheetId="20" r:id="rId18"/>
    <sheet name="WEPF Жим софт многопетельная" sheetId="19" r:id="rId19"/>
    <sheet name="WRPF Жим СФО" sheetId="35" r:id="rId20"/>
    <sheet name="WRPF Тяга без экипировки ДК" sheetId="24" r:id="rId21"/>
    <sheet name="WRPF Тяга без экипировки" sheetId="23" r:id="rId22"/>
    <sheet name="WEPF Тяга экип ДК" sheetId="26" r:id="rId23"/>
    <sheet name="WEPF Тяга экип" sheetId="25" r:id="rId24"/>
    <sheet name="WRPF Подъем на бицепс" sheetId="30" r:id="rId25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58" i="9" l="1"/>
  <c r="L22" i="35" l="1"/>
  <c r="K22" i="35"/>
  <c r="L19" i="35"/>
  <c r="K19" i="35"/>
  <c r="L18" i="35"/>
  <c r="K18" i="35"/>
  <c r="L17" i="35"/>
  <c r="K17" i="35"/>
  <c r="L16" i="35"/>
  <c r="K16" i="35"/>
  <c r="L13" i="35"/>
  <c r="K13" i="35"/>
  <c r="L12" i="35"/>
  <c r="K12" i="35"/>
  <c r="L9" i="35"/>
  <c r="K9" i="35"/>
  <c r="L6" i="35"/>
  <c r="K6" i="35"/>
  <c r="L76" i="30"/>
  <c r="K76" i="30"/>
  <c r="L75" i="30"/>
  <c r="K75" i="30"/>
  <c r="L72" i="30"/>
  <c r="K72" i="30"/>
  <c r="L71" i="30"/>
  <c r="K71" i="30"/>
  <c r="L68" i="30"/>
  <c r="K68" i="30"/>
  <c r="L67" i="30"/>
  <c r="K67" i="30"/>
  <c r="L66" i="30"/>
  <c r="K66" i="30"/>
  <c r="L65" i="30"/>
  <c r="K65" i="30"/>
  <c r="L62" i="30"/>
  <c r="K62" i="30"/>
  <c r="L61" i="30"/>
  <c r="K61" i="30"/>
  <c r="L60" i="30"/>
  <c r="K60" i="30"/>
  <c r="L59" i="30"/>
  <c r="K59" i="30"/>
  <c r="L56" i="30"/>
  <c r="K56" i="30"/>
  <c r="L55" i="30"/>
  <c r="K55" i="30"/>
  <c r="L54" i="30"/>
  <c r="K54" i="30"/>
  <c r="K53" i="30"/>
  <c r="L52" i="30"/>
  <c r="K52" i="30"/>
  <c r="L51" i="30"/>
  <c r="K51" i="30"/>
  <c r="L50" i="30"/>
  <c r="K50" i="30"/>
  <c r="L49" i="30"/>
  <c r="K49" i="30"/>
  <c r="L48" i="30"/>
  <c r="K48" i="30"/>
  <c r="L45" i="30"/>
  <c r="K45" i="30"/>
  <c r="L44" i="30"/>
  <c r="K44" i="30"/>
  <c r="L43" i="30"/>
  <c r="K43" i="30"/>
  <c r="L42" i="30"/>
  <c r="K42" i="30"/>
  <c r="L41" i="30"/>
  <c r="K41" i="30"/>
  <c r="L40" i="30"/>
  <c r="K40" i="30"/>
  <c r="L39" i="30"/>
  <c r="K39" i="30"/>
  <c r="L38" i="30"/>
  <c r="K38" i="30"/>
  <c r="L37" i="30"/>
  <c r="K37" i="30"/>
  <c r="L36" i="30"/>
  <c r="K36" i="30"/>
  <c r="L35" i="30"/>
  <c r="K35" i="30"/>
  <c r="L34" i="30"/>
  <c r="K34" i="30"/>
  <c r="L31" i="30"/>
  <c r="K31" i="30"/>
  <c r="L30" i="30"/>
  <c r="K30" i="30"/>
  <c r="L29" i="30"/>
  <c r="K29" i="30"/>
  <c r="L28" i="30"/>
  <c r="K28" i="30"/>
  <c r="L27" i="30"/>
  <c r="K27" i="30"/>
  <c r="L26" i="30"/>
  <c r="K26" i="30"/>
  <c r="L25" i="30"/>
  <c r="K25" i="30"/>
  <c r="L24" i="30"/>
  <c r="K24" i="30"/>
  <c r="L23" i="30"/>
  <c r="K23" i="30"/>
  <c r="L20" i="30"/>
  <c r="K20" i="30"/>
  <c r="L19" i="30"/>
  <c r="K19" i="30"/>
  <c r="L18" i="30"/>
  <c r="K18" i="30"/>
  <c r="L17" i="30"/>
  <c r="K17" i="30"/>
  <c r="L16" i="30"/>
  <c r="K16" i="30"/>
  <c r="L15" i="30"/>
  <c r="K15" i="30"/>
  <c r="L12" i="30"/>
  <c r="K12" i="30"/>
  <c r="L9" i="30"/>
  <c r="K9" i="30"/>
  <c r="L6" i="30"/>
  <c r="K6" i="30"/>
  <c r="P57" i="28"/>
  <c r="O57" i="28"/>
  <c r="P54" i="28"/>
  <c r="O54" i="28"/>
  <c r="P51" i="28"/>
  <c r="O51" i="28"/>
  <c r="P50" i="28"/>
  <c r="O50" i="28"/>
  <c r="P49" i="28"/>
  <c r="O49" i="28"/>
  <c r="P48" i="28"/>
  <c r="O48" i="28"/>
  <c r="P47" i="28"/>
  <c r="O47" i="28"/>
  <c r="P46" i="28"/>
  <c r="O46" i="28"/>
  <c r="P45" i="28"/>
  <c r="O45" i="28"/>
  <c r="P42" i="28"/>
  <c r="O42" i="28"/>
  <c r="P41" i="28"/>
  <c r="O41" i="28"/>
  <c r="P40" i="28"/>
  <c r="O40" i="28"/>
  <c r="P39" i="28"/>
  <c r="O39" i="28"/>
  <c r="P36" i="28"/>
  <c r="O36" i="28"/>
  <c r="P35" i="28"/>
  <c r="O35" i="28"/>
  <c r="P34" i="28"/>
  <c r="O34" i="28"/>
  <c r="P31" i="28"/>
  <c r="O31" i="28"/>
  <c r="P30" i="28"/>
  <c r="P29" i="28"/>
  <c r="O29" i="28"/>
  <c r="P28" i="28"/>
  <c r="O28" i="28"/>
  <c r="P25" i="28"/>
  <c r="O25" i="28"/>
  <c r="P22" i="28"/>
  <c r="O22" i="28"/>
  <c r="P19" i="28"/>
  <c r="O19" i="28"/>
  <c r="P18" i="28"/>
  <c r="O18" i="28"/>
  <c r="P15" i="28"/>
  <c r="O15" i="28"/>
  <c r="P12" i="28"/>
  <c r="O12" i="28"/>
  <c r="P9" i="28"/>
  <c r="O9" i="28"/>
  <c r="P6" i="28"/>
  <c r="O6" i="28"/>
  <c r="P48" i="27"/>
  <c r="O48" i="27"/>
  <c r="P47" i="27"/>
  <c r="O47" i="27"/>
  <c r="P46" i="27"/>
  <c r="O46" i="27"/>
  <c r="P43" i="27"/>
  <c r="P42" i="27"/>
  <c r="O42" i="27"/>
  <c r="P39" i="27"/>
  <c r="O39" i="27"/>
  <c r="P38" i="27"/>
  <c r="O38" i="27"/>
  <c r="P37" i="27"/>
  <c r="O37" i="27"/>
  <c r="P36" i="27"/>
  <c r="O36" i="27"/>
  <c r="P35" i="27"/>
  <c r="O35" i="27"/>
  <c r="P34" i="27"/>
  <c r="O34" i="27"/>
  <c r="P33" i="27"/>
  <c r="O33" i="27"/>
  <c r="P30" i="27"/>
  <c r="O30" i="27"/>
  <c r="P29" i="27"/>
  <c r="O29" i="27"/>
  <c r="P28" i="27"/>
  <c r="O28" i="27"/>
  <c r="P27" i="27"/>
  <c r="O27" i="27"/>
  <c r="P26" i="27"/>
  <c r="O26" i="27"/>
  <c r="P25" i="27"/>
  <c r="O25" i="27"/>
  <c r="P22" i="27"/>
  <c r="O22" i="27"/>
  <c r="P21" i="27"/>
  <c r="O21" i="27"/>
  <c r="P20" i="27"/>
  <c r="O20" i="27"/>
  <c r="P19" i="27"/>
  <c r="O19" i="27"/>
  <c r="P16" i="27"/>
  <c r="O16" i="27"/>
  <c r="P13" i="27"/>
  <c r="O13" i="27"/>
  <c r="P10" i="27"/>
  <c r="O10" i="27"/>
  <c r="P7" i="27"/>
  <c r="O7" i="27"/>
  <c r="P6" i="27"/>
  <c r="O6" i="27"/>
  <c r="L21" i="26"/>
  <c r="K21" i="26"/>
  <c r="L20" i="26"/>
  <c r="K20" i="26"/>
  <c r="L17" i="26"/>
  <c r="K17" i="26"/>
  <c r="L16" i="26"/>
  <c r="K16" i="26"/>
  <c r="L15" i="26"/>
  <c r="K15" i="26"/>
  <c r="L12" i="26"/>
  <c r="K12" i="26"/>
  <c r="L9" i="26"/>
  <c r="K9" i="26"/>
  <c r="L6" i="26"/>
  <c r="K6" i="26"/>
  <c r="L11" i="25"/>
  <c r="K11" i="25"/>
  <c r="L10" i="25"/>
  <c r="K10" i="25"/>
  <c r="L9" i="25"/>
  <c r="K9" i="25"/>
  <c r="L6" i="25"/>
  <c r="K6" i="25"/>
  <c r="L100" i="24"/>
  <c r="K100" i="24"/>
  <c r="L97" i="24"/>
  <c r="K97" i="24"/>
  <c r="L96" i="24"/>
  <c r="K96" i="24"/>
  <c r="L95" i="24"/>
  <c r="K95" i="24"/>
  <c r="L94" i="24"/>
  <c r="K94" i="24"/>
  <c r="L91" i="24"/>
  <c r="K91" i="24"/>
  <c r="L90" i="24"/>
  <c r="K90" i="24"/>
  <c r="L89" i="24"/>
  <c r="K89" i="24"/>
  <c r="L88" i="24"/>
  <c r="K88" i="24"/>
  <c r="L87" i="24"/>
  <c r="K87" i="24"/>
  <c r="L86" i="24"/>
  <c r="K86" i="24"/>
  <c r="L85" i="24"/>
  <c r="K85" i="24"/>
  <c r="L84" i="24"/>
  <c r="K84" i="24"/>
  <c r="L83" i="24"/>
  <c r="K83" i="24"/>
  <c r="L82" i="24"/>
  <c r="K82" i="24"/>
  <c r="L81" i="24"/>
  <c r="K81" i="24"/>
  <c r="L80" i="24"/>
  <c r="K80" i="24"/>
  <c r="L77" i="24"/>
  <c r="K77" i="24"/>
  <c r="L76" i="24"/>
  <c r="K76" i="24"/>
  <c r="L75" i="24"/>
  <c r="K75" i="24"/>
  <c r="L74" i="24"/>
  <c r="K74" i="24"/>
  <c r="L73" i="24"/>
  <c r="K73" i="24"/>
  <c r="L72" i="24"/>
  <c r="K72" i="24"/>
  <c r="L71" i="24"/>
  <c r="K71" i="24"/>
  <c r="L70" i="24"/>
  <c r="K70" i="24"/>
  <c r="L69" i="24"/>
  <c r="K69" i="24"/>
  <c r="L68" i="24"/>
  <c r="K68" i="24"/>
  <c r="L67" i="24"/>
  <c r="K67" i="24"/>
  <c r="L64" i="24"/>
  <c r="K64" i="24"/>
  <c r="L63" i="24"/>
  <c r="K63" i="24"/>
  <c r="L62" i="24"/>
  <c r="K62" i="24"/>
  <c r="L61" i="24"/>
  <c r="K61" i="24"/>
  <c r="L58" i="24"/>
  <c r="K58" i="24"/>
  <c r="L57" i="24"/>
  <c r="K57" i="24"/>
  <c r="L56" i="24"/>
  <c r="K56" i="24"/>
  <c r="L55" i="24"/>
  <c r="K55" i="24"/>
  <c r="L54" i="24"/>
  <c r="K54" i="24"/>
  <c r="L53" i="24"/>
  <c r="K53" i="24"/>
  <c r="L52" i="24"/>
  <c r="K52" i="24"/>
  <c r="L49" i="24"/>
  <c r="K49" i="24"/>
  <c r="L48" i="24"/>
  <c r="K48" i="24"/>
  <c r="L45" i="24"/>
  <c r="K45" i="24"/>
  <c r="L41" i="24"/>
  <c r="L42" i="24"/>
  <c r="K42" i="24"/>
  <c r="L40" i="24"/>
  <c r="K40" i="24"/>
  <c r="L39" i="24"/>
  <c r="K39" i="24"/>
  <c r="L38" i="24"/>
  <c r="K38" i="24"/>
  <c r="L37" i="24"/>
  <c r="K37" i="24"/>
  <c r="L36" i="24"/>
  <c r="K36" i="24"/>
  <c r="L33" i="24"/>
  <c r="K33" i="24"/>
  <c r="L32" i="24"/>
  <c r="K32" i="24"/>
  <c r="L31" i="24"/>
  <c r="K31" i="24"/>
  <c r="L30" i="24"/>
  <c r="K30" i="24"/>
  <c r="L27" i="24"/>
  <c r="K27" i="24"/>
  <c r="L24" i="24"/>
  <c r="L23" i="24"/>
  <c r="K23" i="24"/>
  <c r="L22" i="24"/>
  <c r="K22" i="24"/>
  <c r="L21" i="24"/>
  <c r="K21" i="24"/>
  <c r="L20" i="24"/>
  <c r="K20" i="24"/>
  <c r="L17" i="24"/>
  <c r="K17" i="24"/>
  <c r="L16" i="24"/>
  <c r="K16" i="24"/>
  <c r="L15" i="24"/>
  <c r="K15" i="24"/>
  <c r="L14" i="24"/>
  <c r="K14" i="24"/>
  <c r="L13" i="24"/>
  <c r="K13" i="24"/>
  <c r="L12" i="24"/>
  <c r="K12" i="24"/>
  <c r="L11" i="24"/>
  <c r="K11" i="24"/>
  <c r="L8" i="24"/>
  <c r="K8" i="24"/>
  <c r="L7" i="24"/>
  <c r="K7" i="24"/>
  <c r="L6" i="24"/>
  <c r="K6" i="24"/>
  <c r="L87" i="23"/>
  <c r="K87" i="23"/>
  <c r="L84" i="23"/>
  <c r="K84" i="23"/>
  <c r="L83" i="23"/>
  <c r="K83" i="23"/>
  <c r="L82" i="23"/>
  <c r="K82" i="23"/>
  <c r="L81" i="23"/>
  <c r="K81" i="23"/>
  <c r="L80" i="23"/>
  <c r="K80" i="23"/>
  <c r="L79" i="23"/>
  <c r="K79" i="23"/>
  <c r="L78" i="23"/>
  <c r="K78" i="23"/>
  <c r="L77" i="23"/>
  <c r="K77" i="23"/>
  <c r="L74" i="23"/>
  <c r="K74" i="23"/>
  <c r="L73" i="23"/>
  <c r="K73" i="23"/>
  <c r="L72" i="23"/>
  <c r="K72" i="23"/>
  <c r="L71" i="23"/>
  <c r="K71" i="23"/>
  <c r="L70" i="23"/>
  <c r="K70" i="23"/>
  <c r="L69" i="23"/>
  <c r="K69" i="23"/>
  <c r="L68" i="23"/>
  <c r="K68" i="23"/>
  <c r="L65" i="23"/>
  <c r="K65" i="23"/>
  <c r="L64" i="23"/>
  <c r="K64" i="23"/>
  <c r="L63" i="23"/>
  <c r="K63" i="23"/>
  <c r="L62" i="23"/>
  <c r="K62" i="23"/>
  <c r="L61" i="23"/>
  <c r="K61" i="23"/>
  <c r="L60" i="23"/>
  <c r="K60" i="23"/>
  <c r="L59" i="23"/>
  <c r="K59" i="23"/>
  <c r="L58" i="23"/>
  <c r="K58" i="23"/>
  <c r="L57" i="23"/>
  <c r="K57" i="23"/>
  <c r="L56" i="23"/>
  <c r="K56" i="23"/>
  <c r="L53" i="23"/>
  <c r="K53" i="23"/>
  <c r="L52" i="23"/>
  <c r="K52" i="23"/>
  <c r="L51" i="23"/>
  <c r="K51" i="23"/>
  <c r="L50" i="23"/>
  <c r="K50" i="23"/>
  <c r="L49" i="23"/>
  <c r="K49" i="23"/>
  <c r="L48" i="23"/>
  <c r="K48" i="23"/>
  <c r="L47" i="23"/>
  <c r="K47" i="23"/>
  <c r="L46" i="23"/>
  <c r="K46" i="23"/>
  <c r="L45" i="23"/>
  <c r="K45" i="23"/>
  <c r="L44" i="23"/>
  <c r="K44" i="23"/>
  <c r="L43" i="23"/>
  <c r="K43" i="23"/>
  <c r="L40" i="23"/>
  <c r="K40" i="23"/>
  <c r="L39" i="23"/>
  <c r="L38" i="23"/>
  <c r="K38" i="23"/>
  <c r="L37" i="23"/>
  <c r="K37" i="23"/>
  <c r="L36" i="23"/>
  <c r="K36" i="23"/>
  <c r="L35" i="23"/>
  <c r="K35" i="23"/>
  <c r="L34" i="23"/>
  <c r="K34" i="23"/>
  <c r="L31" i="23"/>
  <c r="K31" i="23"/>
  <c r="L30" i="23"/>
  <c r="L29" i="23"/>
  <c r="L26" i="23"/>
  <c r="K26" i="23"/>
  <c r="L23" i="23"/>
  <c r="K23" i="23"/>
  <c r="L20" i="23"/>
  <c r="K20" i="23"/>
  <c r="L19" i="23"/>
  <c r="K19" i="23"/>
  <c r="L16" i="23"/>
  <c r="K16" i="23"/>
  <c r="L13" i="23"/>
  <c r="K13" i="23"/>
  <c r="L10" i="23"/>
  <c r="K10" i="23"/>
  <c r="L7" i="23"/>
  <c r="K7" i="23"/>
  <c r="L6" i="23"/>
  <c r="K6" i="23"/>
  <c r="L13" i="22"/>
  <c r="K13" i="22"/>
  <c r="L10" i="22"/>
  <c r="K10" i="22"/>
  <c r="L9" i="22"/>
  <c r="K9" i="22"/>
  <c r="L6" i="22"/>
  <c r="K6" i="22"/>
  <c r="L7" i="21"/>
  <c r="K7" i="21"/>
  <c r="L6" i="21"/>
  <c r="K6" i="21"/>
  <c r="L23" i="20"/>
  <c r="K23" i="20"/>
  <c r="L22" i="20"/>
  <c r="K22" i="20"/>
  <c r="L19" i="20"/>
  <c r="K19" i="20"/>
  <c r="L18" i="20"/>
  <c r="K18" i="20"/>
  <c r="L17" i="20"/>
  <c r="K17" i="20"/>
  <c r="L16" i="20"/>
  <c r="K16" i="20"/>
  <c r="L15" i="20"/>
  <c r="K15" i="20"/>
  <c r="L12" i="20"/>
  <c r="K12" i="20"/>
  <c r="L9" i="20"/>
  <c r="K9" i="20"/>
  <c r="L6" i="20"/>
  <c r="K6" i="20"/>
  <c r="L35" i="19"/>
  <c r="K35" i="19"/>
  <c r="L34" i="19"/>
  <c r="K34" i="19"/>
  <c r="L33" i="19"/>
  <c r="K33" i="19"/>
  <c r="L32" i="19"/>
  <c r="K32" i="19"/>
  <c r="L31" i="19"/>
  <c r="K31" i="19"/>
  <c r="L28" i="19"/>
  <c r="K28" i="19"/>
  <c r="L27" i="19"/>
  <c r="K27" i="19"/>
  <c r="L26" i="19"/>
  <c r="L25" i="19"/>
  <c r="K25" i="19"/>
  <c r="L24" i="19"/>
  <c r="K24" i="19"/>
  <c r="L23" i="19"/>
  <c r="K23" i="19"/>
  <c r="L22" i="19"/>
  <c r="K22" i="19"/>
  <c r="L19" i="19"/>
  <c r="L18" i="19"/>
  <c r="L17" i="19"/>
  <c r="K17" i="19"/>
  <c r="L16" i="19"/>
  <c r="K16" i="19"/>
  <c r="L13" i="19"/>
  <c r="K13" i="19"/>
  <c r="L10" i="19"/>
  <c r="L9" i="19"/>
  <c r="K9" i="19"/>
  <c r="L6" i="19"/>
  <c r="K6" i="19"/>
  <c r="L12" i="18"/>
  <c r="K12" i="18"/>
  <c r="L9" i="18"/>
  <c r="L6" i="18"/>
  <c r="K6" i="18"/>
  <c r="L24" i="17"/>
  <c r="K24" i="17"/>
  <c r="L21" i="17"/>
  <c r="K21" i="17"/>
  <c r="L20" i="17"/>
  <c r="K20" i="17"/>
  <c r="L19" i="17"/>
  <c r="K19" i="17"/>
  <c r="L18" i="17"/>
  <c r="K18" i="17"/>
  <c r="L15" i="17"/>
  <c r="K15" i="17"/>
  <c r="L12" i="17"/>
  <c r="L9" i="17"/>
  <c r="K9" i="17"/>
  <c r="L6" i="17"/>
  <c r="K6" i="17"/>
  <c r="L36" i="16"/>
  <c r="K36" i="16"/>
  <c r="L35" i="16"/>
  <c r="K35" i="16"/>
  <c r="L34" i="16"/>
  <c r="K34" i="16"/>
  <c r="L31" i="16"/>
  <c r="K31" i="16"/>
  <c r="L30" i="16"/>
  <c r="K30" i="16"/>
  <c r="L27" i="16"/>
  <c r="K27" i="16"/>
  <c r="L26" i="16"/>
  <c r="K26" i="16"/>
  <c r="L25" i="16"/>
  <c r="K25" i="16"/>
  <c r="L22" i="16"/>
  <c r="K22" i="16"/>
  <c r="L21" i="16"/>
  <c r="K21" i="16"/>
  <c r="L18" i="16"/>
  <c r="K18" i="16"/>
  <c r="L15" i="16"/>
  <c r="K15" i="16"/>
  <c r="L14" i="16"/>
  <c r="K14" i="16"/>
  <c r="L13" i="16"/>
  <c r="K13" i="16"/>
  <c r="L10" i="16"/>
  <c r="K10" i="16"/>
  <c r="L9" i="16"/>
  <c r="K9" i="16"/>
  <c r="L6" i="16"/>
  <c r="K6" i="16"/>
  <c r="L203" i="15"/>
  <c r="K203" i="15"/>
  <c r="L202" i="15"/>
  <c r="K202" i="15"/>
  <c r="L199" i="15"/>
  <c r="K199" i="15"/>
  <c r="L198" i="15"/>
  <c r="K198" i="15"/>
  <c r="L195" i="15"/>
  <c r="K195" i="15"/>
  <c r="L194" i="15"/>
  <c r="K194" i="15"/>
  <c r="L193" i="15"/>
  <c r="K193" i="15"/>
  <c r="L192" i="15"/>
  <c r="L191" i="15"/>
  <c r="K191" i="15"/>
  <c r="L190" i="15"/>
  <c r="L189" i="15"/>
  <c r="K189" i="15"/>
  <c r="L188" i="15"/>
  <c r="K188" i="15"/>
  <c r="L187" i="15"/>
  <c r="K187" i="15"/>
  <c r="L186" i="15"/>
  <c r="K186" i="15"/>
  <c r="L185" i="15"/>
  <c r="K185" i="15"/>
  <c r="L182" i="15"/>
  <c r="K182" i="15"/>
  <c r="L181" i="15"/>
  <c r="K181" i="15"/>
  <c r="L180" i="15"/>
  <c r="K180" i="15"/>
  <c r="L179" i="15"/>
  <c r="K179" i="15"/>
  <c r="L178" i="15"/>
  <c r="K178" i="15"/>
  <c r="L177" i="15"/>
  <c r="K177" i="15"/>
  <c r="L176" i="15"/>
  <c r="L175" i="15"/>
  <c r="K175" i="15"/>
  <c r="L174" i="15"/>
  <c r="K174" i="15"/>
  <c r="L173" i="15"/>
  <c r="K173" i="15"/>
  <c r="L172" i="15"/>
  <c r="K172" i="15"/>
  <c r="L171" i="15"/>
  <c r="K171" i="15"/>
  <c r="L168" i="15"/>
  <c r="K168" i="15"/>
  <c r="L167" i="15"/>
  <c r="K167" i="15"/>
  <c r="L166" i="15"/>
  <c r="K166" i="15"/>
  <c r="L165" i="15"/>
  <c r="K165" i="15"/>
  <c r="L164" i="15"/>
  <c r="K164" i="15"/>
  <c r="L163" i="15"/>
  <c r="K163" i="15"/>
  <c r="L162" i="15"/>
  <c r="K162" i="15"/>
  <c r="L161" i="15"/>
  <c r="K161" i="15"/>
  <c r="L160" i="15"/>
  <c r="K160" i="15"/>
  <c r="L159" i="15"/>
  <c r="K159" i="15"/>
  <c r="L158" i="15"/>
  <c r="K158" i="15"/>
  <c r="L157" i="15"/>
  <c r="K157" i="15"/>
  <c r="L156" i="15"/>
  <c r="K156" i="15"/>
  <c r="L155" i="15"/>
  <c r="K155" i="15"/>
  <c r="L154" i="15"/>
  <c r="K154" i="15"/>
  <c r="L153" i="15"/>
  <c r="K153" i="15"/>
  <c r="L152" i="15"/>
  <c r="K152" i="15"/>
  <c r="L151" i="15"/>
  <c r="K151" i="15"/>
  <c r="L150" i="15"/>
  <c r="K150" i="15"/>
  <c r="L149" i="15"/>
  <c r="K149" i="15"/>
  <c r="L148" i="15"/>
  <c r="K148" i="15"/>
  <c r="L147" i="15"/>
  <c r="K147" i="15"/>
  <c r="L146" i="15"/>
  <c r="K146" i="15"/>
  <c r="L143" i="15"/>
  <c r="K143" i="15"/>
  <c r="L142" i="15"/>
  <c r="K142" i="15"/>
  <c r="L141" i="15"/>
  <c r="K141" i="15"/>
  <c r="L140" i="15"/>
  <c r="K140" i="15"/>
  <c r="L139" i="15"/>
  <c r="K139" i="15"/>
  <c r="L138" i="15"/>
  <c r="L137" i="15"/>
  <c r="K137" i="15"/>
  <c r="L136" i="15"/>
  <c r="K136" i="15"/>
  <c r="L135" i="15"/>
  <c r="K135" i="15"/>
  <c r="L134" i="15"/>
  <c r="K134" i="15"/>
  <c r="L133" i="15"/>
  <c r="K133" i="15"/>
  <c r="L132" i="15"/>
  <c r="K132" i="15"/>
  <c r="L131" i="15"/>
  <c r="K131" i="15"/>
  <c r="L130" i="15"/>
  <c r="K130" i="15"/>
  <c r="L129" i="15"/>
  <c r="K129" i="15"/>
  <c r="L128" i="15"/>
  <c r="K128" i="15"/>
  <c r="L127" i="15"/>
  <c r="K127" i="15"/>
  <c r="L126" i="15"/>
  <c r="K126" i="15"/>
  <c r="L125" i="15"/>
  <c r="K125" i="15"/>
  <c r="L124" i="15"/>
  <c r="L123" i="15"/>
  <c r="K123" i="15"/>
  <c r="L122" i="15"/>
  <c r="K122" i="15"/>
  <c r="L121" i="15"/>
  <c r="K121" i="15"/>
  <c r="L120" i="15"/>
  <c r="L117" i="15"/>
  <c r="K117" i="15"/>
  <c r="L116" i="15"/>
  <c r="K116" i="15"/>
  <c r="L115" i="15"/>
  <c r="K115" i="15"/>
  <c r="L114" i="15"/>
  <c r="K114" i="15"/>
  <c r="L113" i="15"/>
  <c r="K113" i="15"/>
  <c r="L112" i="15"/>
  <c r="K112" i="15"/>
  <c r="L111" i="15"/>
  <c r="L110" i="15"/>
  <c r="L109" i="15"/>
  <c r="L108" i="15"/>
  <c r="L107" i="15"/>
  <c r="K107" i="15"/>
  <c r="L106" i="15"/>
  <c r="K106" i="15"/>
  <c r="L105" i="15"/>
  <c r="K105" i="15"/>
  <c r="L104" i="15"/>
  <c r="K104" i="15"/>
  <c r="L103" i="15"/>
  <c r="K103" i="15"/>
  <c r="L102" i="15"/>
  <c r="K102" i="15"/>
  <c r="L101" i="15"/>
  <c r="K101" i="15"/>
  <c r="L100" i="15"/>
  <c r="K100" i="15"/>
  <c r="L99" i="15"/>
  <c r="K99" i="15"/>
  <c r="L98" i="15"/>
  <c r="K98" i="15"/>
  <c r="L97" i="15"/>
  <c r="K97" i="15"/>
  <c r="L96" i="15"/>
  <c r="K96" i="15"/>
  <c r="L95" i="15"/>
  <c r="K95" i="15"/>
  <c r="L94" i="15"/>
  <c r="K94" i="15"/>
  <c r="L93" i="15"/>
  <c r="K93" i="15"/>
  <c r="L90" i="15"/>
  <c r="K90" i="15"/>
  <c r="L89" i="15"/>
  <c r="L88" i="15"/>
  <c r="K88" i="15"/>
  <c r="L87" i="15"/>
  <c r="K87" i="15"/>
  <c r="L86" i="15"/>
  <c r="L85" i="15"/>
  <c r="L84" i="15"/>
  <c r="L83" i="15"/>
  <c r="L82" i="15"/>
  <c r="K82" i="15"/>
  <c r="L81" i="15"/>
  <c r="K81" i="15"/>
  <c r="L80" i="15"/>
  <c r="K80" i="15"/>
  <c r="L79" i="15"/>
  <c r="K79" i="15"/>
  <c r="L78" i="15"/>
  <c r="K78" i="15"/>
  <c r="L77" i="15"/>
  <c r="K77" i="15"/>
  <c r="L76" i="15"/>
  <c r="K76" i="15"/>
  <c r="L75" i="15"/>
  <c r="K75" i="15"/>
  <c r="L74" i="15"/>
  <c r="K74" i="15"/>
  <c r="L71" i="15"/>
  <c r="K71" i="15"/>
  <c r="L70" i="15"/>
  <c r="K70" i="15"/>
  <c r="L69" i="15"/>
  <c r="K69" i="15"/>
  <c r="L68" i="15"/>
  <c r="K68" i="15"/>
  <c r="L67" i="15"/>
  <c r="K67" i="15"/>
  <c r="L66" i="15"/>
  <c r="K66" i="15"/>
  <c r="L65" i="15"/>
  <c r="K65" i="15"/>
  <c r="L64" i="15"/>
  <c r="K64" i="15"/>
  <c r="L63" i="15"/>
  <c r="K63" i="15"/>
  <c r="L62" i="15"/>
  <c r="K62" i="15"/>
  <c r="L61" i="15"/>
  <c r="K61" i="15"/>
  <c r="L58" i="15"/>
  <c r="K58" i="15"/>
  <c r="L55" i="15"/>
  <c r="K55" i="15"/>
  <c r="L52" i="15"/>
  <c r="K52" i="15"/>
  <c r="L49" i="15"/>
  <c r="K49" i="15"/>
  <c r="L48" i="15"/>
  <c r="K48" i="15"/>
  <c r="L47" i="15"/>
  <c r="K47" i="15"/>
  <c r="L44" i="15"/>
  <c r="K44" i="15"/>
  <c r="L43" i="15"/>
  <c r="K43" i="15"/>
  <c r="L42" i="15"/>
  <c r="K42" i="15"/>
  <c r="L41" i="15"/>
  <c r="K41" i="15"/>
  <c r="L40" i="15"/>
  <c r="K40" i="15"/>
  <c r="L39" i="15"/>
  <c r="K39" i="15"/>
  <c r="L38" i="15"/>
  <c r="K38" i="15"/>
  <c r="L37" i="15"/>
  <c r="K37" i="15"/>
  <c r="L36" i="15"/>
  <c r="K36" i="15"/>
  <c r="L33" i="15"/>
  <c r="K33" i="15"/>
  <c r="L32" i="15"/>
  <c r="K32" i="15"/>
  <c r="L31" i="15"/>
  <c r="K31" i="15"/>
  <c r="L30" i="15"/>
  <c r="K30" i="15"/>
  <c r="L27" i="15"/>
  <c r="K27" i="15"/>
  <c r="L26" i="15"/>
  <c r="K26" i="15"/>
  <c r="L25" i="15"/>
  <c r="K25" i="15"/>
  <c r="L24" i="15"/>
  <c r="K24" i="15"/>
  <c r="L23" i="15"/>
  <c r="K23" i="15"/>
  <c r="L22" i="15"/>
  <c r="K22" i="15"/>
  <c r="L21" i="15"/>
  <c r="K21" i="15"/>
  <c r="L18" i="15"/>
  <c r="L17" i="15"/>
  <c r="K17" i="15"/>
  <c r="L16" i="15"/>
  <c r="L15" i="15"/>
  <c r="K15" i="15"/>
  <c r="L14" i="15"/>
  <c r="K14" i="15"/>
  <c r="L13" i="15"/>
  <c r="K13" i="15"/>
  <c r="L12" i="15"/>
  <c r="K12" i="15"/>
  <c r="L9" i="15"/>
  <c r="K9" i="15"/>
  <c r="L6" i="15"/>
  <c r="K6" i="15"/>
  <c r="L151" i="14"/>
  <c r="K151" i="14"/>
  <c r="L148" i="14"/>
  <c r="K148" i="14"/>
  <c r="L147" i="14"/>
  <c r="K147" i="14"/>
  <c r="L146" i="14"/>
  <c r="K146" i="14"/>
  <c r="L145" i="14"/>
  <c r="K145" i="14"/>
  <c r="L144" i="14"/>
  <c r="K144" i="14"/>
  <c r="L141" i="14"/>
  <c r="K141" i="14"/>
  <c r="L140" i="14"/>
  <c r="K140" i="14"/>
  <c r="L139" i="14"/>
  <c r="K139" i="14"/>
  <c r="L138" i="14"/>
  <c r="K138" i="14"/>
  <c r="L137" i="14"/>
  <c r="K137" i="14"/>
  <c r="L136" i="14"/>
  <c r="K136" i="14"/>
  <c r="L135" i="14"/>
  <c r="K135" i="14"/>
  <c r="L134" i="14"/>
  <c r="K134" i="14"/>
  <c r="L133" i="14"/>
  <c r="K133" i="14"/>
  <c r="L132" i="14"/>
  <c r="K132" i="14"/>
  <c r="L131" i="14"/>
  <c r="K131" i="14"/>
  <c r="L130" i="14"/>
  <c r="K130" i="14"/>
  <c r="L129" i="14"/>
  <c r="K129" i="14"/>
  <c r="L128" i="14"/>
  <c r="K128" i="14"/>
  <c r="L127" i="14"/>
  <c r="K127" i="14"/>
  <c r="L124" i="14"/>
  <c r="K124" i="14"/>
  <c r="L123" i="14"/>
  <c r="K123" i="14"/>
  <c r="L122" i="14"/>
  <c r="K122" i="14"/>
  <c r="L121" i="14"/>
  <c r="K121" i="14"/>
  <c r="L120" i="14"/>
  <c r="K120" i="14"/>
  <c r="L119" i="14"/>
  <c r="K119" i="14"/>
  <c r="L118" i="14"/>
  <c r="L117" i="14"/>
  <c r="L116" i="14"/>
  <c r="K116" i="14"/>
  <c r="L115" i="14"/>
  <c r="K115" i="14"/>
  <c r="L114" i="14"/>
  <c r="K114" i="14"/>
  <c r="L113" i="14"/>
  <c r="K113" i="14"/>
  <c r="L112" i="14"/>
  <c r="K112" i="14"/>
  <c r="L111" i="14"/>
  <c r="K111" i="14"/>
  <c r="L110" i="14"/>
  <c r="K110" i="14"/>
  <c r="L109" i="14"/>
  <c r="K109" i="14"/>
  <c r="L108" i="14"/>
  <c r="K108" i="14"/>
  <c r="L107" i="14"/>
  <c r="K107" i="14"/>
  <c r="L106" i="14"/>
  <c r="K106" i="14"/>
  <c r="L103" i="14"/>
  <c r="K103" i="14"/>
  <c r="L102" i="14"/>
  <c r="K102" i="14"/>
  <c r="L101" i="14"/>
  <c r="L100" i="14"/>
  <c r="K100" i="14"/>
  <c r="L99" i="14"/>
  <c r="K99" i="14"/>
  <c r="L98" i="14"/>
  <c r="K98" i="14"/>
  <c r="L97" i="14"/>
  <c r="K97" i="14"/>
  <c r="L96" i="14"/>
  <c r="L95" i="14"/>
  <c r="L94" i="14"/>
  <c r="K94" i="14"/>
  <c r="L93" i="14"/>
  <c r="K93" i="14"/>
  <c r="L92" i="14"/>
  <c r="K92" i="14"/>
  <c r="L91" i="14"/>
  <c r="K91" i="14"/>
  <c r="L90" i="14"/>
  <c r="K90" i="14"/>
  <c r="L89" i="14"/>
  <c r="K89" i="14"/>
  <c r="L88" i="14"/>
  <c r="K88" i="14"/>
  <c r="L87" i="14"/>
  <c r="K87" i="14"/>
  <c r="L86" i="14"/>
  <c r="K86" i="14"/>
  <c r="L85" i="14"/>
  <c r="K85" i="14"/>
  <c r="L84" i="14"/>
  <c r="K84" i="14"/>
  <c r="L83" i="14"/>
  <c r="K83" i="14"/>
  <c r="L80" i="14"/>
  <c r="K80" i="14"/>
  <c r="L79" i="14"/>
  <c r="L78" i="14"/>
  <c r="K78" i="14"/>
  <c r="L77" i="14"/>
  <c r="K77" i="14"/>
  <c r="L76" i="14"/>
  <c r="K76" i="14"/>
  <c r="L75" i="14"/>
  <c r="L74" i="14"/>
  <c r="L73" i="14"/>
  <c r="K73" i="14"/>
  <c r="L72" i="14"/>
  <c r="K72" i="14"/>
  <c r="L71" i="14"/>
  <c r="K71" i="14"/>
  <c r="L70" i="14"/>
  <c r="K70" i="14"/>
  <c r="L69" i="14"/>
  <c r="K69" i="14"/>
  <c r="L68" i="14"/>
  <c r="K68" i="14"/>
  <c r="L67" i="14"/>
  <c r="K67" i="14"/>
  <c r="L64" i="14"/>
  <c r="K64" i="14"/>
  <c r="L63" i="14"/>
  <c r="K63" i="14"/>
  <c r="L62" i="14"/>
  <c r="K62" i="14"/>
  <c r="L61" i="14"/>
  <c r="L60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51" i="14"/>
  <c r="K51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39" i="14"/>
  <c r="K39" i="14"/>
  <c r="L36" i="14"/>
  <c r="K36" i="14"/>
  <c r="L33" i="14"/>
  <c r="K33" i="14"/>
  <c r="L30" i="14"/>
  <c r="K30" i="14"/>
  <c r="L27" i="14"/>
  <c r="K27" i="14"/>
  <c r="L24" i="14"/>
  <c r="K24" i="14"/>
  <c r="L23" i="14"/>
  <c r="K23" i="14"/>
  <c r="L22" i="14"/>
  <c r="K22" i="14"/>
  <c r="L21" i="14"/>
  <c r="K21" i="14"/>
  <c r="L18" i="14"/>
  <c r="K18" i="14"/>
  <c r="L17" i="14"/>
  <c r="K17" i="14"/>
  <c r="L14" i="14"/>
  <c r="K14" i="14"/>
  <c r="L13" i="14"/>
  <c r="K13" i="14"/>
  <c r="L10" i="14"/>
  <c r="K10" i="14"/>
  <c r="L9" i="14"/>
  <c r="K9" i="14"/>
  <c r="L6" i="14"/>
  <c r="K6" i="14"/>
  <c r="L56" i="13"/>
  <c r="K56" i="13"/>
  <c r="L55" i="13"/>
  <c r="K55" i="13"/>
  <c r="L54" i="13"/>
  <c r="K54" i="13"/>
  <c r="L51" i="13"/>
  <c r="K51" i="13"/>
  <c r="L50" i="13"/>
  <c r="K50" i="13"/>
  <c r="L49" i="13"/>
  <c r="K49" i="13"/>
  <c r="L48" i="13"/>
  <c r="K48" i="13"/>
  <c r="L45" i="13"/>
  <c r="K45" i="13"/>
  <c r="L44" i="13"/>
  <c r="K44" i="13"/>
  <c r="L43" i="13"/>
  <c r="K43" i="13"/>
  <c r="L42" i="13"/>
  <c r="K42" i="13"/>
  <c r="L41" i="13"/>
  <c r="K41" i="13"/>
  <c r="L40" i="13"/>
  <c r="K40" i="13"/>
  <c r="L39" i="13"/>
  <c r="K39" i="13"/>
  <c r="L38" i="13"/>
  <c r="K38" i="13"/>
  <c r="L35" i="13"/>
  <c r="K35" i="13"/>
  <c r="L34" i="13"/>
  <c r="K34" i="13"/>
  <c r="L33" i="13"/>
  <c r="L30" i="13"/>
  <c r="K30" i="13"/>
  <c r="L29" i="13"/>
  <c r="L28" i="13"/>
  <c r="K28" i="13"/>
  <c r="L27" i="13"/>
  <c r="K27" i="13"/>
  <c r="L26" i="13"/>
  <c r="K26" i="13"/>
  <c r="L23" i="13"/>
  <c r="K23" i="13"/>
  <c r="L22" i="13"/>
  <c r="K22" i="13"/>
  <c r="L21" i="13"/>
  <c r="K21" i="13"/>
  <c r="L20" i="13"/>
  <c r="K20" i="13"/>
  <c r="L19" i="13"/>
  <c r="K19" i="13"/>
  <c r="L16" i="13"/>
  <c r="L13" i="13"/>
  <c r="K13" i="13"/>
  <c r="L10" i="13"/>
  <c r="K10" i="13"/>
  <c r="L9" i="13"/>
  <c r="K9" i="13"/>
  <c r="L6" i="13"/>
  <c r="T7" i="12"/>
  <c r="S7" i="12"/>
  <c r="T6" i="12"/>
  <c r="S6" i="12"/>
  <c r="T7" i="11"/>
  <c r="S7" i="11"/>
  <c r="T6" i="11"/>
  <c r="S6" i="11"/>
  <c r="T139" i="10"/>
  <c r="S139" i="10"/>
  <c r="T136" i="10"/>
  <c r="S136" i="10"/>
  <c r="T133" i="10"/>
  <c r="S133" i="10"/>
  <c r="T132" i="10"/>
  <c r="S132" i="10"/>
  <c r="T129" i="10"/>
  <c r="S129" i="10"/>
  <c r="T128" i="10"/>
  <c r="S128" i="10"/>
  <c r="T127" i="10"/>
  <c r="S127" i="10"/>
  <c r="T124" i="10"/>
  <c r="S124" i="10"/>
  <c r="T123" i="10"/>
  <c r="T122" i="10"/>
  <c r="S122" i="10"/>
  <c r="T121" i="10"/>
  <c r="S121" i="10"/>
  <c r="T120" i="10"/>
  <c r="T119" i="10"/>
  <c r="S119" i="10"/>
  <c r="T118" i="10"/>
  <c r="S118" i="10"/>
  <c r="T117" i="10"/>
  <c r="S117" i="10"/>
  <c r="T116" i="10"/>
  <c r="T113" i="10"/>
  <c r="S113" i="10"/>
  <c r="T112" i="10"/>
  <c r="T111" i="10"/>
  <c r="S111" i="10"/>
  <c r="T110" i="10"/>
  <c r="S110" i="10"/>
  <c r="T109" i="10"/>
  <c r="S109" i="10"/>
  <c r="T108" i="10"/>
  <c r="S108" i="10"/>
  <c r="T107" i="10"/>
  <c r="S107" i="10"/>
  <c r="T106" i="10"/>
  <c r="S106" i="10"/>
  <c r="T105" i="10"/>
  <c r="S105" i="10"/>
  <c r="T104" i="10"/>
  <c r="S104" i="10"/>
  <c r="T103" i="10"/>
  <c r="S103" i="10"/>
  <c r="T102" i="10"/>
  <c r="S102" i="10"/>
  <c r="T101" i="10"/>
  <c r="S101" i="10"/>
  <c r="T98" i="10"/>
  <c r="S98" i="10"/>
  <c r="T97" i="10"/>
  <c r="S97" i="10"/>
  <c r="T96" i="10"/>
  <c r="S96" i="10"/>
  <c r="T95" i="10"/>
  <c r="S95" i="10"/>
  <c r="T94" i="10"/>
  <c r="S94" i="10"/>
  <c r="T93" i="10"/>
  <c r="S93" i="10"/>
  <c r="T92" i="10"/>
  <c r="S92" i="10"/>
  <c r="T91" i="10"/>
  <c r="S91" i="10"/>
  <c r="T90" i="10"/>
  <c r="S90" i="10"/>
  <c r="T89" i="10"/>
  <c r="S89" i="10"/>
  <c r="T88" i="10"/>
  <c r="S88" i="10"/>
  <c r="T87" i="10"/>
  <c r="S87" i="10"/>
  <c r="T86" i="10"/>
  <c r="S86" i="10"/>
  <c r="T83" i="10"/>
  <c r="S83" i="10"/>
  <c r="T82" i="10"/>
  <c r="S82" i="10"/>
  <c r="T81" i="10"/>
  <c r="S81" i="10"/>
  <c r="T80" i="10"/>
  <c r="S80" i="10"/>
  <c r="T79" i="10"/>
  <c r="S79" i="10"/>
  <c r="T78" i="10"/>
  <c r="S78" i="10"/>
  <c r="T77" i="10"/>
  <c r="S77" i="10"/>
  <c r="T76" i="10"/>
  <c r="T75" i="10"/>
  <c r="S75" i="10"/>
  <c r="T72" i="10"/>
  <c r="T71" i="10"/>
  <c r="S71" i="10"/>
  <c r="T70" i="10"/>
  <c r="S70" i="10"/>
  <c r="T69" i="10"/>
  <c r="S69" i="10"/>
  <c r="T68" i="10"/>
  <c r="S68" i="10"/>
  <c r="T67" i="10"/>
  <c r="T66" i="10"/>
  <c r="S66" i="10"/>
  <c r="T65" i="10"/>
  <c r="S65" i="10"/>
  <c r="T62" i="10"/>
  <c r="S62" i="10"/>
  <c r="T59" i="10"/>
  <c r="S59" i="10"/>
  <c r="T56" i="10"/>
  <c r="S56" i="10"/>
  <c r="T53" i="10"/>
  <c r="S53" i="10"/>
  <c r="T50" i="10"/>
  <c r="S50" i="10"/>
  <c r="T49" i="10"/>
  <c r="S49" i="10"/>
  <c r="T48" i="10"/>
  <c r="S48" i="10"/>
  <c r="T47" i="10"/>
  <c r="S47" i="10"/>
  <c r="T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5" i="10"/>
  <c r="S35" i="10"/>
  <c r="T34" i="10"/>
  <c r="S34" i="10"/>
  <c r="T33" i="10"/>
  <c r="S33" i="10"/>
  <c r="T30" i="10"/>
  <c r="T29" i="10"/>
  <c r="S29" i="10"/>
  <c r="T28" i="10"/>
  <c r="S28" i="10"/>
  <c r="T27" i="10"/>
  <c r="S27" i="10"/>
  <c r="T26" i="10"/>
  <c r="S26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4" i="10"/>
  <c r="S14" i="10"/>
  <c r="T13" i="10"/>
  <c r="S13" i="10"/>
  <c r="T12" i="10"/>
  <c r="S12" i="10"/>
  <c r="T11" i="10"/>
  <c r="T10" i="10"/>
  <c r="S10" i="10"/>
  <c r="T7" i="10"/>
  <c r="S7" i="10"/>
  <c r="T6" i="10"/>
  <c r="T87" i="9"/>
  <c r="S87" i="9"/>
  <c r="T86" i="9"/>
  <c r="T83" i="9"/>
  <c r="S83" i="9"/>
  <c r="T82" i="9"/>
  <c r="T81" i="9"/>
  <c r="S81" i="9"/>
  <c r="T80" i="9"/>
  <c r="S80" i="9"/>
  <c r="T79" i="9"/>
  <c r="S79" i="9"/>
  <c r="T78" i="9"/>
  <c r="S78" i="9"/>
  <c r="T75" i="9"/>
  <c r="S75" i="9"/>
  <c r="T74" i="9"/>
  <c r="S74" i="9"/>
  <c r="T73" i="9"/>
  <c r="S73" i="9"/>
  <c r="T72" i="9"/>
  <c r="S72" i="9"/>
  <c r="T71" i="9"/>
  <c r="S71" i="9"/>
  <c r="T70" i="9"/>
  <c r="S70" i="9"/>
  <c r="T69" i="9"/>
  <c r="S69" i="9"/>
  <c r="T66" i="9"/>
  <c r="S66" i="9"/>
  <c r="T65" i="9"/>
  <c r="T64" i="9"/>
  <c r="T63" i="9"/>
  <c r="S63" i="9"/>
  <c r="T62" i="9"/>
  <c r="S62" i="9"/>
  <c r="T61" i="9"/>
  <c r="S61" i="9"/>
  <c r="T60" i="9"/>
  <c r="S60" i="9"/>
  <c r="T59" i="9"/>
  <c r="S59" i="9"/>
  <c r="S58" i="9"/>
  <c r="T57" i="9"/>
  <c r="S57" i="9"/>
  <c r="T56" i="9"/>
  <c r="S56" i="9"/>
  <c r="T55" i="9"/>
  <c r="S55" i="9"/>
  <c r="T54" i="9"/>
  <c r="S54" i="9"/>
  <c r="T53" i="9"/>
  <c r="T52" i="9"/>
  <c r="T51" i="9"/>
  <c r="S51" i="9"/>
  <c r="T50" i="9"/>
  <c r="S50" i="9"/>
  <c r="T49" i="9"/>
  <c r="S49" i="9"/>
  <c r="T46" i="9"/>
  <c r="S46" i="9"/>
  <c r="T45" i="9"/>
  <c r="S45" i="9"/>
  <c r="T44" i="9"/>
  <c r="S44" i="9"/>
  <c r="T43" i="9"/>
  <c r="S43" i="9"/>
  <c r="T42" i="9"/>
  <c r="S42" i="9"/>
  <c r="T41" i="9"/>
  <c r="S41" i="9"/>
  <c r="T40" i="9"/>
  <c r="S40" i="9"/>
  <c r="T39" i="9"/>
  <c r="S39" i="9"/>
  <c r="T36" i="9"/>
  <c r="T35" i="9"/>
  <c r="S35" i="9"/>
  <c r="T34" i="9"/>
  <c r="S34" i="9"/>
  <c r="T33" i="9"/>
  <c r="S33" i="9"/>
  <c r="T32" i="9"/>
  <c r="S32" i="9"/>
  <c r="T31" i="9"/>
  <c r="S31" i="9"/>
  <c r="T30" i="9"/>
  <c r="S30" i="9"/>
  <c r="T27" i="9"/>
  <c r="T26" i="9"/>
  <c r="S26" i="9"/>
  <c r="T25" i="9"/>
  <c r="S25" i="9"/>
  <c r="T24" i="9"/>
  <c r="S24" i="9"/>
  <c r="T21" i="9"/>
  <c r="S21" i="9"/>
  <c r="T20" i="9"/>
  <c r="S20" i="9"/>
  <c r="T17" i="9"/>
  <c r="S17" i="9"/>
  <c r="T16" i="9"/>
  <c r="S16" i="9"/>
  <c r="T15" i="9"/>
  <c r="S15" i="9"/>
  <c r="T12" i="9"/>
  <c r="T11" i="9"/>
  <c r="S11" i="9"/>
  <c r="T10" i="9"/>
  <c r="S10" i="9"/>
  <c r="T7" i="9"/>
  <c r="S7" i="9"/>
  <c r="T6" i="9"/>
  <c r="S6" i="9"/>
  <c r="T6" i="7"/>
  <c r="S6" i="7"/>
  <c r="T60" i="6"/>
  <c r="S60" i="6"/>
  <c r="T57" i="6"/>
  <c r="S57" i="6"/>
  <c r="T56" i="6"/>
  <c r="S56" i="6"/>
  <c r="T53" i="6"/>
  <c r="S53" i="6"/>
  <c r="T50" i="6"/>
  <c r="S50" i="6"/>
  <c r="T49" i="6"/>
  <c r="S49" i="6"/>
  <c r="T48" i="6"/>
  <c r="S48" i="6"/>
  <c r="T47" i="6"/>
  <c r="S47" i="6"/>
  <c r="T46" i="6"/>
  <c r="S46" i="6"/>
  <c r="T45" i="6"/>
  <c r="S45" i="6"/>
  <c r="T42" i="6"/>
  <c r="S42" i="6"/>
  <c r="T41" i="6"/>
  <c r="T40" i="6"/>
  <c r="S40" i="6"/>
  <c r="T39" i="6"/>
  <c r="S39" i="6"/>
  <c r="T38" i="6"/>
  <c r="S38" i="6"/>
  <c r="T37" i="6"/>
  <c r="S37" i="6"/>
  <c r="T34" i="6"/>
  <c r="S34" i="6"/>
  <c r="T31" i="6"/>
  <c r="S31" i="6"/>
  <c r="T30" i="6"/>
  <c r="S30" i="6"/>
  <c r="T27" i="6"/>
  <c r="S27" i="6"/>
  <c r="T24" i="6"/>
  <c r="T23" i="6"/>
  <c r="S23" i="6"/>
  <c r="T22" i="6"/>
  <c r="S22" i="6"/>
  <c r="T21" i="6"/>
  <c r="S21" i="6"/>
  <c r="T18" i="6"/>
  <c r="S18" i="6"/>
  <c r="T15" i="6"/>
  <c r="S15" i="6"/>
  <c r="T14" i="6"/>
  <c r="T13" i="6"/>
  <c r="S13" i="6"/>
  <c r="T10" i="6"/>
  <c r="S10" i="6"/>
  <c r="T7" i="6"/>
  <c r="S7" i="6"/>
  <c r="T6" i="6"/>
  <c r="T83" i="5"/>
  <c r="S83" i="5"/>
  <c r="T80" i="5"/>
  <c r="S80" i="5"/>
  <c r="T79" i="5"/>
  <c r="S79" i="5"/>
  <c r="T76" i="5"/>
  <c r="S76" i="5"/>
  <c r="T75" i="5"/>
  <c r="S75" i="5"/>
  <c r="T74" i="5"/>
  <c r="S74" i="5"/>
  <c r="T73" i="5"/>
  <c r="S73" i="5"/>
  <c r="T72" i="5"/>
  <c r="S72" i="5"/>
  <c r="T71" i="5"/>
  <c r="S71" i="5"/>
  <c r="T68" i="5"/>
  <c r="T67" i="5"/>
  <c r="S67" i="5"/>
  <c r="T66" i="5"/>
  <c r="S66" i="5"/>
  <c r="T65" i="5"/>
  <c r="S65" i="5"/>
  <c r="T64" i="5"/>
  <c r="S64" i="5"/>
  <c r="T63" i="5"/>
  <c r="S63" i="5"/>
  <c r="T62" i="5"/>
  <c r="S62" i="5"/>
  <c r="T61" i="5"/>
  <c r="S61" i="5"/>
  <c r="T58" i="5"/>
  <c r="S58" i="5"/>
  <c r="T57" i="5"/>
  <c r="T56" i="5"/>
  <c r="S56" i="5"/>
  <c r="T55" i="5"/>
  <c r="S55" i="5"/>
  <c r="T54" i="5"/>
  <c r="S54" i="5"/>
  <c r="T53" i="5"/>
  <c r="S53" i="5"/>
  <c r="T52" i="5"/>
  <c r="S52" i="5"/>
  <c r="T51" i="5"/>
  <c r="S51" i="5"/>
  <c r="T50" i="5"/>
  <c r="S50" i="5"/>
  <c r="T49" i="5"/>
  <c r="S49" i="5"/>
  <c r="T48" i="5"/>
  <c r="T45" i="5"/>
  <c r="T44" i="5"/>
  <c r="S44" i="5"/>
  <c r="T43" i="5"/>
  <c r="S43" i="5"/>
  <c r="T42" i="5"/>
  <c r="S42" i="5"/>
  <c r="T41" i="5"/>
  <c r="S41" i="5"/>
  <c r="T40" i="5"/>
  <c r="S40" i="5"/>
  <c r="T39" i="5"/>
  <c r="S39" i="5"/>
  <c r="T38" i="5"/>
  <c r="S38" i="5"/>
  <c r="T35" i="5"/>
  <c r="T34" i="5"/>
  <c r="S34" i="5"/>
  <c r="T33" i="5"/>
  <c r="S33" i="5"/>
  <c r="T32" i="5"/>
  <c r="S32" i="5"/>
  <c r="T31" i="5"/>
  <c r="S31" i="5"/>
  <c r="T30" i="5"/>
  <c r="T29" i="5"/>
  <c r="S29" i="5"/>
  <c r="T26" i="5"/>
  <c r="S26" i="5"/>
  <c r="T25" i="5"/>
  <c r="T22" i="5"/>
  <c r="S22" i="5"/>
  <c r="T19" i="5"/>
  <c r="S19" i="5"/>
  <c r="T16" i="5"/>
  <c r="S16" i="5"/>
  <c r="T15" i="5"/>
  <c r="S15" i="5"/>
  <c r="T14" i="5"/>
  <c r="S14" i="5"/>
  <c r="T11" i="5"/>
  <c r="S11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<sst xmlns="http://schemas.openxmlformats.org/spreadsheetml/2006/main" count="11407" uniqueCount="2700">
  <si>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</si>
  <si>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</si>
  <si>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</si>
  <si>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</si>
  <si>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</si>
  <si>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</si>
  <si>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</si>
  <si>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</si>
  <si>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</si>
  <si>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</si>
  <si>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</si>
  <si>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56</t>
  </si>
  <si>
    <t>Павлюкович Ольга</t>
  </si>
  <si>
    <t>Открытая (25.12.1985)/34</t>
  </si>
  <si>
    <t>54,70</t>
  </si>
  <si>
    <t xml:space="preserve">BLR/Брест </t>
  </si>
  <si>
    <t>55,0</t>
  </si>
  <si>
    <t>60,0</t>
  </si>
  <si>
    <t>65,0</t>
  </si>
  <si>
    <t>32,5</t>
  </si>
  <si>
    <t>35,0</t>
  </si>
  <si>
    <t>37,5</t>
  </si>
  <si>
    <t>70,0</t>
  </si>
  <si>
    <t>80,0</t>
  </si>
  <si>
    <t>85,0</t>
  </si>
  <si>
    <t xml:space="preserve">Дременков К. </t>
  </si>
  <si>
    <t>ВЕСОВАЯ КАТЕГОРИЯ   67.5</t>
  </si>
  <si>
    <t>Мазар Татьяна</t>
  </si>
  <si>
    <t>Открытая (23.01.1996)/24</t>
  </si>
  <si>
    <t>67,50</t>
  </si>
  <si>
    <t xml:space="preserve">RUS/Владимир </t>
  </si>
  <si>
    <t>205,0</t>
  </si>
  <si>
    <t>215,0</t>
  </si>
  <si>
    <t>225,0</t>
  </si>
  <si>
    <t>112,5</t>
  </si>
  <si>
    <t>117,5</t>
  </si>
  <si>
    <t>122,5</t>
  </si>
  <si>
    <t>190,0</t>
  </si>
  <si>
    <t>200,0</t>
  </si>
  <si>
    <t>210,0</t>
  </si>
  <si>
    <t xml:space="preserve">Суслов Н. </t>
  </si>
  <si>
    <t>Порфирьева Наталья</t>
  </si>
  <si>
    <t>Открытая (16.04.1974)/46</t>
  </si>
  <si>
    <t>67,20</t>
  </si>
  <si>
    <t xml:space="preserve">RUS/Озёрск </t>
  </si>
  <si>
    <t>145,0</t>
  </si>
  <si>
    <t>152,5</t>
  </si>
  <si>
    <t>155,0</t>
  </si>
  <si>
    <t>62,5</t>
  </si>
  <si>
    <t>67,5</t>
  </si>
  <si>
    <t>120,0</t>
  </si>
  <si>
    <t>135,0</t>
  </si>
  <si>
    <t>150,0</t>
  </si>
  <si>
    <t xml:space="preserve">Пилипишко Н. </t>
  </si>
  <si>
    <t>Мастера 40-49 (16.04.1974)/46</t>
  </si>
  <si>
    <t>ВЕСОВАЯ КАТЕГОРИЯ   75</t>
  </si>
  <si>
    <t>Янина Светлана</t>
  </si>
  <si>
    <t>Открытая (28.06.1969)/51</t>
  </si>
  <si>
    <t>72,30</t>
  </si>
  <si>
    <t>160,0</t>
  </si>
  <si>
    <t>180,0</t>
  </si>
  <si>
    <t>75,0</t>
  </si>
  <si>
    <t>82,5</t>
  </si>
  <si>
    <t>Левкович Анастасия</t>
  </si>
  <si>
    <t>Открытая (02.06.1988)/32</t>
  </si>
  <si>
    <t>73,00</t>
  </si>
  <si>
    <t>105,0</t>
  </si>
  <si>
    <t>115,0</t>
  </si>
  <si>
    <t>42,5</t>
  </si>
  <si>
    <t>47,5</t>
  </si>
  <si>
    <t>130,0</t>
  </si>
  <si>
    <t>Мастера 50-59 (28.06.1969)/51</t>
  </si>
  <si>
    <t>ВЕСОВАЯ КАТЕГОРИЯ   82.5</t>
  </si>
  <si>
    <t>Епихина Виктория</t>
  </si>
  <si>
    <t>Открытая (18.04.1991)/29</t>
  </si>
  <si>
    <t>82,40</t>
  </si>
  <si>
    <t xml:space="preserve">RUS/Астрахань </t>
  </si>
  <si>
    <t>220,0</t>
  </si>
  <si>
    <t>230,0</t>
  </si>
  <si>
    <t>Сабиров Бахромжон</t>
  </si>
  <si>
    <t>Юниоры (15.07.1999)/21</t>
  </si>
  <si>
    <t>65,20</t>
  </si>
  <si>
    <t xml:space="preserve">KGZ/Ош </t>
  </si>
  <si>
    <t>110,0</t>
  </si>
  <si>
    <t>125,0</t>
  </si>
  <si>
    <t>235,0</t>
  </si>
  <si>
    <t>245,0</t>
  </si>
  <si>
    <t>250,0</t>
  </si>
  <si>
    <t xml:space="preserve">Назимов Д. </t>
  </si>
  <si>
    <t>Абашев Артём</t>
  </si>
  <si>
    <t>Юниоры (22.01.1999)/21</t>
  </si>
  <si>
    <t>73,10</t>
  </si>
  <si>
    <t xml:space="preserve">RUS/Киров </t>
  </si>
  <si>
    <t>142,5</t>
  </si>
  <si>
    <t>260,0</t>
  </si>
  <si>
    <t xml:space="preserve">Обухов Ф. </t>
  </si>
  <si>
    <t>Тимошик Андрей</t>
  </si>
  <si>
    <t>Открытая (22.03.1990)/30</t>
  </si>
  <si>
    <t>75,00</t>
  </si>
  <si>
    <t xml:space="preserve">UKR/Киев </t>
  </si>
  <si>
    <t>240,0</t>
  </si>
  <si>
    <t>Алымов Илья</t>
  </si>
  <si>
    <t>Юниоры (02.08.1997)/23</t>
  </si>
  <si>
    <t>82,20</t>
  </si>
  <si>
    <t xml:space="preserve">RUS/Серпухов </t>
  </si>
  <si>
    <t>Лазарев Артём</t>
  </si>
  <si>
    <t>Юниоры (09.12.1997)/23</t>
  </si>
  <si>
    <t>81,00</t>
  </si>
  <si>
    <t xml:space="preserve">RUS/Дзержинский </t>
  </si>
  <si>
    <t>170,0</t>
  </si>
  <si>
    <t>Бортник Артём</t>
  </si>
  <si>
    <t>Открытая (17.07.1995)/25</t>
  </si>
  <si>
    <t>81,90</t>
  </si>
  <si>
    <t xml:space="preserve">BLR/Минск </t>
  </si>
  <si>
    <t>272,5</t>
  </si>
  <si>
    <t>280,0</t>
  </si>
  <si>
    <t>175,0</t>
  </si>
  <si>
    <t>182,5</t>
  </si>
  <si>
    <t>185,0</t>
  </si>
  <si>
    <t>275,0</t>
  </si>
  <si>
    <t>285,0</t>
  </si>
  <si>
    <t xml:space="preserve">Винокуров Д. </t>
  </si>
  <si>
    <t>Гайбура Евгений</t>
  </si>
  <si>
    <t>Открытая (05.10.1995)/25</t>
  </si>
  <si>
    <t>82,50</t>
  </si>
  <si>
    <t xml:space="preserve">RUS/Новочебоксарск </t>
  </si>
  <si>
    <t>270,0</t>
  </si>
  <si>
    <t>172,5</t>
  </si>
  <si>
    <t>177,5</t>
  </si>
  <si>
    <t>255,0</t>
  </si>
  <si>
    <t>265,0</t>
  </si>
  <si>
    <t xml:space="preserve"> </t>
  </si>
  <si>
    <t>Калинин Максим</t>
  </si>
  <si>
    <t>Открытая (29.03.1987)/33</t>
  </si>
  <si>
    <t>82,00</t>
  </si>
  <si>
    <t xml:space="preserve">RUS/Санкт-Петербург </t>
  </si>
  <si>
    <t>157,5</t>
  </si>
  <si>
    <t xml:space="preserve">Кузнецов А. </t>
  </si>
  <si>
    <t>Бурдинский Никита</t>
  </si>
  <si>
    <t>Открытая (07.10.1994)/26</t>
  </si>
  <si>
    <t>78,30</t>
  </si>
  <si>
    <t xml:space="preserve">RUS/Хабаровск </t>
  </si>
  <si>
    <t>Открытая (09.12.1997)/23</t>
  </si>
  <si>
    <t>ВЕСОВАЯ КАТЕГОРИЯ   90</t>
  </si>
  <si>
    <t>Бодров Артем</t>
  </si>
  <si>
    <t>Юниоры (07.02.1999)/21</t>
  </si>
  <si>
    <t>86,10</t>
  </si>
  <si>
    <t xml:space="preserve">RUS/Рязань </t>
  </si>
  <si>
    <t>167,5</t>
  </si>
  <si>
    <t>267,5</t>
  </si>
  <si>
    <t xml:space="preserve">Зухайриев Б. </t>
  </si>
  <si>
    <t>Яскевич Дмитрий</t>
  </si>
  <si>
    <t>Юниоры (24.01.1997)/23</t>
  </si>
  <si>
    <t>88,90</t>
  </si>
  <si>
    <t>140,0</t>
  </si>
  <si>
    <t>Катаев Ленур</t>
  </si>
  <si>
    <t>Открытая (11.10.1994)/26</t>
  </si>
  <si>
    <t>90,00</t>
  </si>
  <si>
    <t xml:space="preserve">RUS/Симферополь </t>
  </si>
  <si>
    <t>192,5</t>
  </si>
  <si>
    <t>197,5</t>
  </si>
  <si>
    <t>Тимофеев Станислав</t>
  </si>
  <si>
    <t>Открытая (15.08.1980)/40</t>
  </si>
  <si>
    <t>87,00</t>
  </si>
  <si>
    <t xml:space="preserve">RUS/Ярославль </t>
  </si>
  <si>
    <t>282,5</t>
  </si>
  <si>
    <t>165,0</t>
  </si>
  <si>
    <t>Азизмамадов Константин</t>
  </si>
  <si>
    <t>Открытая (17.03.1985)/35</t>
  </si>
  <si>
    <t>88,10</t>
  </si>
  <si>
    <t xml:space="preserve">RUS/Ржев </t>
  </si>
  <si>
    <t>305,0</t>
  </si>
  <si>
    <t>320,0</t>
  </si>
  <si>
    <t xml:space="preserve">Никулин А. </t>
  </si>
  <si>
    <t>Мухин Владислав</t>
  </si>
  <si>
    <t>Открытая (01.03.1983)/37</t>
  </si>
  <si>
    <t>86,20</t>
  </si>
  <si>
    <t xml:space="preserve">RUS/Камышин </t>
  </si>
  <si>
    <t>Мастера 40-49 (15.08.1980)/40</t>
  </si>
  <si>
    <t>Дременков Константин</t>
  </si>
  <si>
    <t>Мастера 50-59 (21.07.1966)/54</t>
  </si>
  <si>
    <t>87,10</t>
  </si>
  <si>
    <t>292,5</t>
  </si>
  <si>
    <t>ВЕСОВАЯ КАТЕГОРИЯ   100</t>
  </si>
  <si>
    <t>Демешко Анатолий</t>
  </si>
  <si>
    <t>Юниоры (05.11.1998)/22</t>
  </si>
  <si>
    <t>97,30</t>
  </si>
  <si>
    <t xml:space="preserve">RUS/Калининград </t>
  </si>
  <si>
    <t>100,0</t>
  </si>
  <si>
    <t>Павлов Дмитрий</t>
  </si>
  <si>
    <t>Открытая (11.06.1996)/24</t>
  </si>
  <si>
    <t>98,80</t>
  </si>
  <si>
    <t xml:space="preserve">RUS/Котлас </t>
  </si>
  <si>
    <t>300,0</t>
  </si>
  <si>
    <t>315,0</t>
  </si>
  <si>
    <t>207,5</t>
  </si>
  <si>
    <t>330,0</t>
  </si>
  <si>
    <t>340,0</t>
  </si>
  <si>
    <t>Гончаров Денис</t>
  </si>
  <si>
    <t>Открытая (19.11.1996)/24</t>
  </si>
  <si>
    <t>97,90</t>
  </si>
  <si>
    <t xml:space="preserve">RUS/Саратов </t>
  </si>
  <si>
    <t>307,5</t>
  </si>
  <si>
    <t>317,5</t>
  </si>
  <si>
    <t xml:space="preserve">Лепешенков В. </t>
  </si>
  <si>
    <t>Полянский Артем</t>
  </si>
  <si>
    <t>Открытая (08.07.1992)/28</t>
  </si>
  <si>
    <t>97,00</t>
  </si>
  <si>
    <t xml:space="preserve">RUS/Рыбинск </t>
  </si>
  <si>
    <t>290,0</t>
  </si>
  <si>
    <t>187,5</t>
  </si>
  <si>
    <t>310,0</t>
  </si>
  <si>
    <t>312,5</t>
  </si>
  <si>
    <t>Бозов Тимур</t>
  </si>
  <si>
    <t>Открытая (13.11.1992)/28</t>
  </si>
  <si>
    <t>99,50</t>
  </si>
  <si>
    <t xml:space="preserve">RUS/Каменка </t>
  </si>
  <si>
    <t xml:space="preserve">Андреев Т. </t>
  </si>
  <si>
    <t>Федосеев Николай</t>
  </si>
  <si>
    <t>Открытая (23.02.1991)/29</t>
  </si>
  <si>
    <t>95,50</t>
  </si>
  <si>
    <t xml:space="preserve">RUS/Москва </t>
  </si>
  <si>
    <t xml:space="preserve">Коротков М. </t>
  </si>
  <si>
    <t>Карпович Максим</t>
  </si>
  <si>
    <t>Открытая (13.07.1993)/27</t>
  </si>
  <si>
    <t>98,40</t>
  </si>
  <si>
    <t>162,5</t>
  </si>
  <si>
    <t>Венгер Александр</t>
  </si>
  <si>
    <t>Открытая (22.02.1988)/32</t>
  </si>
  <si>
    <t>96,20</t>
  </si>
  <si>
    <t>Гайер Александр</t>
  </si>
  <si>
    <t>Открытая (14.12.1984)/36</t>
  </si>
  <si>
    <t>98,50</t>
  </si>
  <si>
    <t xml:space="preserve">RUS/Сургут </t>
  </si>
  <si>
    <t xml:space="preserve">Беловал Е. </t>
  </si>
  <si>
    <t>Ziyodullaev Ulugbek</t>
  </si>
  <si>
    <t>Открытая (02.09.1994)/26</t>
  </si>
  <si>
    <t>98,70</t>
  </si>
  <si>
    <t xml:space="preserve">UZB/Ташкент </t>
  </si>
  <si>
    <t xml:space="preserve">Туманов А. </t>
  </si>
  <si>
    <t>Бурлаков Михаил</t>
  </si>
  <si>
    <t>Мастера 40-49 (19.02.1979)/41</t>
  </si>
  <si>
    <t>98,20</t>
  </si>
  <si>
    <t xml:space="preserve">RUS/Зеленоград </t>
  </si>
  <si>
    <t>ВЕСОВАЯ КАТЕГОРИЯ   110</t>
  </si>
  <si>
    <t>Мурзинов Руслан</t>
  </si>
  <si>
    <t>Юниоры (16.10.1997)/23</t>
  </si>
  <si>
    <t>102,70</t>
  </si>
  <si>
    <t xml:space="preserve">RUS/Красноярск </t>
  </si>
  <si>
    <t>Ниязиев Энвер</t>
  </si>
  <si>
    <t>Открытая (22.07.1989)/31</t>
  </si>
  <si>
    <t>106,80</t>
  </si>
  <si>
    <t xml:space="preserve">RUS/Улан-Удэ </t>
  </si>
  <si>
    <t>350,0</t>
  </si>
  <si>
    <t>370,0</t>
  </si>
  <si>
    <t xml:space="preserve">Свобода Е. </t>
  </si>
  <si>
    <t>Белов Антон</t>
  </si>
  <si>
    <t>Открытая (24.03.1985)/35</t>
  </si>
  <si>
    <t>Новиков Иван</t>
  </si>
  <si>
    <t>Открытая (23.05.1996)/24</t>
  </si>
  <si>
    <t>108,50</t>
  </si>
  <si>
    <t xml:space="preserve">RUS/Пермь </t>
  </si>
  <si>
    <t xml:space="preserve">Насонов Д. </t>
  </si>
  <si>
    <t>Чакин Сергей</t>
  </si>
  <si>
    <t>Открытая (24.03.1974)/46</t>
  </si>
  <si>
    <t>105,80</t>
  </si>
  <si>
    <t>Мамонов Дмитрий</t>
  </si>
  <si>
    <t>Открытая (14.08.1988)/32</t>
  </si>
  <si>
    <t>105,20</t>
  </si>
  <si>
    <t>212,5</t>
  </si>
  <si>
    <t>237,5</t>
  </si>
  <si>
    <t xml:space="preserve">Мамонов Д. </t>
  </si>
  <si>
    <t>Мастера 40-49 (24.03.1974)/46</t>
  </si>
  <si>
    <t>Апальков Андрей</t>
  </si>
  <si>
    <t>Мастера 40-49 (21.06.1979)/41</t>
  </si>
  <si>
    <t>109,30</t>
  </si>
  <si>
    <t>ВЕСОВАЯ КАТЕГОРИЯ   125</t>
  </si>
  <si>
    <t>Трдатьян Левон</t>
  </si>
  <si>
    <t>Открытая (28.11.1980)/40</t>
  </si>
  <si>
    <t>124,00</t>
  </si>
  <si>
    <t>Алиев Исамудин</t>
  </si>
  <si>
    <t>Открытая (10.06.1978)/42</t>
  </si>
  <si>
    <t>121,70</t>
  </si>
  <si>
    <t xml:space="preserve">RUS/Гудермес </t>
  </si>
  <si>
    <t>195,0</t>
  </si>
  <si>
    <t>Воробьев Роман</t>
  </si>
  <si>
    <t>Открытая (23.09.1984)/36</t>
  </si>
  <si>
    <t>119,80</t>
  </si>
  <si>
    <t>Пилипишко Николай</t>
  </si>
  <si>
    <t>Открытая (13.01.1984)/36</t>
  </si>
  <si>
    <t>118,50</t>
  </si>
  <si>
    <t xml:space="preserve">RUS/Челябинск </t>
  </si>
  <si>
    <t>295,0</t>
  </si>
  <si>
    <t>Мастера 40-49 (10.06.1978)/42</t>
  </si>
  <si>
    <t>Исраилов Арби</t>
  </si>
  <si>
    <t>Мастера 50-59 (20.07.1968)/52</t>
  </si>
  <si>
    <t>114,00</t>
  </si>
  <si>
    <t xml:space="preserve">RUS/Благовещенск </t>
  </si>
  <si>
    <t xml:space="preserve">Телидис </t>
  </si>
  <si>
    <t>ВЕСОВАЯ КАТЕГОРИЯ   140</t>
  </si>
  <si>
    <t>Пахтусов Семен</t>
  </si>
  <si>
    <t>Открытая (31.05.1996)/24</t>
  </si>
  <si>
    <t>125,10</t>
  </si>
  <si>
    <t>360,0</t>
  </si>
  <si>
    <t>302,5</t>
  </si>
  <si>
    <t>Курков Валерий</t>
  </si>
  <si>
    <t>Открытая (07.07.1992)/28</t>
  </si>
  <si>
    <t>129,00</t>
  </si>
  <si>
    <t>325,0</t>
  </si>
  <si>
    <t>ВЕСОВАЯ КАТЕГОРИЯ   140+</t>
  </si>
  <si>
    <t>Тхамитлоков Казбек</t>
  </si>
  <si>
    <t>Открытая (22.03.1985)/35</t>
  </si>
  <si>
    <t>150,10</t>
  </si>
  <si>
    <t xml:space="preserve">RUS/Баксан </t>
  </si>
  <si>
    <t>202,5</t>
  </si>
  <si>
    <t xml:space="preserve">Начоев А. 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</si>
  <si>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</si>
  <si>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</si>
  <si>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</si>
  <si>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</si>
  <si>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</si>
  <si>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</si>
  <si>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</si>
  <si>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</si>
  <si>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67.5</t>
  </si>
  <si>
    <t>537,5</t>
  </si>
  <si>
    <t>548,5725</t>
  </si>
  <si>
    <t>82.5</t>
  </si>
  <si>
    <t>565,0</t>
  </si>
  <si>
    <t>508,7825</t>
  </si>
  <si>
    <t>75</t>
  </si>
  <si>
    <t>405,0</t>
  </si>
  <si>
    <t>394,2270</t>
  </si>
  <si>
    <t xml:space="preserve">Мастера </t>
  </si>
  <si>
    <t xml:space="preserve">Мастера 50-59 </t>
  </si>
  <si>
    <t xml:space="preserve">Мастера 40-49 </t>
  </si>
  <si>
    <t xml:space="preserve">Мужчины </t>
  </si>
  <si>
    <t xml:space="preserve">Юниоры </t>
  </si>
  <si>
    <t>90</t>
  </si>
  <si>
    <t>655,0</t>
  </si>
  <si>
    <t>110</t>
  </si>
  <si>
    <t>880,0</t>
  </si>
  <si>
    <t>522,8080</t>
  </si>
  <si>
    <t>100</t>
  </si>
  <si>
    <t>840,0</t>
  </si>
  <si>
    <t>513,7440</t>
  </si>
  <si>
    <t>817,5</t>
  </si>
  <si>
    <t>501,8633</t>
  </si>
  <si>
    <t>125</t>
  </si>
  <si>
    <t>1</t>
  </si>
  <si>
    <t/>
  </si>
  <si>
    <t>2</t>
  </si>
  <si>
    <t>-</t>
  </si>
  <si>
    <t>3</t>
  </si>
  <si>
    <t>4</t>
  </si>
  <si>
    <t>5</t>
  </si>
  <si>
    <t>6</t>
  </si>
  <si>
    <t>7</t>
  </si>
  <si>
    <t>8</t>
  </si>
  <si>
    <t>ВЕСОВАЯ КАТЕГОРИЯ   52</t>
  </si>
  <si>
    <t>Сорокина Валерия</t>
  </si>
  <si>
    <t>Девушки 17-19 (28.12.2000)/19</t>
  </si>
  <si>
    <t>52,00</t>
  </si>
  <si>
    <t xml:space="preserve">RUS/Волгоград </t>
  </si>
  <si>
    <t>102,5</t>
  </si>
  <si>
    <t>132,5</t>
  </si>
  <si>
    <t xml:space="preserve">Макеев А. </t>
  </si>
  <si>
    <t>Соколова Анна</t>
  </si>
  <si>
    <t>Открытая (15.03.1984)/36</t>
  </si>
  <si>
    <t>50,80</t>
  </si>
  <si>
    <t xml:space="preserve">RUS/Химки </t>
  </si>
  <si>
    <t xml:space="preserve">Даниелян С. </t>
  </si>
  <si>
    <t>Каткова Наталия</t>
  </si>
  <si>
    <t>Открытая (24.08.1989)/31</t>
  </si>
  <si>
    <t>54,50</t>
  </si>
  <si>
    <t>57,5</t>
  </si>
  <si>
    <t>137,5</t>
  </si>
  <si>
    <t xml:space="preserve">Грикин И. </t>
  </si>
  <si>
    <t>ВЕСОВАЯ КАТЕГОРИЯ   60</t>
  </si>
  <si>
    <t>Агеева Юлия</t>
  </si>
  <si>
    <t>Открытая (13.01.1986)/34</t>
  </si>
  <si>
    <t>60,00</t>
  </si>
  <si>
    <t xml:space="preserve">RUS/Ростов-на-Дону </t>
  </si>
  <si>
    <t xml:space="preserve">Филиппов А. </t>
  </si>
  <si>
    <t>Сарычева Елизавета</t>
  </si>
  <si>
    <t>Открытая (16.09.1998)/22</t>
  </si>
  <si>
    <t>58,30</t>
  </si>
  <si>
    <t xml:space="preserve">Власова Н. </t>
  </si>
  <si>
    <t>Лазарева Анна</t>
  </si>
  <si>
    <t>Мастера 40-49 (26.08.1977)/43</t>
  </si>
  <si>
    <t>59,10</t>
  </si>
  <si>
    <t>127,5</t>
  </si>
  <si>
    <t>Буторина Наталья</t>
  </si>
  <si>
    <t>Открытая (27.02.1985)/35</t>
  </si>
  <si>
    <t>65,90</t>
  </si>
  <si>
    <t>Подобряева Наталья</t>
  </si>
  <si>
    <t>Девушки 17-19 (27.12.2001)/18</t>
  </si>
  <si>
    <t>73,60</t>
  </si>
  <si>
    <t>72,5</t>
  </si>
  <si>
    <t>Безгина Анастасия</t>
  </si>
  <si>
    <t>Открытая (11.07.1993)/27</t>
  </si>
  <si>
    <t>74,40</t>
  </si>
  <si>
    <t xml:space="preserve">RUS/Дубна </t>
  </si>
  <si>
    <t xml:space="preserve">Степанов И. </t>
  </si>
  <si>
    <t>Виноградова Дарья</t>
  </si>
  <si>
    <t>Открытая (21.01.1989)/31</t>
  </si>
  <si>
    <t xml:space="preserve">RUS/Щёлково </t>
  </si>
  <si>
    <t>90,0</t>
  </si>
  <si>
    <t>45,0</t>
  </si>
  <si>
    <t>52,5</t>
  </si>
  <si>
    <t xml:space="preserve">Танаев М. </t>
  </si>
  <si>
    <t>Симонова Оксана</t>
  </si>
  <si>
    <t>Мастера 40-49 (13.04.1974)/46</t>
  </si>
  <si>
    <t>74,00</t>
  </si>
  <si>
    <t>147,5</t>
  </si>
  <si>
    <t xml:space="preserve">Cтепанов И. </t>
  </si>
  <si>
    <t>Бальцук Вячеслав</t>
  </si>
  <si>
    <t>Юноши 14-16 (27.01.2004)/16</t>
  </si>
  <si>
    <t>58,50</t>
  </si>
  <si>
    <t xml:space="preserve">BLR/Лида </t>
  </si>
  <si>
    <t xml:space="preserve">Страхалис С. </t>
  </si>
  <si>
    <t>Шикалев Алексей</t>
  </si>
  <si>
    <t>Юниоры (31.03.1997)/23</t>
  </si>
  <si>
    <t xml:space="preserve">Лазарев К. </t>
  </si>
  <si>
    <t>Алтунин Николай</t>
  </si>
  <si>
    <t>Мастера 40-49 (24.07.1977)/43</t>
  </si>
  <si>
    <t xml:space="preserve">RUS/Кинель-Черкассы </t>
  </si>
  <si>
    <t>Фомушкин Павел</t>
  </si>
  <si>
    <t>Юноши 14-16 (18.10.2004)/16</t>
  </si>
  <si>
    <t>79,40</t>
  </si>
  <si>
    <t xml:space="preserve">Щенников А. </t>
  </si>
  <si>
    <t>Рахмонов Убайдулло</t>
  </si>
  <si>
    <t>Юноши 17-19 (12.05.2001)/19</t>
  </si>
  <si>
    <t>89,40</t>
  </si>
  <si>
    <t xml:space="preserve">TJK/Душанбе </t>
  </si>
  <si>
    <t xml:space="preserve">Насриддинов М. </t>
  </si>
  <si>
    <t>Прокопьев Виктор</t>
  </si>
  <si>
    <t>Открытая (03.03.1995)/25</t>
  </si>
  <si>
    <t>88,70</t>
  </si>
  <si>
    <t>287,5</t>
  </si>
  <si>
    <t>Майоров Дмитрий</t>
  </si>
  <si>
    <t>Открытая (04.09.1992)/28</t>
  </si>
  <si>
    <t>89,00</t>
  </si>
  <si>
    <t xml:space="preserve">RUS/Гусь-Хрустальный </t>
  </si>
  <si>
    <t>252,5</t>
  </si>
  <si>
    <t>Рощупкин Андрей</t>
  </si>
  <si>
    <t>Открытая (17.07.1994)/26</t>
  </si>
  <si>
    <t>88,80</t>
  </si>
  <si>
    <t>Щекотов Игорь</t>
  </si>
  <si>
    <t>Открытая (12.03.1987)/33</t>
  </si>
  <si>
    <t>89,10</t>
  </si>
  <si>
    <t xml:space="preserve">RUS/Дятьково </t>
  </si>
  <si>
    <t>Постика Владимир</t>
  </si>
  <si>
    <t>Мастера 40-49 (20.07.1979)/41</t>
  </si>
  <si>
    <t xml:space="preserve">RUS/Дедовск </t>
  </si>
  <si>
    <t>Антипов Григорий</t>
  </si>
  <si>
    <t>Юноши 17-19 (16.02.2003)/17</t>
  </si>
  <si>
    <t>92,40</t>
  </si>
  <si>
    <t>92,5</t>
  </si>
  <si>
    <t>Захаров Никита</t>
  </si>
  <si>
    <t>Юниоры (31.08.1998)/22</t>
  </si>
  <si>
    <t>94,40</t>
  </si>
  <si>
    <t xml:space="preserve">RUS/Ульяновск </t>
  </si>
  <si>
    <t>Семенов Виктор</t>
  </si>
  <si>
    <t>Юниоры (13.01.1999)/21</t>
  </si>
  <si>
    <t>92,80</t>
  </si>
  <si>
    <t>95,0</t>
  </si>
  <si>
    <t>Папочкин Андрей</t>
  </si>
  <si>
    <t>Открытая (17.07.1990)/30</t>
  </si>
  <si>
    <t xml:space="preserve">RUS/Тверь </t>
  </si>
  <si>
    <t>Калинин Антон</t>
  </si>
  <si>
    <t>Открытая (05.07.1986)/34</t>
  </si>
  <si>
    <t>100,00</t>
  </si>
  <si>
    <t>Галашев Никита</t>
  </si>
  <si>
    <t>Открытая (16.06.1994)/26</t>
  </si>
  <si>
    <t>242,5</t>
  </si>
  <si>
    <t>Дорофейский Евгений</t>
  </si>
  <si>
    <t>Открытая (14.09.1995)/25</t>
  </si>
  <si>
    <t>108,00</t>
  </si>
  <si>
    <t xml:space="preserve">Павлов А. </t>
  </si>
  <si>
    <t>Цыганков Дмитрий</t>
  </si>
  <si>
    <t>Открытая (26.05.1981)/39</t>
  </si>
  <si>
    <t>122,00</t>
  </si>
  <si>
    <t>232,5</t>
  </si>
  <si>
    <t xml:space="preserve">Бунтов Д. </t>
  </si>
  <si>
    <t>Долгих Андрей</t>
  </si>
  <si>
    <t>Открытая (06.11.1987)/33</t>
  </si>
  <si>
    <t>114,80</t>
  </si>
  <si>
    <t>Бегагаев Махмуд</t>
  </si>
  <si>
    <t>Открытая (11.03.1987)/33</t>
  </si>
  <si>
    <t>145,00</t>
  </si>
  <si>
    <t xml:space="preserve">RUS/Махачкала </t>
  </si>
  <si>
    <t xml:space="preserve">Юноши 17-19 </t>
  </si>
  <si>
    <t>345,0</t>
  </si>
  <si>
    <t>60</t>
  </si>
  <si>
    <t>415,0</t>
  </si>
  <si>
    <t>462,6835</t>
  </si>
  <si>
    <t>56</t>
  </si>
  <si>
    <t>369,5843</t>
  </si>
  <si>
    <t>52</t>
  </si>
  <si>
    <t>368,0680</t>
  </si>
  <si>
    <t xml:space="preserve">Юноши </t>
  </si>
  <si>
    <t xml:space="preserve">Юноши 14-16 </t>
  </si>
  <si>
    <t>455,0</t>
  </si>
  <si>
    <t>715,0</t>
  </si>
  <si>
    <t>459,8880</t>
  </si>
  <si>
    <t>732,5</t>
  </si>
  <si>
    <t>433,5667</t>
  </si>
  <si>
    <t>675,0</t>
  </si>
  <si>
    <t>433,4175</t>
  </si>
  <si>
    <t>Мураткин Александр</t>
  </si>
  <si>
    <t>Открытая (29.08.1985)/35</t>
  </si>
  <si>
    <t>108,90</t>
  </si>
  <si>
    <t xml:space="preserve">RUS/Казань </t>
  </si>
  <si>
    <t>335,0</t>
  </si>
  <si>
    <t xml:space="preserve">Бариев Д. </t>
  </si>
  <si>
    <t>Шелухина Юлия</t>
  </si>
  <si>
    <t>Юниорки (16.01.1999)/21</t>
  </si>
  <si>
    <t xml:space="preserve">Денискин С. </t>
  </si>
  <si>
    <t>Юсупова Роза</t>
  </si>
  <si>
    <t>Открытая (01.04.1981)/39</t>
  </si>
  <si>
    <t>55,50</t>
  </si>
  <si>
    <t xml:space="preserve">Горбачев Г. </t>
  </si>
  <si>
    <t>Бондарчук Елена</t>
  </si>
  <si>
    <t>Открытая (18.06.1980)/40</t>
  </si>
  <si>
    <t>59,60</t>
  </si>
  <si>
    <t>95,5</t>
  </si>
  <si>
    <t xml:space="preserve">Таранухин Г. </t>
  </si>
  <si>
    <t>Логвинова Надежда</t>
  </si>
  <si>
    <t>Открытая (27.07.1986)/34</t>
  </si>
  <si>
    <t xml:space="preserve">RUS/Белогорск </t>
  </si>
  <si>
    <t xml:space="preserve">Катаев Л. </t>
  </si>
  <si>
    <t>Чеснокова Мария</t>
  </si>
  <si>
    <t>Открытая (19.01.1999)/21</t>
  </si>
  <si>
    <t>59,30</t>
  </si>
  <si>
    <t>Эртман Анастасия</t>
  </si>
  <si>
    <t>Открытая (20.12.1995)/24</t>
  </si>
  <si>
    <t>64,30</t>
  </si>
  <si>
    <t xml:space="preserve">RUS/Иркутск </t>
  </si>
  <si>
    <t>110,5</t>
  </si>
  <si>
    <t>Остапенко Елена</t>
  </si>
  <si>
    <t>Открытая (21.04.1993)/27</t>
  </si>
  <si>
    <t>64,90</t>
  </si>
  <si>
    <t>50,0</t>
  </si>
  <si>
    <t xml:space="preserve">Михайлутин Н. </t>
  </si>
  <si>
    <t>Винокурова Елена</t>
  </si>
  <si>
    <t>Мастера 40-49 (11.01.1977)/43</t>
  </si>
  <si>
    <t>66,20</t>
  </si>
  <si>
    <t xml:space="preserve">Пархоменко О. </t>
  </si>
  <si>
    <t>Стародубова Дарья</t>
  </si>
  <si>
    <t>Девушки 14-16 (27.09.2004)/16</t>
  </si>
  <si>
    <t>81,30</t>
  </si>
  <si>
    <t xml:space="preserve">Кабишов С. </t>
  </si>
  <si>
    <t>Открытая (27.09.2004)/16</t>
  </si>
  <si>
    <t>Астахов Иван</t>
  </si>
  <si>
    <t>Юноши 14-16 (06.12.2004)/16</t>
  </si>
  <si>
    <t>72,50</t>
  </si>
  <si>
    <t xml:space="preserve">Крюков Е. </t>
  </si>
  <si>
    <t>Прокопенков Максим</t>
  </si>
  <si>
    <t>Юниоры (22.05.1997)/23</t>
  </si>
  <si>
    <t>73,90</t>
  </si>
  <si>
    <t xml:space="preserve">RUS/Рославль </t>
  </si>
  <si>
    <t>Качармин Дмитрий</t>
  </si>
  <si>
    <t>Открытая (09.08.1987)/33</t>
  </si>
  <si>
    <t>74,50</t>
  </si>
  <si>
    <t xml:space="preserve">Талеров А. </t>
  </si>
  <si>
    <t>Опарин Илья</t>
  </si>
  <si>
    <t>Открытая (01.01.1992)/28</t>
  </si>
  <si>
    <t>Захлестин Никита</t>
  </si>
  <si>
    <t>Юниоры (08.09.1998)/22</t>
  </si>
  <si>
    <t>76,90</t>
  </si>
  <si>
    <t>Рамазанов Ислам</t>
  </si>
  <si>
    <t>Открытая (01.05.1991)/29</t>
  </si>
  <si>
    <t>81,80</t>
  </si>
  <si>
    <t xml:space="preserve">RUS/Дербент </t>
  </si>
  <si>
    <t xml:space="preserve">Тулпаров Ш. </t>
  </si>
  <si>
    <t>Талеров Александр</t>
  </si>
  <si>
    <t>Открытая (08.06.1983)/37</t>
  </si>
  <si>
    <t>247,5</t>
  </si>
  <si>
    <t>Филиппов Андрей</t>
  </si>
  <si>
    <t>Открытая (10.06.1989)/31</t>
  </si>
  <si>
    <t>82,30</t>
  </si>
  <si>
    <t xml:space="preserve">RUS/Хвалынск </t>
  </si>
  <si>
    <t>257,5</t>
  </si>
  <si>
    <t>Сметанников Виктор</t>
  </si>
  <si>
    <t>Открытая (11.03.1986)/34</t>
  </si>
  <si>
    <t xml:space="preserve">RUS/Тюмень </t>
  </si>
  <si>
    <t xml:space="preserve">Мацько И. </t>
  </si>
  <si>
    <t>Тихомиров Константин</t>
  </si>
  <si>
    <t>Открытая (10.07.1982)/38</t>
  </si>
  <si>
    <t>80,50</t>
  </si>
  <si>
    <t xml:space="preserve">RUS/Пушкино </t>
  </si>
  <si>
    <t>227,5</t>
  </si>
  <si>
    <t>Холопов Денис</t>
  </si>
  <si>
    <t>Открытая (03.03.1983)/37</t>
  </si>
  <si>
    <t xml:space="preserve">RUS/Томск </t>
  </si>
  <si>
    <t>Ковалевский Георгий</t>
  </si>
  <si>
    <t>Юниоры (28.10.1997)/23</t>
  </si>
  <si>
    <t>86,90</t>
  </si>
  <si>
    <t xml:space="preserve">RUS/Монино </t>
  </si>
  <si>
    <t>Дыга Виталий</t>
  </si>
  <si>
    <t>Открытая (11.05.1989)/31</t>
  </si>
  <si>
    <t xml:space="preserve">RUS/Сарапул </t>
  </si>
  <si>
    <t>297,5</t>
  </si>
  <si>
    <t>Баталов Евгений</t>
  </si>
  <si>
    <t>Открытая (18.07.1993)/27</t>
  </si>
  <si>
    <t xml:space="preserve">RUS/Киселёвск </t>
  </si>
  <si>
    <t>Арбатов Григорий</t>
  </si>
  <si>
    <t>Открытая (12.02.1987)/33</t>
  </si>
  <si>
    <t>87,40</t>
  </si>
  <si>
    <t xml:space="preserve">RUS/Михайловка </t>
  </si>
  <si>
    <t>222,5</t>
  </si>
  <si>
    <t xml:space="preserve">Пантелеев В. </t>
  </si>
  <si>
    <t>Раков Иван</t>
  </si>
  <si>
    <t>Открытая (31.05.1992)/28</t>
  </si>
  <si>
    <t>89,30</t>
  </si>
  <si>
    <t>Качараев Тагир</t>
  </si>
  <si>
    <t>Открытая (30.11.1990)/30</t>
  </si>
  <si>
    <t>87,70</t>
  </si>
  <si>
    <t xml:space="preserve">Горюнов В. </t>
  </si>
  <si>
    <t>Гаджиев Муслим</t>
  </si>
  <si>
    <t>Мастера 40-49 (04.04.1974)/46</t>
  </si>
  <si>
    <t>88,00</t>
  </si>
  <si>
    <t xml:space="preserve">Исабеков У. </t>
  </si>
  <si>
    <t>Дубов Алексей</t>
  </si>
  <si>
    <t>Мастера 50-59 (18.04.1963)/57</t>
  </si>
  <si>
    <t xml:space="preserve">RUS/Самара </t>
  </si>
  <si>
    <t>97,5</t>
  </si>
  <si>
    <t xml:space="preserve">Балашов В. </t>
  </si>
  <si>
    <t>Решетников Александр</t>
  </si>
  <si>
    <t>Юниоры (22.02.1999)/21</t>
  </si>
  <si>
    <t>Крюков Евгений</t>
  </si>
  <si>
    <t>Юниоры (26.07.1999)/21</t>
  </si>
  <si>
    <t>97,50</t>
  </si>
  <si>
    <t>Киселёв Денис</t>
  </si>
  <si>
    <t>Юниоры (03.08.1997)/23</t>
  </si>
  <si>
    <t>90,50</t>
  </si>
  <si>
    <t xml:space="preserve">RUS/Усть-Катав </t>
  </si>
  <si>
    <t>Лёвкин Владимир</t>
  </si>
  <si>
    <t>Юниоры (26.10.1998)/22</t>
  </si>
  <si>
    <t>98,00</t>
  </si>
  <si>
    <t xml:space="preserve">RUS/Брянск </t>
  </si>
  <si>
    <t>Бузениус Иван</t>
  </si>
  <si>
    <t>Юниоры (04.04.1997)/23</t>
  </si>
  <si>
    <t>99,40</t>
  </si>
  <si>
    <t>Беслекоев Олег</t>
  </si>
  <si>
    <t>Открытая (29.05.1993)/27</t>
  </si>
  <si>
    <t>352,5</t>
  </si>
  <si>
    <t>Иниев Умар</t>
  </si>
  <si>
    <t xml:space="preserve">RUS/Каспийск </t>
  </si>
  <si>
    <t>322,5</t>
  </si>
  <si>
    <t xml:space="preserve">Гаджиев М. </t>
  </si>
  <si>
    <t>Мацуев Магомед</t>
  </si>
  <si>
    <t>Открытая (27.01.1988)/32</t>
  </si>
  <si>
    <t>Сатин Артём</t>
  </si>
  <si>
    <t>Открытая (10.03.1990)/30</t>
  </si>
  <si>
    <t>99,70</t>
  </si>
  <si>
    <t xml:space="preserve">Амазян Д. </t>
  </si>
  <si>
    <t>Михайлов Дмитрий</t>
  </si>
  <si>
    <t>Открытая (23.05.1984)/36</t>
  </si>
  <si>
    <t xml:space="preserve">Тимофеев Д. </t>
  </si>
  <si>
    <t>Кириндясов Андрей</t>
  </si>
  <si>
    <t>Открытая (20.03.1988)/32</t>
  </si>
  <si>
    <t>94,80</t>
  </si>
  <si>
    <t xml:space="preserve">Давтян А. </t>
  </si>
  <si>
    <t>Денискин Сергей</t>
  </si>
  <si>
    <t>Открытая (28.08.1995)/25</t>
  </si>
  <si>
    <t xml:space="preserve">RUS/Люберцы </t>
  </si>
  <si>
    <t>Дырда Евгений</t>
  </si>
  <si>
    <t>Открытая (07.09.1980)/40</t>
  </si>
  <si>
    <t xml:space="preserve">UKR/Кременчуг </t>
  </si>
  <si>
    <t>Швецов Анатолий</t>
  </si>
  <si>
    <t>Открытая (14.09.1985)/35</t>
  </si>
  <si>
    <t>97,20</t>
  </si>
  <si>
    <t xml:space="preserve">RUS/Балашиха </t>
  </si>
  <si>
    <t>147,0</t>
  </si>
  <si>
    <t>Гулевский Александр</t>
  </si>
  <si>
    <t>Открытая (25.05.1987)/33</t>
  </si>
  <si>
    <t>94,70</t>
  </si>
  <si>
    <t xml:space="preserve">RUS/Мурманск </t>
  </si>
  <si>
    <t>Беляев Михаил</t>
  </si>
  <si>
    <t>Открытая (24.09.1988)/32</t>
  </si>
  <si>
    <t>97,60</t>
  </si>
  <si>
    <t>Порывакин Сергей</t>
  </si>
  <si>
    <t>Мастера 40-49 (10.05.1973)/47</t>
  </si>
  <si>
    <t>99,00</t>
  </si>
  <si>
    <t>Махров Сергей</t>
  </si>
  <si>
    <t>Мастера 60-69 (17.02.1957)/63</t>
  </si>
  <si>
    <t>93,10</t>
  </si>
  <si>
    <t xml:space="preserve">RUS/Пенза </t>
  </si>
  <si>
    <t>Загороднюк Иван</t>
  </si>
  <si>
    <t>Юниоры (02.05.1997)/23</t>
  </si>
  <si>
    <t>109,10</t>
  </si>
  <si>
    <t>Коваленко Кирилл</t>
  </si>
  <si>
    <t>Открытая (11.05.1992)/28</t>
  </si>
  <si>
    <t>109,50</t>
  </si>
  <si>
    <t>217,5</t>
  </si>
  <si>
    <t xml:space="preserve">Зверев Р. </t>
  </si>
  <si>
    <t>Пезиков Иван</t>
  </si>
  <si>
    <t>Открытая (24.04.1994)/26</t>
  </si>
  <si>
    <t>109,60</t>
  </si>
  <si>
    <t xml:space="preserve">RUS/Подольск </t>
  </si>
  <si>
    <t>Самсонов Юрий</t>
  </si>
  <si>
    <t>Открытая (24.08.1982)/38</t>
  </si>
  <si>
    <t>109,00</t>
  </si>
  <si>
    <t xml:space="preserve">Кочетков А. </t>
  </si>
  <si>
    <t>Жданов Роман</t>
  </si>
  <si>
    <t>Открытая (22.07.1983)/37</t>
  </si>
  <si>
    <t>108,40</t>
  </si>
  <si>
    <t>Иригов Аскер</t>
  </si>
  <si>
    <t>Открытая (07.06.1989)/31</t>
  </si>
  <si>
    <t xml:space="preserve">Карданов А. </t>
  </si>
  <si>
    <t>Захаров Федор</t>
  </si>
  <si>
    <t>Мастера 40-49 (14.01.1976)/44</t>
  </si>
  <si>
    <t>103,30</t>
  </si>
  <si>
    <t xml:space="preserve">RUS/Набережные Челны </t>
  </si>
  <si>
    <t>Дерыш Алексей</t>
  </si>
  <si>
    <t>Мастера 40-49 (27.03.1975)/45</t>
  </si>
  <si>
    <t>106,00</t>
  </si>
  <si>
    <t xml:space="preserve">Иноземцев С. </t>
  </si>
  <si>
    <t>Пысь Дмитрий</t>
  </si>
  <si>
    <t>Открытая (04.05.1986)/34</t>
  </si>
  <si>
    <t>123,10</t>
  </si>
  <si>
    <t xml:space="preserve">RUS/Геленджик </t>
  </si>
  <si>
    <t>Степанов Игорь</t>
  </si>
  <si>
    <t>Открытая (09.04.1989)/31</t>
  </si>
  <si>
    <t>121,10</t>
  </si>
  <si>
    <t>Шаров Александр</t>
  </si>
  <si>
    <t>Открытая (03.09.1983)/37</t>
  </si>
  <si>
    <t>111,70</t>
  </si>
  <si>
    <t xml:space="preserve">RUS/Кострома </t>
  </si>
  <si>
    <t>Грикин Илья</t>
  </si>
  <si>
    <t>Открытая (08.04.1992)/28</t>
  </si>
  <si>
    <t>118,40</t>
  </si>
  <si>
    <t>Горев Олег</t>
  </si>
  <si>
    <t>Открытая (31.03.1988)/32</t>
  </si>
  <si>
    <t xml:space="preserve">RUS/Ишим </t>
  </si>
  <si>
    <t>Панкратов Андрей</t>
  </si>
  <si>
    <t>Мастера 40-49 (30.04.1978)/42</t>
  </si>
  <si>
    <t>121,00</t>
  </si>
  <si>
    <t>Белоглазов Иван</t>
  </si>
  <si>
    <t>Открытая (13.11.1985)/35</t>
  </si>
  <si>
    <t>127,30</t>
  </si>
  <si>
    <t xml:space="preserve">RUS/Саранск </t>
  </si>
  <si>
    <t>Голубев Егор</t>
  </si>
  <si>
    <t>Мастера 40-49 (23.08.1974)/46</t>
  </si>
  <si>
    <t>133,70</t>
  </si>
  <si>
    <t>450,0</t>
  </si>
  <si>
    <t>408,1500</t>
  </si>
  <si>
    <t>470,0</t>
  </si>
  <si>
    <t>497,0720</t>
  </si>
  <si>
    <t>408,0</t>
  </si>
  <si>
    <t>457,2456</t>
  </si>
  <si>
    <t>920,0</t>
  </si>
  <si>
    <t>525,9640</t>
  </si>
  <si>
    <t>877,5</t>
  </si>
  <si>
    <t>517,1107</t>
  </si>
  <si>
    <t>847,5</t>
  </si>
  <si>
    <t>515,7885</t>
  </si>
  <si>
    <t>140</t>
  </si>
  <si>
    <t xml:space="preserve">Мастера 60-69 </t>
  </si>
  <si>
    <t>9</t>
  </si>
  <si>
    <t>10</t>
  </si>
  <si>
    <t>ВЕСОВАЯ КАТЕГОРИЯ   44</t>
  </si>
  <si>
    <t>Заппарова Айгуль</t>
  </si>
  <si>
    <t>Юниорки (20.09.1997)/23</t>
  </si>
  <si>
    <t>42,50</t>
  </si>
  <si>
    <t>87,5</t>
  </si>
  <si>
    <t xml:space="preserve">Якубов Э. </t>
  </si>
  <si>
    <t>Шуляк Ирина</t>
  </si>
  <si>
    <t>Открытая (24.03.1988)/32</t>
  </si>
  <si>
    <t>43,60</t>
  </si>
  <si>
    <t xml:space="preserve">RUS/Партизанск </t>
  </si>
  <si>
    <t xml:space="preserve">Шуляк И. </t>
  </si>
  <si>
    <t>ВЕСОВАЯ КАТЕГОРИЯ   48</t>
  </si>
  <si>
    <t>Горина Екатерина</t>
  </si>
  <si>
    <t>Девушки 17-19 (06.08.2001)/19</t>
  </si>
  <si>
    <t>45,30</t>
  </si>
  <si>
    <t>77,5</t>
  </si>
  <si>
    <t>40,0</t>
  </si>
  <si>
    <t>Матвеева Анастасия</t>
  </si>
  <si>
    <t>Юниорки (17.12.1997)/23</t>
  </si>
  <si>
    <t>46,70</t>
  </si>
  <si>
    <t xml:space="preserve">RUS/Кольчугино </t>
  </si>
  <si>
    <t xml:space="preserve">Лебедев А. </t>
  </si>
  <si>
    <t>Дегтярева Юлия</t>
  </si>
  <si>
    <t>Открытая (08.09.1990)/30</t>
  </si>
  <si>
    <t>47,50</t>
  </si>
  <si>
    <t xml:space="preserve">RUS/Фряново </t>
  </si>
  <si>
    <t xml:space="preserve">Сакович О. </t>
  </si>
  <si>
    <t>Полякова Наталья</t>
  </si>
  <si>
    <t>Открытая (18.07.1982)/38</t>
  </si>
  <si>
    <t>46,30</t>
  </si>
  <si>
    <t xml:space="preserve">Павлов Д. </t>
  </si>
  <si>
    <t>Кочеткова Елена</t>
  </si>
  <si>
    <t>Открытая (20.10.1991)/29</t>
  </si>
  <si>
    <t>45,40</t>
  </si>
  <si>
    <t xml:space="preserve">RUS/Тейково </t>
  </si>
  <si>
    <t>Мажула Елена</t>
  </si>
  <si>
    <t>Юниорки (11.04.1997)/23</t>
  </si>
  <si>
    <t>51,60</t>
  </si>
  <si>
    <t xml:space="preserve">Моргулец Д. </t>
  </si>
  <si>
    <t>Балякина Евгения</t>
  </si>
  <si>
    <t>Открытая (15.12.1990)/30</t>
  </si>
  <si>
    <t>Герман Юлия</t>
  </si>
  <si>
    <t>Открытая (28.12.1992)/27</t>
  </si>
  <si>
    <t>51,80</t>
  </si>
  <si>
    <t xml:space="preserve">RUS/Смоленск </t>
  </si>
  <si>
    <t xml:space="preserve">Воробьев М. </t>
  </si>
  <si>
    <t>Поносова Юлия</t>
  </si>
  <si>
    <t>Открытая (08.08.1986)/34</t>
  </si>
  <si>
    <t>51,10</t>
  </si>
  <si>
    <t>Косова Наталья</t>
  </si>
  <si>
    <t>Открытая (18.03.1987)/33</t>
  </si>
  <si>
    <t>50,00</t>
  </si>
  <si>
    <t xml:space="preserve">Друкер В. </t>
  </si>
  <si>
    <t>Кулыгина Людмила</t>
  </si>
  <si>
    <t>Открытая (25.02.1987)/33</t>
  </si>
  <si>
    <t>50,90</t>
  </si>
  <si>
    <t xml:space="preserve">Малолетнев И. </t>
  </si>
  <si>
    <t>Бурова Злата</t>
  </si>
  <si>
    <t>Открытая (13.12.1994)/26</t>
  </si>
  <si>
    <t xml:space="preserve">RUS/Кулебаки </t>
  </si>
  <si>
    <t xml:space="preserve">Буров В. </t>
  </si>
  <si>
    <t>Следь Анастасия</t>
  </si>
  <si>
    <t>Открытая (05.08.1985)/35</t>
  </si>
  <si>
    <t>Землянская Анна</t>
  </si>
  <si>
    <t>Открытая (10.03.1981)/39</t>
  </si>
  <si>
    <t>55,70</t>
  </si>
  <si>
    <t xml:space="preserve">UKR/Горловка </t>
  </si>
  <si>
    <t xml:space="preserve">Шалоха А. </t>
  </si>
  <si>
    <t>Громова Марина</t>
  </si>
  <si>
    <t>Открытая (17.11.1994)/26</t>
  </si>
  <si>
    <t>55,00</t>
  </si>
  <si>
    <t>Колесникова Ольга</t>
  </si>
  <si>
    <t>Открытая (13.09.1994)/26</t>
  </si>
  <si>
    <t>54,40</t>
  </si>
  <si>
    <t xml:space="preserve">Белкин Ю. </t>
  </si>
  <si>
    <t>Щукина Виктория</t>
  </si>
  <si>
    <t>Открытая (28.12.1987)/32</t>
  </si>
  <si>
    <t xml:space="preserve">RUS/Керчь </t>
  </si>
  <si>
    <t xml:space="preserve">Ярилин И. </t>
  </si>
  <si>
    <t>Щеткова Ольга</t>
  </si>
  <si>
    <t>Открытая (30.09.1993)/27</t>
  </si>
  <si>
    <t>Стрельникова Екатерина</t>
  </si>
  <si>
    <t>Открытая (26.02.1987)/33</t>
  </si>
  <si>
    <t xml:space="preserve">RUS/Мичуринск </t>
  </si>
  <si>
    <t xml:space="preserve">Боломожнов М. </t>
  </si>
  <si>
    <t>Ушкова Валерия</t>
  </si>
  <si>
    <t>Открытая (07.10.1992)/28</t>
  </si>
  <si>
    <t>Афанасьева Ангелина</t>
  </si>
  <si>
    <t>Юниорки (19.11.2000)/20</t>
  </si>
  <si>
    <t>63,00</t>
  </si>
  <si>
    <t>107,5</t>
  </si>
  <si>
    <t xml:space="preserve">Борисов А. </t>
  </si>
  <si>
    <t>Никонова Екатерина</t>
  </si>
  <si>
    <t>Открытая (15.09.1984)/36</t>
  </si>
  <si>
    <t>64,20</t>
  </si>
  <si>
    <t xml:space="preserve">Гетманчук А. </t>
  </si>
  <si>
    <t>Крупская Екатерина</t>
  </si>
  <si>
    <t>Открытая (20.02.1999)/21</t>
  </si>
  <si>
    <t>Трофимчук Ирина</t>
  </si>
  <si>
    <t>Открытая (15.03.1988)/32</t>
  </si>
  <si>
    <t>Зудина Светлана</t>
  </si>
  <si>
    <t>64,80</t>
  </si>
  <si>
    <t xml:space="preserve">RUS/Тула </t>
  </si>
  <si>
    <t>Исакова Анна</t>
  </si>
  <si>
    <t>Открытая (01.06.1985)/35</t>
  </si>
  <si>
    <t>61,00</t>
  </si>
  <si>
    <t xml:space="preserve">RUS/Екатеринбург </t>
  </si>
  <si>
    <t>Харина Валентина</t>
  </si>
  <si>
    <t>Открытая (24.12.1977)/42</t>
  </si>
  <si>
    <t>65,00</t>
  </si>
  <si>
    <t xml:space="preserve">Прокопов М. </t>
  </si>
  <si>
    <t>Сайфулина Наталья</t>
  </si>
  <si>
    <t>Открытая (14.01.1982)/38</t>
  </si>
  <si>
    <t>70,70</t>
  </si>
  <si>
    <t xml:space="preserve">RUS/Норильск </t>
  </si>
  <si>
    <t xml:space="preserve">Сайфулин А. </t>
  </si>
  <si>
    <t>Чухланцева Анастасия</t>
  </si>
  <si>
    <t>Открытая (26.05.1995)/25</t>
  </si>
  <si>
    <t>Стрелова Дарья</t>
  </si>
  <si>
    <t>71,90</t>
  </si>
  <si>
    <t xml:space="preserve">Попов В. </t>
  </si>
  <si>
    <t>Медведева Алина</t>
  </si>
  <si>
    <t>Открытая (08.07.1996)/24</t>
  </si>
  <si>
    <t>69,60</t>
  </si>
  <si>
    <t>Фролова Дарья</t>
  </si>
  <si>
    <t>Открытая (21.06.1999)/21</t>
  </si>
  <si>
    <t>79,00</t>
  </si>
  <si>
    <t xml:space="preserve">Чеснокова М. </t>
  </si>
  <si>
    <t>Курдюкова Екатерина</t>
  </si>
  <si>
    <t>Открытая (07.10.1981)/39</t>
  </si>
  <si>
    <t xml:space="preserve">Туляков Н. </t>
  </si>
  <si>
    <t>Шахпазов Расим</t>
  </si>
  <si>
    <t>Открытая (10.10.1991)/29</t>
  </si>
  <si>
    <t>55,80</t>
  </si>
  <si>
    <t>Филин Максим</t>
  </si>
  <si>
    <t>Открытая (20.04.1985)/35</t>
  </si>
  <si>
    <t>Демин Данил</t>
  </si>
  <si>
    <t>Юноши 14-16 (29.08.2004)/16</t>
  </si>
  <si>
    <t>65,10</t>
  </si>
  <si>
    <t xml:space="preserve">Тхамитлоков К. </t>
  </si>
  <si>
    <t>Филипчук Иван</t>
  </si>
  <si>
    <t>Юноши 17-19 (25.03.2003)/17</t>
  </si>
  <si>
    <t>66,70</t>
  </si>
  <si>
    <t>Гончаров Максим</t>
  </si>
  <si>
    <t>Юноши 17-19 (01.04.2001)/19</t>
  </si>
  <si>
    <t>66,60</t>
  </si>
  <si>
    <t>Рек Александр</t>
  </si>
  <si>
    <t>Открытая (13.07.1987)/33</t>
  </si>
  <si>
    <t>66,50</t>
  </si>
  <si>
    <t>Эльсайед Махмуд</t>
  </si>
  <si>
    <t>Открытая (28.06.1992)/28</t>
  </si>
  <si>
    <t>261,0</t>
  </si>
  <si>
    <t>Открытая (29.08.2004)/16</t>
  </si>
  <si>
    <t>Шарафиев Наиль</t>
  </si>
  <si>
    <t>Открытая (27.08.1984)/36</t>
  </si>
  <si>
    <t>Открытая (01.04.2001)/19</t>
  </si>
  <si>
    <t>Камышный Матвей</t>
  </si>
  <si>
    <t>Юноши 14-16 (26.01.2005)/15</t>
  </si>
  <si>
    <t xml:space="preserve">RUS/Новомосковск </t>
  </si>
  <si>
    <t>Корпляков Владислав</t>
  </si>
  <si>
    <t>Юноши 17-19 (25.09.2002)/18</t>
  </si>
  <si>
    <t>Karimov Mirtahib</t>
  </si>
  <si>
    <t>Юниоры (03.07.2000)/20</t>
  </si>
  <si>
    <t xml:space="preserve">AZE/Баку </t>
  </si>
  <si>
    <t xml:space="preserve">Quliyev N. </t>
  </si>
  <si>
    <t>Жеронкин Егор</t>
  </si>
  <si>
    <t>Юниоры (15.08.1998)/22</t>
  </si>
  <si>
    <t>73,70</t>
  </si>
  <si>
    <t xml:space="preserve">RUS/Сыктывкар </t>
  </si>
  <si>
    <t xml:space="preserve">Дурнов Р. </t>
  </si>
  <si>
    <t>Плескач Дмитрий</t>
  </si>
  <si>
    <t>Открытая (31.07.1988)/32</t>
  </si>
  <si>
    <t>74,30</t>
  </si>
  <si>
    <t xml:space="preserve">BLR/Могилев </t>
  </si>
  <si>
    <t>Лебедиков Евгений</t>
  </si>
  <si>
    <t>Открытая (19.12.1992)/27</t>
  </si>
  <si>
    <t>74,20</t>
  </si>
  <si>
    <t>Карпов Евгений</t>
  </si>
  <si>
    <t>Мастера 40-49 (26.10.1979)/41</t>
  </si>
  <si>
    <t>143,0</t>
  </si>
  <si>
    <t>Крюков Сергей</t>
  </si>
  <si>
    <t>Мастера 40-49 (30.07.1980)/40</t>
  </si>
  <si>
    <t xml:space="preserve">Бондарев П. </t>
  </si>
  <si>
    <t>Zhakin Vladimir</t>
  </si>
  <si>
    <t>Мастера 60-69 (15.09.1952)/68</t>
  </si>
  <si>
    <t>90,5</t>
  </si>
  <si>
    <t>Сухов Кирилл</t>
  </si>
  <si>
    <t>Юноши 14-16 (02.03.2005)/15</t>
  </si>
  <si>
    <t xml:space="preserve">RUS/Рошаль </t>
  </si>
  <si>
    <t xml:space="preserve">Мазуркевич М. </t>
  </si>
  <si>
    <t>Гимранов Дмитрий</t>
  </si>
  <si>
    <t>Юноши 17-19 (06.06.2001)/19</t>
  </si>
  <si>
    <t>80,80</t>
  </si>
  <si>
    <t xml:space="preserve">RUS/Правдинский </t>
  </si>
  <si>
    <t xml:space="preserve">Иванов В. </t>
  </si>
  <si>
    <t>Тимофеев Артем</t>
  </si>
  <si>
    <t>Юноши 17-19 (29.07.2003)/17</t>
  </si>
  <si>
    <t>Конышев Владислав</t>
  </si>
  <si>
    <t>Юниоры (07.05.1999)/21</t>
  </si>
  <si>
    <t>Иванов Денис</t>
  </si>
  <si>
    <t>Открытая (27.06.1980)/40</t>
  </si>
  <si>
    <t>Пашков Игорь</t>
  </si>
  <si>
    <t>Открытая (10.06.1986)/34</t>
  </si>
  <si>
    <t>81,60</t>
  </si>
  <si>
    <t xml:space="preserve">RUS/Иваново </t>
  </si>
  <si>
    <t>262,5</t>
  </si>
  <si>
    <t>Донников Юрий</t>
  </si>
  <si>
    <t>Открытая (01.12.1983)/37</t>
  </si>
  <si>
    <t xml:space="preserve">RUS/Железнодорожный </t>
  </si>
  <si>
    <t xml:space="preserve">Пустовой Р. </t>
  </si>
  <si>
    <t>Илюшин Евгений</t>
  </si>
  <si>
    <t>Открытая (21.09.1987)/33</t>
  </si>
  <si>
    <t xml:space="preserve">Суриков Д. </t>
  </si>
  <si>
    <t>Кобзев Кирилл</t>
  </si>
  <si>
    <t>Открытая (02.06.1990)/30</t>
  </si>
  <si>
    <t xml:space="preserve">Бебенин Г. </t>
  </si>
  <si>
    <t>Ермишин Сергей</t>
  </si>
  <si>
    <t>Открытая (03.02.1985)/35</t>
  </si>
  <si>
    <t xml:space="preserve">Мишка В. </t>
  </si>
  <si>
    <t>Лихачев Борис</t>
  </si>
  <si>
    <t>Открытая (19.12.1987)/32</t>
  </si>
  <si>
    <t xml:space="preserve">RUS/Сергиев Посад </t>
  </si>
  <si>
    <t xml:space="preserve">Смирнов Д. </t>
  </si>
  <si>
    <t>Мастера 40-49 (27.06.1980)/40</t>
  </si>
  <si>
    <t>Герасименко Олег</t>
  </si>
  <si>
    <t>Мастера 40-49 (20.11.1975)/45</t>
  </si>
  <si>
    <t>Фролов Ярослав</t>
  </si>
  <si>
    <t>Юноши 14-16 (17.12.2004)/16</t>
  </si>
  <si>
    <t>82,90</t>
  </si>
  <si>
    <t xml:space="preserve">Малов В. </t>
  </si>
  <si>
    <t>Березгов Ибрагим</t>
  </si>
  <si>
    <t>Юноши 17-19 (13.04.2001)/19</t>
  </si>
  <si>
    <t>Владимиров Евгений</t>
  </si>
  <si>
    <t>Открытая (22.08.1964)/56</t>
  </si>
  <si>
    <t xml:space="preserve">RUS/Черноголовка </t>
  </si>
  <si>
    <t xml:space="preserve">Серегин К. </t>
  </si>
  <si>
    <t>Воробьев Николай</t>
  </si>
  <si>
    <t>Открытая (07.08.1984)/36</t>
  </si>
  <si>
    <t xml:space="preserve">RUS/Бор </t>
  </si>
  <si>
    <t>Елсаков Константин</t>
  </si>
  <si>
    <t>Открытая (26.05.1990)/30</t>
  </si>
  <si>
    <t>85,30</t>
  </si>
  <si>
    <t xml:space="preserve">RUS/Нахабино </t>
  </si>
  <si>
    <t>Сосновский Никита</t>
  </si>
  <si>
    <t>Открытая (15.12.1987)/33</t>
  </si>
  <si>
    <t>89,50</t>
  </si>
  <si>
    <t xml:space="preserve">Нурутдинов М. </t>
  </si>
  <si>
    <t>Михайлутин Николай</t>
  </si>
  <si>
    <t>Открытая (08.03.1988)/32</t>
  </si>
  <si>
    <t>86,00</t>
  </si>
  <si>
    <t>Степанов Кирилл</t>
  </si>
  <si>
    <t>Открытая (16.06.1998)/22</t>
  </si>
  <si>
    <t>85,10</t>
  </si>
  <si>
    <t xml:space="preserve">Исаев А. </t>
  </si>
  <si>
    <t>Стрешный Иван</t>
  </si>
  <si>
    <t>Открытая (01.06.1984)/36</t>
  </si>
  <si>
    <t>87,50</t>
  </si>
  <si>
    <t>Саврыга Игорь</t>
  </si>
  <si>
    <t>Открытая (20.07.1994)/26</t>
  </si>
  <si>
    <t xml:space="preserve">Юрий Б. </t>
  </si>
  <si>
    <t>Коннов Николай</t>
  </si>
  <si>
    <t>Мастера 40-49 (18.06.1980)/40</t>
  </si>
  <si>
    <t xml:space="preserve">Тимохин А. </t>
  </si>
  <si>
    <t>Зуев Алексей</t>
  </si>
  <si>
    <t>Мастера 40-49 (16.04.1980)/40</t>
  </si>
  <si>
    <t>88,60</t>
  </si>
  <si>
    <t>Мастера 50-59 (22.08.1964)/56</t>
  </si>
  <si>
    <t>Сердюк Илья</t>
  </si>
  <si>
    <t>Открытая (20.11.1995)/25</t>
  </si>
  <si>
    <t>99,10</t>
  </si>
  <si>
    <t>Алферьев Алексей</t>
  </si>
  <si>
    <t>Открытая (30.07.1991)/29</t>
  </si>
  <si>
    <t>Донской Антон</t>
  </si>
  <si>
    <t>Открытая (21.10.1992)/28</t>
  </si>
  <si>
    <t>Клопов Артем</t>
  </si>
  <si>
    <t>Открытая (11.10.1990)/30</t>
  </si>
  <si>
    <t>99,20</t>
  </si>
  <si>
    <t>Коньков Андрей</t>
  </si>
  <si>
    <t>Мастера 40-49 (26.07.1980)/40</t>
  </si>
  <si>
    <t>98,10</t>
  </si>
  <si>
    <t xml:space="preserve">RUS/Раменское </t>
  </si>
  <si>
    <t xml:space="preserve">Косенкова О. </t>
  </si>
  <si>
    <t>Шкель Алексей</t>
  </si>
  <si>
    <t>Мастера 40-49 (07.09.1977)/43</t>
  </si>
  <si>
    <t>Гарипов Роман</t>
  </si>
  <si>
    <t>Мастера 40-49 (04.11.1976)/44</t>
  </si>
  <si>
    <t>94,00</t>
  </si>
  <si>
    <t xml:space="preserve">Свентицкий С. </t>
  </si>
  <si>
    <t>Макаров Владимир</t>
  </si>
  <si>
    <t>Мастера 70-79 (25.07.1946)/74</t>
  </si>
  <si>
    <t>96,60</t>
  </si>
  <si>
    <t xml:space="preserve">RUS/Собинка </t>
  </si>
  <si>
    <t>Вороков Султан</t>
  </si>
  <si>
    <t>Юниоры (23.03.1997)/23</t>
  </si>
  <si>
    <t>102,00</t>
  </si>
  <si>
    <t xml:space="preserve">Хашаков М. </t>
  </si>
  <si>
    <t>Омаров Закир</t>
  </si>
  <si>
    <t>Юниоры (31.07.1998)/22</t>
  </si>
  <si>
    <t xml:space="preserve">Омаров А. </t>
  </si>
  <si>
    <t>Серегин Константин</t>
  </si>
  <si>
    <t>Мастера 40-49 (19.01.1978)/42</t>
  </si>
  <si>
    <t>104,20</t>
  </si>
  <si>
    <t xml:space="preserve">RUS/Ногинск </t>
  </si>
  <si>
    <t xml:space="preserve">Владимиров Е. </t>
  </si>
  <si>
    <t>Масленников Дмитрий</t>
  </si>
  <si>
    <t>Юниоры (29.11.2000)/20</t>
  </si>
  <si>
    <t>113,10</t>
  </si>
  <si>
    <t xml:space="preserve">RUS/Арамиль </t>
  </si>
  <si>
    <t>Зариньш Жанис</t>
  </si>
  <si>
    <t>Юниоры (15.11.1999)/21</t>
  </si>
  <si>
    <t>122,50</t>
  </si>
  <si>
    <t>Шуров Антон</t>
  </si>
  <si>
    <t>Юниоры (01.06.2000)/20</t>
  </si>
  <si>
    <t>132,60</t>
  </si>
  <si>
    <t xml:space="preserve">Луговой А. </t>
  </si>
  <si>
    <t>Попов Артем</t>
  </si>
  <si>
    <t>Открытая (24.07.1988)/32</t>
  </si>
  <si>
    <t>140,50</t>
  </si>
  <si>
    <t>48</t>
  </si>
  <si>
    <t>380,0</t>
  </si>
  <si>
    <t>450,2620</t>
  </si>
  <si>
    <t>332,5</t>
  </si>
  <si>
    <t>443,7545</t>
  </si>
  <si>
    <t>392,5</t>
  </si>
  <si>
    <t>415,5790</t>
  </si>
  <si>
    <t>550,0</t>
  </si>
  <si>
    <t>373,1750</t>
  </si>
  <si>
    <t>547,5</t>
  </si>
  <si>
    <t>368,1390</t>
  </si>
  <si>
    <t>354,2175</t>
  </si>
  <si>
    <t>757,5</t>
  </si>
  <si>
    <t>442,1528</t>
  </si>
  <si>
    <t>710,0</t>
  </si>
  <si>
    <t>400,1560</t>
  </si>
  <si>
    <t>520,0</t>
  </si>
  <si>
    <t>377,7280</t>
  </si>
  <si>
    <t>687,5</t>
  </si>
  <si>
    <t>440,6875</t>
  </si>
  <si>
    <t>419,8550</t>
  </si>
  <si>
    <t>582,5</t>
  </si>
  <si>
    <t>417,8272</t>
  </si>
  <si>
    <t>560,9952</t>
  </si>
  <si>
    <t xml:space="preserve">Мастера 70-79 </t>
  </si>
  <si>
    <t>387,5</t>
  </si>
  <si>
    <t>444,9910</t>
  </si>
  <si>
    <t>605,0</t>
  </si>
  <si>
    <t>411,4000</t>
  </si>
  <si>
    <t>Свобода Евгений</t>
  </si>
  <si>
    <t>Открытая (23.03.1972)/48</t>
  </si>
  <si>
    <t>95,30</t>
  </si>
  <si>
    <t xml:space="preserve">Ниязиев Э. </t>
  </si>
  <si>
    <t>Мастера 40-49 (23.03.1972)/48</t>
  </si>
  <si>
    <t>Гунаева Екатерина</t>
  </si>
  <si>
    <t>Мастера 40-49 (18.02.1979)/41</t>
  </si>
  <si>
    <t xml:space="preserve">Козырев О. </t>
  </si>
  <si>
    <t>Тографулина Татьяна</t>
  </si>
  <si>
    <t>Девушки 17-19 (30.08.2001)/19</t>
  </si>
  <si>
    <t>65,80</t>
  </si>
  <si>
    <t xml:space="preserve">RUS/Клин </t>
  </si>
  <si>
    <t xml:space="preserve">Хан Д. </t>
  </si>
  <si>
    <t>Лазуренко Ольга</t>
  </si>
  <si>
    <t>Открытая (05.09.1971)/49</t>
  </si>
  <si>
    <t>66,30</t>
  </si>
  <si>
    <t xml:space="preserve">RUS/Воронеж </t>
  </si>
  <si>
    <t>Дорофеева Елена</t>
  </si>
  <si>
    <t>Открытая (03.12.1981)/39</t>
  </si>
  <si>
    <t>77,20</t>
  </si>
  <si>
    <t xml:space="preserve">RUS/Лосино-Петровский </t>
  </si>
  <si>
    <t xml:space="preserve">Рассказов Г. </t>
  </si>
  <si>
    <t>Антропов Александр</t>
  </si>
  <si>
    <t>Открытая (14.03.1969)/51</t>
  </si>
  <si>
    <t xml:space="preserve">RUS/Всеволожск </t>
  </si>
  <si>
    <t xml:space="preserve">Фомичев К. </t>
  </si>
  <si>
    <t>Греков Максим</t>
  </si>
  <si>
    <t>Открытая (09.09.1985)/35</t>
  </si>
  <si>
    <t>80,20</t>
  </si>
  <si>
    <t xml:space="preserve">RUS/Тамбов </t>
  </si>
  <si>
    <t>Суший Илья</t>
  </si>
  <si>
    <t>Открытая (20.08.1984)/36</t>
  </si>
  <si>
    <t xml:space="preserve">RUS/Северск </t>
  </si>
  <si>
    <t>Тукаев Антон</t>
  </si>
  <si>
    <t>Открытая (03.07.1990)/30</t>
  </si>
  <si>
    <t>Матвеев Александр</t>
  </si>
  <si>
    <t>Мастера 40-49 (14.03.1974)/46</t>
  </si>
  <si>
    <t xml:space="preserve">Жинкин В. </t>
  </si>
  <si>
    <t>Соловьев-Новиков Алексей</t>
  </si>
  <si>
    <t>Мастера 50-59 (08.07.1969)/51</t>
  </si>
  <si>
    <t>80,60</t>
  </si>
  <si>
    <t>Илюшин Руслан</t>
  </si>
  <si>
    <t>Открытая (25.02.1991)/29</t>
  </si>
  <si>
    <t>88,50</t>
  </si>
  <si>
    <t xml:space="preserve">RUS/Орехово-Зуево </t>
  </si>
  <si>
    <t>293,0</t>
  </si>
  <si>
    <t xml:space="preserve">Ушков И. </t>
  </si>
  <si>
    <t>Силушин Павел</t>
  </si>
  <si>
    <t>Открытая (17.09.1989)/31</t>
  </si>
  <si>
    <t>84,30</t>
  </si>
  <si>
    <t xml:space="preserve">Силушин А. </t>
  </si>
  <si>
    <t>Шейкин Алексей</t>
  </si>
  <si>
    <t>89,60</t>
  </si>
  <si>
    <t xml:space="preserve">BLR/Бобруйск </t>
  </si>
  <si>
    <t>Корольков Алексей</t>
  </si>
  <si>
    <t>Открытая (02.04.1990)/30</t>
  </si>
  <si>
    <t xml:space="preserve">Пасечник К. </t>
  </si>
  <si>
    <t>Свидин Андрей</t>
  </si>
  <si>
    <t>Мастера 40-49 (01.02.1980)/40</t>
  </si>
  <si>
    <t>89,70</t>
  </si>
  <si>
    <t xml:space="preserve">RUS/Краснодар </t>
  </si>
  <si>
    <t>Якуш Сергей</t>
  </si>
  <si>
    <t>Открытая (10.03.1995)/25</t>
  </si>
  <si>
    <t>93,40</t>
  </si>
  <si>
    <t xml:space="preserve">RUS/Арсеньев </t>
  </si>
  <si>
    <t xml:space="preserve">Телидис К. </t>
  </si>
  <si>
    <t>Горбачевский Виктор</t>
  </si>
  <si>
    <t>Мастера 50-59 (28.04.1969)/51</t>
  </si>
  <si>
    <t>99,30</t>
  </si>
  <si>
    <t xml:space="preserve">Варава И. </t>
  </si>
  <si>
    <t>Решетов Николай</t>
  </si>
  <si>
    <t>Мастера 60-69 (23.02.1959)/61</t>
  </si>
  <si>
    <t xml:space="preserve">RUS/Волжский </t>
  </si>
  <si>
    <t xml:space="preserve">Козырев О.в. </t>
  </si>
  <si>
    <t>Стасюк Артем</t>
  </si>
  <si>
    <t>Открытая (30.05.1993)/27</t>
  </si>
  <si>
    <t>102,60</t>
  </si>
  <si>
    <t xml:space="preserve">RUS/Севастополь </t>
  </si>
  <si>
    <t xml:space="preserve">Горбунов Вячеслав </t>
  </si>
  <si>
    <t>Плотников Алексей</t>
  </si>
  <si>
    <t>Открытая (16.06.1975)/45</t>
  </si>
  <si>
    <t>Терлецкий Матвей</t>
  </si>
  <si>
    <t>Открытая (22.04.1992)/28</t>
  </si>
  <si>
    <t>106,40</t>
  </si>
  <si>
    <t xml:space="preserve">Потапов А. </t>
  </si>
  <si>
    <t>Пузырев Денис</t>
  </si>
  <si>
    <t>Открытая (31.03.1974)/46</t>
  </si>
  <si>
    <t>107,00</t>
  </si>
  <si>
    <t xml:space="preserve">Грудев А. </t>
  </si>
  <si>
    <t>Мастера 40-49 (16.06.1975)/45</t>
  </si>
  <si>
    <t>Самитов Александр</t>
  </si>
  <si>
    <t>Мастера 40-49 (30.04.1975)/45</t>
  </si>
  <si>
    <t>107,40</t>
  </si>
  <si>
    <t xml:space="preserve">RUS/Талдом </t>
  </si>
  <si>
    <t>Мастера 40-49 (31.03.1974)/46</t>
  </si>
  <si>
    <t>Куротченко Игорь</t>
  </si>
  <si>
    <t>Мастера 50-59 (20.03.1962)/58</t>
  </si>
  <si>
    <t>108,60</t>
  </si>
  <si>
    <t>Емельянов Николай</t>
  </si>
  <si>
    <t>Открытая (30.08.1979)/41</t>
  </si>
  <si>
    <t>121,80</t>
  </si>
  <si>
    <t>Черствов Алексей</t>
  </si>
  <si>
    <t>Открытая (16.04.1981)/39</t>
  </si>
  <si>
    <t>120,00</t>
  </si>
  <si>
    <t>Мастера 40-49 (30.08.1979)/41</t>
  </si>
  <si>
    <t>Серегин Дмитрий</t>
  </si>
  <si>
    <t>Мастера 40-49 (23.09.1979)/41</t>
  </si>
  <si>
    <t>118,80</t>
  </si>
  <si>
    <t>Махмудов Ариф</t>
  </si>
  <si>
    <t>Открытая (31.07.1962)/58</t>
  </si>
  <si>
    <t>139,20</t>
  </si>
  <si>
    <t>Мастера 50-59 (31.07.1962)/58</t>
  </si>
  <si>
    <t>Шабалин Дмитрий</t>
  </si>
  <si>
    <t>Мастера 50-59 (19.01.1969)/51</t>
  </si>
  <si>
    <t>128,70</t>
  </si>
  <si>
    <t xml:space="preserve">Результат </t>
  </si>
  <si>
    <t xml:space="preserve">Gloss </t>
  </si>
  <si>
    <t>192,1675</t>
  </si>
  <si>
    <t>178,3895</t>
  </si>
  <si>
    <t>174,0255</t>
  </si>
  <si>
    <t>219,7220</t>
  </si>
  <si>
    <t>194,0892</t>
  </si>
  <si>
    <t>183,9053</t>
  </si>
  <si>
    <t>Результат</t>
  </si>
  <si>
    <t>Мочалова Надежда</t>
  </si>
  <si>
    <t>Девушки 14-16 (22.02.2007)/13</t>
  </si>
  <si>
    <t>47,40</t>
  </si>
  <si>
    <t>71,0</t>
  </si>
  <si>
    <t xml:space="preserve">Мочалов И. </t>
  </si>
  <si>
    <t>Курманаева Зухра</t>
  </si>
  <si>
    <t>Открытая (02.12.1995)/25</t>
  </si>
  <si>
    <t xml:space="preserve">KGZ/Бишкек </t>
  </si>
  <si>
    <t>Глазкова Марина</t>
  </si>
  <si>
    <t>Мастера 40-49 (08.02.1980)/40</t>
  </si>
  <si>
    <t xml:space="preserve">Пысь Д. </t>
  </si>
  <si>
    <t>Евстигнеева Валерия</t>
  </si>
  <si>
    <t>Открытая (11.05.1993)/27</t>
  </si>
  <si>
    <t>59,40</t>
  </si>
  <si>
    <t xml:space="preserve">Ахметьянова А. </t>
  </si>
  <si>
    <t>Большакова Александра</t>
  </si>
  <si>
    <t>Юниорки (10.05.2000)/20</t>
  </si>
  <si>
    <t>67,30</t>
  </si>
  <si>
    <t>Румянцева Светлана</t>
  </si>
  <si>
    <t>Открытая (16.05.1988)/32</t>
  </si>
  <si>
    <t>67,10</t>
  </si>
  <si>
    <t xml:space="preserve">Румянцев С. </t>
  </si>
  <si>
    <t>Варакина Екатерина</t>
  </si>
  <si>
    <t>Открытая (14.07.1995)/25</t>
  </si>
  <si>
    <t>66,10</t>
  </si>
  <si>
    <t xml:space="preserve">RUS/Зеленодольск </t>
  </si>
  <si>
    <t>Власова Надежда</t>
  </si>
  <si>
    <t>Открытая (24.01.1982)/38</t>
  </si>
  <si>
    <t xml:space="preserve">Калита И. </t>
  </si>
  <si>
    <t>Мухин Всеволод</t>
  </si>
  <si>
    <t>Юноши 14-16 (16.01.2009)/11</t>
  </si>
  <si>
    <t>50,60</t>
  </si>
  <si>
    <t xml:space="preserve">RUS/Одинцово </t>
  </si>
  <si>
    <t>44,5</t>
  </si>
  <si>
    <t>Цоколов Артём</t>
  </si>
  <si>
    <t>Юноши 14-16 (09.10.2007)/13</t>
  </si>
  <si>
    <t>53,30</t>
  </si>
  <si>
    <t xml:space="preserve">RUS/Ставрополь </t>
  </si>
  <si>
    <t xml:space="preserve">Ступников Р. </t>
  </si>
  <si>
    <t>Бадалов Рамиз</t>
  </si>
  <si>
    <t>57,50</t>
  </si>
  <si>
    <t xml:space="preserve">Саберов П. </t>
  </si>
  <si>
    <t>Жилин Андрей</t>
  </si>
  <si>
    <t>Открытая (05.04.1983)/37</t>
  </si>
  <si>
    <t>Майоров Владислав</t>
  </si>
  <si>
    <t>Юниоры (11.03.1998)/22</t>
  </si>
  <si>
    <t>73,80</t>
  </si>
  <si>
    <t>Крицкий Антон</t>
  </si>
  <si>
    <t>Юниоры (18.12.2000)/20</t>
  </si>
  <si>
    <t xml:space="preserve">RUS/Старый Оскол </t>
  </si>
  <si>
    <t xml:space="preserve">Лысенко Д. </t>
  </si>
  <si>
    <t>Куимов Денис</t>
  </si>
  <si>
    <t xml:space="preserve">RUS/Крымск </t>
  </si>
  <si>
    <t xml:space="preserve">Мехтиев Р. </t>
  </si>
  <si>
    <t>Сидоркин Дмитрий</t>
  </si>
  <si>
    <t>Открытая (04.02.1993)/27</t>
  </si>
  <si>
    <t xml:space="preserve">RUS/Мытищи </t>
  </si>
  <si>
    <t xml:space="preserve">Суджян А. </t>
  </si>
  <si>
    <t>Мастера 50-59 (14.03.1969)/51</t>
  </si>
  <si>
    <t>Вринчан Владимир</t>
  </si>
  <si>
    <t>Мастера 60-69 (14.11.1954)/66</t>
  </si>
  <si>
    <t xml:space="preserve">RUS/Губкинский </t>
  </si>
  <si>
    <t xml:space="preserve">Татьянина Ю. </t>
  </si>
  <si>
    <t>Козлов Валентин</t>
  </si>
  <si>
    <t>Мастера 70-79 (08.08.1943)/77</t>
  </si>
  <si>
    <t>72,80</t>
  </si>
  <si>
    <t>Хачатрян Роберт</t>
  </si>
  <si>
    <t>Юниоры (02.02.2000)/20</t>
  </si>
  <si>
    <t>78,80</t>
  </si>
  <si>
    <t xml:space="preserve">RUS/Муром </t>
  </si>
  <si>
    <t>Киселев Кирилл</t>
  </si>
  <si>
    <t>Юниоры (29.05.1999)/21</t>
  </si>
  <si>
    <t>Шахбазян Давид</t>
  </si>
  <si>
    <t>Открытая (30.08.1994)/26</t>
  </si>
  <si>
    <t>81,50</t>
  </si>
  <si>
    <t>Шуляк Иван</t>
  </si>
  <si>
    <t>Открытая (25.04.1989)/31</t>
  </si>
  <si>
    <t xml:space="preserve">RUS/Владивосток </t>
  </si>
  <si>
    <t>Долженко Никита</t>
  </si>
  <si>
    <t>Открытая (22.03.1992)/28</t>
  </si>
  <si>
    <t xml:space="preserve">RUS/Ясногорск </t>
  </si>
  <si>
    <t>Горшков Антон</t>
  </si>
  <si>
    <t>Открытая (25.03.1988)/32</t>
  </si>
  <si>
    <t>80,90</t>
  </si>
  <si>
    <t>Макаров Игорь</t>
  </si>
  <si>
    <t>Открытая (25.04.1982)/38</t>
  </si>
  <si>
    <t>Корж Алексей</t>
  </si>
  <si>
    <t>Открытая (20.04.1991)/29</t>
  </si>
  <si>
    <t>79,70</t>
  </si>
  <si>
    <t>Воробьев Евгений</t>
  </si>
  <si>
    <t>Открытая (25.06.1984)/36</t>
  </si>
  <si>
    <t>79,90</t>
  </si>
  <si>
    <t>Бельков Игорь</t>
  </si>
  <si>
    <t>Открытая (08.03.1983)/37</t>
  </si>
  <si>
    <t>Поздняков Вячеслав</t>
  </si>
  <si>
    <t>Мастера 40-49 (28.09.1971)/49</t>
  </si>
  <si>
    <t>80,10</t>
  </si>
  <si>
    <t>Плюснин Олег</t>
  </si>
  <si>
    <t>Мастера 50-59 (22.03.1963)/57</t>
  </si>
  <si>
    <t>75,70</t>
  </si>
  <si>
    <t xml:space="preserve">Васев А. </t>
  </si>
  <si>
    <t>Ковалев Анатолий</t>
  </si>
  <si>
    <t>Мастера 80+ (11.08.1936)/84</t>
  </si>
  <si>
    <t>Переезчиков Вячеслав</t>
  </si>
  <si>
    <t>Юниоры (06.12.2000)/20</t>
  </si>
  <si>
    <t xml:space="preserve">RUS/Калуга </t>
  </si>
  <si>
    <t>210,5</t>
  </si>
  <si>
    <t>Пыткин Максим</t>
  </si>
  <si>
    <t>Открытая (30.03.1992)/28</t>
  </si>
  <si>
    <t xml:space="preserve">RUS/Липецк </t>
  </si>
  <si>
    <t xml:space="preserve">Колохин П. </t>
  </si>
  <si>
    <t>Собцов Дмитрий</t>
  </si>
  <si>
    <t>Открытая (04.06.1991)/29</t>
  </si>
  <si>
    <t xml:space="preserve">RUS/Долгопрудный </t>
  </si>
  <si>
    <t>Панфилов Максим</t>
  </si>
  <si>
    <t>Открытая (24.01.1992)/28</t>
  </si>
  <si>
    <t>89,90</t>
  </si>
  <si>
    <t xml:space="preserve">RUS/Кемерово </t>
  </si>
  <si>
    <t>Генералов Дмитрий</t>
  </si>
  <si>
    <t>Открытая (05.04.1985)/35</t>
  </si>
  <si>
    <t xml:space="preserve">RUS/Протвино </t>
  </si>
  <si>
    <t>Мыцев Иван</t>
  </si>
  <si>
    <t>Открытая (07.11.1988)/32</t>
  </si>
  <si>
    <t xml:space="preserve">RUS/Унеча </t>
  </si>
  <si>
    <t>Кутасов Вячеслав</t>
  </si>
  <si>
    <t>Открытая (21.08.1991)/29</t>
  </si>
  <si>
    <t xml:space="preserve">Левин А. </t>
  </si>
  <si>
    <t>Вавилов Сергей</t>
  </si>
  <si>
    <t>Открытая (26.01.1996)/24</t>
  </si>
  <si>
    <t>Буйнов Виталий</t>
  </si>
  <si>
    <t>Открытая (05.02.1982)/38</t>
  </si>
  <si>
    <t>Ваниев Джемал</t>
  </si>
  <si>
    <t>Мастера 40-49 (26.12.1979)/40</t>
  </si>
  <si>
    <t>Кабишов Сергей</t>
  </si>
  <si>
    <t>Мастера 40-49 (23.04.1974)/46</t>
  </si>
  <si>
    <t>87,90</t>
  </si>
  <si>
    <t>Румянцев Сергей</t>
  </si>
  <si>
    <t>Мастера 50-59 (28.08.1965)/55</t>
  </si>
  <si>
    <t>86,70</t>
  </si>
  <si>
    <t>Баженов Валерий</t>
  </si>
  <si>
    <t>Мастера 60-69 (16.08.1960)/60</t>
  </si>
  <si>
    <t>85,00</t>
  </si>
  <si>
    <t xml:space="preserve">RUS/Глазов </t>
  </si>
  <si>
    <t>Арутюнов Тигран</t>
  </si>
  <si>
    <t>Открытая (02.07.1993)/27</t>
  </si>
  <si>
    <t>95,70</t>
  </si>
  <si>
    <t>Пантюшин Константин</t>
  </si>
  <si>
    <t>Открытая (15.05.1989)/31</t>
  </si>
  <si>
    <t xml:space="preserve">Головинский Д. </t>
  </si>
  <si>
    <t>Тимохин Александр</t>
  </si>
  <si>
    <t>Открытая (09.07.1985)/35</t>
  </si>
  <si>
    <t>Солнцев Иван</t>
  </si>
  <si>
    <t>Открытая (25.03.1974)/46</t>
  </si>
  <si>
    <t xml:space="preserve">RUS/Выборг </t>
  </si>
  <si>
    <t>Бурцев Никита</t>
  </si>
  <si>
    <t>Открытая (21.06.1996)/24</t>
  </si>
  <si>
    <t>Андриевский Анатолий</t>
  </si>
  <si>
    <t>Открытая (10.07.1996)/24</t>
  </si>
  <si>
    <t xml:space="preserve">RUS/Дзержинск </t>
  </si>
  <si>
    <t>Булатов Дмитрий</t>
  </si>
  <si>
    <t>Открытая (22.10.1988)/32</t>
  </si>
  <si>
    <t>Клеванный Петр</t>
  </si>
  <si>
    <t>Открытая (11.11.1980)/40</t>
  </si>
  <si>
    <t>Борняков Дмитрий</t>
  </si>
  <si>
    <t>Открытая (12.08.1981)/39</t>
  </si>
  <si>
    <t>Вабищевич Иван</t>
  </si>
  <si>
    <t>Открытая (01.04.1991)/29</t>
  </si>
  <si>
    <t xml:space="preserve">Кобанов А. </t>
  </si>
  <si>
    <t>Синюхин Алексей</t>
  </si>
  <si>
    <t>Открытая (22.07.1993)/27</t>
  </si>
  <si>
    <t>95,40</t>
  </si>
  <si>
    <t>Легчаев Роман</t>
  </si>
  <si>
    <t>Открытая (03.12.1995)/25</t>
  </si>
  <si>
    <t>95,20</t>
  </si>
  <si>
    <t>Бочаев Асхаб</t>
  </si>
  <si>
    <t>Открытая (04.11.1992)/28</t>
  </si>
  <si>
    <t>96,70</t>
  </si>
  <si>
    <t xml:space="preserve">RUS/Урус-Мартан </t>
  </si>
  <si>
    <t>Беспалов Александр</t>
  </si>
  <si>
    <t>Мастера 40-49 (07.01.1980)/40</t>
  </si>
  <si>
    <t>94,90</t>
  </si>
  <si>
    <t xml:space="preserve">Грахов Ю. </t>
  </si>
  <si>
    <t>Мастера 40-49 (25.03.1974)/46</t>
  </si>
  <si>
    <t>Матросов Александр</t>
  </si>
  <si>
    <t>Мастера 40-49 (04.02.1972)/48</t>
  </si>
  <si>
    <t>Сергеев Игорь</t>
  </si>
  <si>
    <t>Мастера 50-59 (07.08.1966)/54</t>
  </si>
  <si>
    <t>Петросян Артур</t>
  </si>
  <si>
    <t>Мастера 50-59 (23.02.1970)/50</t>
  </si>
  <si>
    <t>98,60</t>
  </si>
  <si>
    <t>Войтенко Владимир</t>
  </si>
  <si>
    <t>Мастера 60-69 (26.07.1956)/64</t>
  </si>
  <si>
    <t>91,50</t>
  </si>
  <si>
    <t xml:space="preserve">RUS/Чита </t>
  </si>
  <si>
    <t>Бондарев Евгений</t>
  </si>
  <si>
    <t>Открытая (21.09.1985)/35</t>
  </si>
  <si>
    <t>107,90</t>
  </si>
  <si>
    <t>Попов Сергей</t>
  </si>
  <si>
    <t>Открытая (15.08.1995)/25</t>
  </si>
  <si>
    <t>101,70</t>
  </si>
  <si>
    <t xml:space="preserve">RUS/Новокуйбышевск </t>
  </si>
  <si>
    <t>Цыплов Сергей</t>
  </si>
  <si>
    <t>Открытая (15.09.1976)/44</t>
  </si>
  <si>
    <t xml:space="preserve">Пономарев И. </t>
  </si>
  <si>
    <t>Королев Дмитрий</t>
  </si>
  <si>
    <t>Открытая (25.03.1993)/27</t>
  </si>
  <si>
    <t>Жикулин Валерий</t>
  </si>
  <si>
    <t>Открытая (20.06.1983)/37</t>
  </si>
  <si>
    <t xml:space="preserve">Парфенов А. </t>
  </si>
  <si>
    <t>Салпагаров Джандар</t>
  </si>
  <si>
    <t>Открытая (07.11.1989)/31</t>
  </si>
  <si>
    <t>Сабуров Геннадий</t>
  </si>
  <si>
    <t>104,30</t>
  </si>
  <si>
    <t xml:space="preserve">RUS/Магадан </t>
  </si>
  <si>
    <t xml:space="preserve">Климов В. </t>
  </si>
  <si>
    <t>Панчев Антон</t>
  </si>
  <si>
    <t>Открытая (05.10.1987)/33</t>
  </si>
  <si>
    <t>Раевский Евгений</t>
  </si>
  <si>
    <t>Открытая (31.12.1980)/39</t>
  </si>
  <si>
    <t>107,10</t>
  </si>
  <si>
    <t>Простяков Кирилл</t>
  </si>
  <si>
    <t>Открытая (24.06.1985)/35</t>
  </si>
  <si>
    <t>109,20</t>
  </si>
  <si>
    <t xml:space="preserve">Мелен А. </t>
  </si>
  <si>
    <t>Мастера 40-49 (15.09.1976)/44</t>
  </si>
  <si>
    <t>Мурашов Максим</t>
  </si>
  <si>
    <t>Мастера 40-49 (19.09.1979)/41</t>
  </si>
  <si>
    <t>107,60</t>
  </si>
  <si>
    <t>Александров Евгений</t>
  </si>
  <si>
    <t>Мастера 40-49 (28.12.1974)/45</t>
  </si>
  <si>
    <t>109,80</t>
  </si>
  <si>
    <t>Шомахов Альберт</t>
  </si>
  <si>
    <t>Мастера 50-59 (08.06.1968)/52</t>
  </si>
  <si>
    <t>107,50</t>
  </si>
  <si>
    <t>Зяблов Николай</t>
  </si>
  <si>
    <t>Мастера 60-69 (05.04.1958)/62</t>
  </si>
  <si>
    <t xml:space="preserve">Разумов А. </t>
  </si>
  <si>
    <t>Жемаркин Дмитрий</t>
  </si>
  <si>
    <t>Юниоры (29.01.1997)/23</t>
  </si>
  <si>
    <t>122,70</t>
  </si>
  <si>
    <t>Казак Виталий</t>
  </si>
  <si>
    <t>Юниоры (24.05.2000)/20</t>
  </si>
  <si>
    <t>115,00</t>
  </si>
  <si>
    <t xml:space="preserve">MDA/Кишинев </t>
  </si>
  <si>
    <t>Шведов Антон</t>
  </si>
  <si>
    <t>Юниоры (10.01.2000)/20</t>
  </si>
  <si>
    <t>120,50</t>
  </si>
  <si>
    <t>Чиликин Алексей</t>
  </si>
  <si>
    <t>Открытая (21.01.1978)/42</t>
  </si>
  <si>
    <t>124,10</t>
  </si>
  <si>
    <t xml:space="preserve">Мусаев А. </t>
  </si>
  <si>
    <t>Кузин Денис</t>
  </si>
  <si>
    <t>Открытая (18.01.1989)/31</t>
  </si>
  <si>
    <t>116,50</t>
  </si>
  <si>
    <t xml:space="preserve">RUS/Шексна </t>
  </si>
  <si>
    <t>Попов Александр</t>
  </si>
  <si>
    <t>Открытая (14.05.1983)/37</t>
  </si>
  <si>
    <t>116,80</t>
  </si>
  <si>
    <t xml:space="preserve">Фотин А. </t>
  </si>
  <si>
    <t>Петров Лев</t>
  </si>
  <si>
    <t>Открытая (07.01.1974)/46</t>
  </si>
  <si>
    <t>Аниканов Иван</t>
  </si>
  <si>
    <t>Открытая (23.07.1982)/38</t>
  </si>
  <si>
    <t>117,20</t>
  </si>
  <si>
    <t xml:space="preserve">Тимофеев О. </t>
  </si>
  <si>
    <t>Юрашевич Антон</t>
  </si>
  <si>
    <t>Открытая (24.05.1981)/39</t>
  </si>
  <si>
    <t>119,70</t>
  </si>
  <si>
    <t xml:space="preserve">Лисютин М. </t>
  </si>
  <si>
    <t>Столповских Александр</t>
  </si>
  <si>
    <t>Открытая (14.01.1996)/24</t>
  </si>
  <si>
    <t>122,60</t>
  </si>
  <si>
    <t>Моисеев Александр</t>
  </si>
  <si>
    <t>Мастера 40-49 (11.11.1972)/48</t>
  </si>
  <si>
    <t>115,70</t>
  </si>
  <si>
    <t>Мастера 40-49 (07.01.1974)/46</t>
  </si>
  <si>
    <t>Климов Виктор</t>
  </si>
  <si>
    <t>Мастера 40-49 (10.03.1975)/45</t>
  </si>
  <si>
    <t>118,30</t>
  </si>
  <si>
    <t>Пешко Владимир</t>
  </si>
  <si>
    <t>Мастера 50-59 (12.02.1970)/50</t>
  </si>
  <si>
    <t>116,70</t>
  </si>
  <si>
    <t>Жерелов Алексей</t>
  </si>
  <si>
    <t>Открытая (16.09.1990)/30</t>
  </si>
  <si>
    <t>133,50</t>
  </si>
  <si>
    <t xml:space="preserve">RUS/Кинешма </t>
  </si>
  <si>
    <t>Мандрик Сергей</t>
  </si>
  <si>
    <t>Открытая (05.08.1993)/27</t>
  </si>
  <si>
    <t>130,50</t>
  </si>
  <si>
    <t>Чубаров Владимир</t>
  </si>
  <si>
    <t>Мастера 50-59 (03.04.1964)/56</t>
  </si>
  <si>
    <t>129,60</t>
  </si>
  <si>
    <t>Горбунов Александр</t>
  </si>
  <si>
    <t>Открытая (15.09.1986)/34</t>
  </si>
  <si>
    <t>154,40</t>
  </si>
  <si>
    <t>122,1125</t>
  </si>
  <si>
    <t>112,7500</t>
  </si>
  <si>
    <t>111,0480</t>
  </si>
  <si>
    <t>134,0243</t>
  </si>
  <si>
    <t>125,8620</t>
  </si>
  <si>
    <t>120,5782</t>
  </si>
  <si>
    <t>150,3500</t>
  </si>
  <si>
    <t>149,2547</t>
  </si>
  <si>
    <t>148,0250</t>
  </si>
  <si>
    <t>163,1386</t>
  </si>
  <si>
    <t>160,8183</t>
  </si>
  <si>
    <t>144,2395</t>
  </si>
  <si>
    <t>11</t>
  </si>
  <si>
    <t>12</t>
  </si>
  <si>
    <t>Жукова Юлия</t>
  </si>
  <si>
    <t>Открытая (11.12.1983)/37</t>
  </si>
  <si>
    <t xml:space="preserve">RUS/Королёв </t>
  </si>
  <si>
    <t>Харитонова Дарья</t>
  </si>
  <si>
    <t>Открытая (20.12.1988)/31</t>
  </si>
  <si>
    <t xml:space="preserve">RUS/Электросталь </t>
  </si>
  <si>
    <t xml:space="preserve">Разумов И. </t>
  </si>
  <si>
    <t>Яхина Алёна</t>
  </si>
  <si>
    <t>Открытая (26.12.1991)/28</t>
  </si>
  <si>
    <t>51,30</t>
  </si>
  <si>
    <t xml:space="preserve">Орешин И. </t>
  </si>
  <si>
    <t>Талаева Евгения</t>
  </si>
  <si>
    <t>Открытая (15.09.1993)/27</t>
  </si>
  <si>
    <t>51,90</t>
  </si>
  <si>
    <t xml:space="preserve">Талаев К. </t>
  </si>
  <si>
    <t>Фомина Маргарита</t>
  </si>
  <si>
    <t>Открытая (28.09.1989)/31</t>
  </si>
  <si>
    <t>51,20</t>
  </si>
  <si>
    <t xml:space="preserve">Вереникина М. </t>
  </si>
  <si>
    <t>Шпак Татьяна</t>
  </si>
  <si>
    <t>Открытая (10.03.1982)/38</t>
  </si>
  <si>
    <t>50,70</t>
  </si>
  <si>
    <t>Тишина Ирина</t>
  </si>
  <si>
    <t>Мастера 40-49 (05.10.1978)/42</t>
  </si>
  <si>
    <t>Щербакова Елена</t>
  </si>
  <si>
    <t>Мастера 40-49 (14.04.1979)/41</t>
  </si>
  <si>
    <t xml:space="preserve">Русаков А. </t>
  </si>
  <si>
    <t>Кондрашкина Кристина</t>
  </si>
  <si>
    <t>Юниорки (04.07.1998)/22</t>
  </si>
  <si>
    <t>Савчук Анастасия</t>
  </si>
  <si>
    <t>Открытая (31.03.1992)/28</t>
  </si>
  <si>
    <t>53,50</t>
  </si>
  <si>
    <t xml:space="preserve">RUS/Воскресенск </t>
  </si>
  <si>
    <t xml:space="preserve">Силантьев А. </t>
  </si>
  <si>
    <t>Гаврилова Ольга</t>
  </si>
  <si>
    <t>Открытая (30.11.1985)/35</t>
  </si>
  <si>
    <t>53,00</t>
  </si>
  <si>
    <t>Вереникина Мария</t>
  </si>
  <si>
    <t>Открытая (14.10.1985)/35</t>
  </si>
  <si>
    <t>55,20</t>
  </si>
  <si>
    <t xml:space="preserve">Денис Н. </t>
  </si>
  <si>
    <t>Виноградова Ольга</t>
  </si>
  <si>
    <t>Открытая (15.07.1982)/38</t>
  </si>
  <si>
    <t>Шуклина Елена</t>
  </si>
  <si>
    <t>Открытая (10.08.1985)/35</t>
  </si>
  <si>
    <t>Кузнецова Анна</t>
  </si>
  <si>
    <t>Открытая (21.10.1987)/33</t>
  </si>
  <si>
    <t xml:space="preserve">Королев Е. </t>
  </si>
  <si>
    <t>Брулева Евгения</t>
  </si>
  <si>
    <t>Открытая (19.12.1989)/30</t>
  </si>
  <si>
    <t>59,70</t>
  </si>
  <si>
    <t xml:space="preserve">Добровольская А. </t>
  </si>
  <si>
    <t>Захарова Ольга</t>
  </si>
  <si>
    <t>Мастера 40-49 (31.07.1977)/43</t>
  </si>
  <si>
    <t>59,50</t>
  </si>
  <si>
    <t>Медведева Елена</t>
  </si>
  <si>
    <t>Мастера 50-59 (10.10.1962)/58</t>
  </si>
  <si>
    <t>59,80</t>
  </si>
  <si>
    <t xml:space="preserve">RUS/Реутов </t>
  </si>
  <si>
    <t xml:space="preserve">Медведев К. </t>
  </si>
  <si>
    <t>Баринова Вероника</t>
  </si>
  <si>
    <t>Юниорки (28.07.2000)/20</t>
  </si>
  <si>
    <t>62,90</t>
  </si>
  <si>
    <t xml:space="preserve">RUS/Великие Луки </t>
  </si>
  <si>
    <t xml:space="preserve">Докучаев К., Сюмайкин М. </t>
  </si>
  <si>
    <t>Гадецкая Мария</t>
  </si>
  <si>
    <t>Открытая (19.04.1987)/33</t>
  </si>
  <si>
    <t>61,50</t>
  </si>
  <si>
    <t xml:space="preserve">Козлов И. </t>
  </si>
  <si>
    <t>Сергеева Кристина</t>
  </si>
  <si>
    <t>Открытая (02.03.1992)/28</t>
  </si>
  <si>
    <t>65,50</t>
  </si>
  <si>
    <t>Абрамова Елена</t>
  </si>
  <si>
    <t>Открытая (28.06.1993)/27</t>
  </si>
  <si>
    <t>66,00</t>
  </si>
  <si>
    <t>Лоскутова Галина</t>
  </si>
  <si>
    <t>Открытая (17.05.1987)/33</t>
  </si>
  <si>
    <t xml:space="preserve">RUS/Знаменск </t>
  </si>
  <si>
    <t xml:space="preserve">Вишняков М. </t>
  </si>
  <si>
    <t>Ромасенко Ирина</t>
  </si>
  <si>
    <t>Мастера 40-49 (22.12.1975)/44</t>
  </si>
  <si>
    <t>Федюнина Яна</t>
  </si>
  <si>
    <t>Мастера 40-49 (15.11.1975)/45</t>
  </si>
  <si>
    <t>66,90</t>
  </si>
  <si>
    <t xml:space="preserve">Прагин Р. </t>
  </si>
  <si>
    <t>Досхоева Марет</t>
  </si>
  <si>
    <t>Юниорки (03.12.1999)/21</t>
  </si>
  <si>
    <t>Открытая (03.12.1999)/21</t>
  </si>
  <si>
    <t>Ромасенко Даниил</t>
  </si>
  <si>
    <t>Юноши 14-16 (19.02.2008)/12</t>
  </si>
  <si>
    <t>50,20</t>
  </si>
  <si>
    <t>Сергеенко Никита</t>
  </si>
  <si>
    <t>Юноши 14-16 (24.06.2005)/15</t>
  </si>
  <si>
    <t>54,00</t>
  </si>
  <si>
    <t xml:space="preserve">Новиков И. </t>
  </si>
  <si>
    <t>Ягодин Иван</t>
  </si>
  <si>
    <t>Открытая (24.08.1995)/25</t>
  </si>
  <si>
    <t>58,10</t>
  </si>
  <si>
    <t xml:space="preserve">Ягодин А. </t>
  </si>
  <si>
    <t>Траскин Кирилл</t>
  </si>
  <si>
    <t>Юноши 14-16 (07.08.2004)/16</t>
  </si>
  <si>
    <t>Безручко Тимофей</t>
  </si>
  <si>
    <t>Юноши 14-16 (12.10.2006)/14</t>
  </si>
  <si>
    <t>67,40</t>
  </si>
  <si>
    <t>Тихонов Семен</t>
  </si>
  <si>
    <t>Юноши 14-16 (16.01.2004)/16</t>
  </si>
  <si>
    <t>60,80</t>
  </si>
  <si>
    <t xml:space="preserve">Тихонов А. </t>
  </si>
  <si>
    <t>Балашов Владислав</t>
  </si>
  <si>
    <t>Юноши 17-19 (19.03.2001)/19</t>
  </si>
  <si>
    <t>65,70</t>
  </si>
  <si>
    <t xml:space="preserve">Никитин С. </t>
  </si>
  <si>
    <t>Щербаков Иван</t>
  </si>
  <si>
    <t>Юноши 17-19 (26.09.2002)/18</t>
  </si>
  <si>
    <t xml:space="preserve">RUS/Истра </t>
  </si>
  <si>
    <t xml:space="preserve">Щербаков Е. </t>
  </si>
  <si>
    <t>Рамазанов Бугалдин</t>
  </si>
  <si>
    <t>Юноши 17-19 (26.09.2003)/17</t>
  </si>
  <si>
    <t>65,60</t>
  </si>
  <si>
    <t xml:space="preserve">Абдурахманов З. </t>
  </si>
  <si>
    <t>Сокуров Георгий</t>
  </si>
  <si>
    <t>Юниоры (15.02.2000)/20</t>
  </si>
  <si>
    <t xml:space="preserve">RUS/Владикавказ </t>
  </si>
  <si>
    <t>Руэда-Суарес Валентин</t>
  </si>
  <si>
    <t>Открытая (08.03.1990)/30</t>
  </si>
  <si>
    <t xml:space="preserve">Кок Д. </t>
  </si>
  <si>
    <t>Открытая (15.02.2000)/20</t>
  </si>
  <si>
    <t>Филин Сергей</t>
  </si>
  <si>
    <t>Открытая (17.08.1990)/30</t>
  </si>
  <si>
    <t xml:space="preserve">RUS/Меленки </t>
  </si>
  <si>
    <t>Чепец Юрий</t>
  </si>
  <si>
    <t>Мастера 70-79 (19.04.1943)/77</t>
  </si>
  <si>
    <t>64,50</t>
  </si>
  <si>
    <t>Зайнутдинов Ильдар</t>
  </si>
  <si>
    <t>Юноши 17-19 (23.09.2003)/17</t>
  </si>
  <si>
    <t>Барышев Дмитрий</t>
  </si>
  <si>
    <t>Юниоры (09.01.1997)/23</t>
  </si>
  <si>
    <t>Хина Александр</t>
  </si>
  <si>
    <t>Юниоры (23.01.1997)/23</t>
  </si>
  <si>
    <t>Яковлев Артур</t>
  </si>
  <si>
    <t>Открытая (12.08.1996)/24</t>
  </si>
  <si>
    <t xml:space="preserve">Собцов Д. </t>
  </si>
  <si>
    <t>Остертак Александр</t>
  </si>
  <si>
    <t>Открытая (17.12.1985)/35</t>
  </si>
  <si>
    <t xml:space="preserve">RUS/Барнаул </t>
  </si>
  <si>
    <t>Губенко Игорь</t>
  </si>
  <si>
    <t>Открытая (16.07.1971)/49</t>
  </si>
  <si>
    <t>73,30</t>
  </si>
  <si>
    <t>Талаев Кирилл</t>
  </si>
  <si>
    <t>Открытая (31.08.1989)/31</t>
  </si>
  <si>
    <t>73,50</t>
  </si>
  <si>
    <t xml:space="preserve">Тимофеев Н. </t>
  </si>
  <si>
    <t>Власов Михаил</t>
  </si>
  <si>
    <t>Открытая (20.12.1983)/36</t>
  </si>
  <si>
    <t>73,20</t>
  </si>
  <si>
    <t xml:space="preserve">RUS/Красногорск </t>
  </si>
  <si>
    <t>Бондяшов Владимир</t>
  </si>
  <si>
    <t>Открытая (05.07.1992)/28</t>
  </si>
  <si>
    <t>73,40</t>
  </si>
  <si>
    <t xml:space="preserve">Харина В. </t>
  </si>
  <si>
    <t>Надин Вадим</t>
  </si>
  <si>
    <t>Открытая (01.12.1996)/24</t>
  </si>
  <si>
    <t>Масленников Николай</t>
  </si>
  <si>
    <t>Открытая (18.12.1992)/28</t>
  </si>
  <si>
    <t xml:space="preserve">RUS/Наро-Фоминск </t>
  </si>
  <si>
    <t>Ермаков Сергей</t>
  </si>
  <si>
    <t>Открытая (17.12.1991)/29</t>
  </si>
  <si>
    <t>Хрузов Ян</t>
  </si>
  <si>
    <t>Открытая (22.08.1991)/29</t>
  </si>
  <si>
    <t>Мастера 40-49 (16.07.1971)/49</t>
  </si>
  <si>
    <t>Винокуров Олег</t>
  </si>
  <si>
    <t>Мастера 50-59 (10.05.1966)/54</t>
  </si>
  <si>
    <t>74,10</t>
  </si>
  <si>
    <t>Пономарев Кирилл</t>
  </si>
  <si>
    <t>Юноши 17-19 (30.09.2003)/17</t>
  </si>
  <si>
    <t xml:space="preserve">RUS/Харабали </t>
  </si>
  <si>
    <t xml:space="preserve">Пересветов В. </t>
  </si>
  <si>
    <t>Савченко Никита</t>
  </si>
  <si>
    <t>Юноши 17-19 (16.12.2001)/19</t>
  </si>
  <si>
    <t>Юрк Даниил</t>
  </si>
  <si>
    <t>Юноши 17-19 (05.11.2001)/19</t>
  </si>
  <si>
    <t>81,40</t>
  </si>
  <si>
    <t>Ошков Александр</t>
  </si>
  <si>
    <t>Юноши 17-19 (26.11.2003)/17</t>
  </si>
  <si>
    <t>75,50</t>
  </si>
  <si>
    <t xml:space="preserve">RUS/Волжск </t>
  </si>
  <si>
    <t xml:space="preserve">Ошков С. </t>
  </si>
  <si>
    <t>Агапов Александр</t>
  </si>
  <si>
    <t>Юниоры (25.08.1999)/21</t>
  </si>
  <si>
    <t>Подкопаев Александр</t>
  </si>
  <si>
    <t>Открытая (30.08.1996)/24</t>
  </si>
  <si>
    <t xml:space="preserve">RUS/Северская </t>
  </si>
  <si>
    <t>Панов Сергей</t>
  </si>
  <si>
    <t>Открытая (16.04.1994)/26</t>
  </si>
  <si>
    <t>Равинский Аркадий</t>
  </si>
  <si>
    <t>Открытая (24.05.1994)/26</t>
  </si>
  <si>
    <t>Бурлаков Игорь</t>
  </si>
  <si>
    <t>Открытая (10.10.1994)/26</t>
  </si>
  <si>
    <t>77,70</t>
  </si>
  <si>
    <t>Сычев Олег</t>
  </si>
  <si>
    <t>Открытая (03.01.1991)/29</t>
  </si>
  <si>
    <t>80,70</t>
  </si>
  <si>
    <t xml:space="preserve">Мелин А. </t>
  </si>
  <si>
    <t>Козлов Александр</t>
  </si>
  <si>
    <t>Открытая (04.07.1981)/39</t>
  </si>
  <si>
    <t>Евсеев Игорь</t>
  </si>
  <si>
    <t>Открытая (30.07.1988)/32</t>
  </si>
  <si>
    <t>81,70</t>
  </si>
  <si>
    <t>Челахов Артем</t>
  </si>
  <si>
    <t>Открытая (21.06.1983)/37</t>
  </si>
  <si>
    <t>Тихиенко Антон</t>
  </si>
  <si>
    <t>Открытая (04.06.1987)/33</t>
  </si>
  <si>
    <t xml:space="preserve">RUS/Видное </t>
  </si>
  <si>
    <t xml:space="preserve">Евдокимов И. </t>
  </si>
  <si>
    <t>Ивлиев Леонид</t>
  </si>
  <si>
    <t>Открытая (04.01.1989)/31</t>
  </si>
  <si>
    <t>80,40</t>
  </si>
  <si>
    <t>Ваховский Дмитрий</t>
  </si>
  <si>
    <t>Открытая (05.08.1994)/26</t>
  </si>
  <si>
    <t>Жаров Евгений</t>
  </si>
  <si>
    <t>Открытая (07.11.1986)/34</t>
  </si>
  <si>
    <t>Мясников Владимир</t>
  </si>
  <si>
    <t>Открытая (02.05.1991)/29</t>
  </si>
  <si>
    <t xml:space="preserve">Цаплин Н. </t>
  </si>
  <si>
    <t>Разуваев Роман</t>
  </si>
  <si>
    <t>Мастера 40-49 (15.02.1975)/45</t>
  </si>
  <si>
    <t xml:space="preserve">RUS/Губкин </t>
  </si>
  <si>
    <t>Степанов Григорий</t>
  </si>
  <si>
    <t>Мастера 40-49 (11.07.1980)/40</t>
  </si>
  <si>
    <t>Плешков Владимир</t>
  </si>
  <si>
    <t>Мастера 70-79 (29.08.1944)/76</t>
  </si>
  <si>
    <t>106,0</t>
  </si>
  <si>
    <t>Салосалов Сергей</t>
  </si>
  <si>
    <t>Юноши 14-16 (11.09.2004)/16</t>
  </si>
  <si>
    <t xml:space="preserve">Салосалов С. </t>
  </si>
  <si>
    <t>Разинков Федор</t>
  </si>
  <si>
    <t>Юноши 17-19 (02.03.2002)/18</t>
  </si>
  <si>
    <t xml:space="preserve">UKR/Одесса </t>
  </si>
  <si>
    <t xml:space="preserve">Дубинин А. </t>
  </si>
  <si>
    <t>Аксенов Филипп</t>
  </si>
  <si>
    <t>Юноши 17-19 (29.08.2003)/17</t>
  </si>
  <si>
    <t>86,30</t>
  </si>
  <si>
    <t xml:space="preserve">Никитин В. </t>
  </si>
  <si>
    <t>Своровский Георгий</t>
  </si>
  <si>
    <t>Юниоры (30.05.1997)/23</t>
  </si>
  <si>
    <t>88,30</t>
  </si>
  <si>
    <t>Максимов Андрей</t>
  </si>
  <si>
    <t>Юниоры (21.12.1997)/22</t>
  </si>
  <si>
    <t>84,00</t>
  </si>
  <si>
    <t xml:space="preserve">RUS/Оренбург </t>
  </si>
  <si>
    <t>Шалашов Игорь</t>
  </si>
  <si>
    <t>Открытая (20.11.1981)/39</t>
  </si>
  <si>
    <t>Мищенко Артем</t>
  </si>
  <si>
    <t>Открытая (26.06.1984)/36</t>
  </si>
  <si>
    <t xml:space="preserve">Чокаев У. </t>
  </si>
  <si>
    <t>Коржос Максим</t>
  </si>
  <si>
    <t>Открытая (06.10.1994)/26</t>
  </si>
  <si>
    <t>87,20</t>
  </si>
  <si>
    <t>Козяев Артем</t>
  </si>
  <si>
    <t>Открытая (08.10.1996)/24</t>
  </si>
  <si>
    <t>Юсаев Кунта</t>
  </si>
  <si>
    <t>Открытая (28.02.1992)/28</t>
  </si>
  <si>
    <t>87,60</t>
  </si>
  <si>
    <t>Сокол Андрей</t>
  </si>
  <si>
    <t>Открытая (22.05.1987)/33</t>
  </si>
  <si>
    <t>Лень Игорь</t>
  </si>
  <si>
    <t>Открытая (03.11.1989)/31</t>
  </si>
  <si>
    <t>86,80</t>
  </si>
  <si>
    <t>Федин Виталий</t>
  </si>
  <si>
    <t>Открытая (30.11.1987)/33</t>
  </si>
  <si>
    <t>Шмиговский Сергей</t>
  </si>
  <si>
    <t>Открытая (06.05.1988)/32</t>
  </si>
  <si>
    <t>88,40</t>
  </si>
  <si>
    <t xml:space="preserve">Машистов В. </t>
  </si>
  <si>
    <t>Корнилов Алексей</t>
  </si>
  <si>
    <t>Открытая (05.08.1990)/30</t>
  </si>
  <si>
    <t>Смердов Евгений</t>
  </si>
  <si>
    <t>Открытая (26.01.1987)/33</t>
  </si>
  <si>
    <t>86,40</t>
  </si>
  <si>
    <t>Прохоров Даниил</t>
  </si>
  <si>
    <t>Открытая (09.09.1996)/24</t>
  </si>
  <si>
    <t xml:space="preserve">RUS/Электроугли </t>
  </si>
  <si>
    <t>Комсулев Михаил</t>
  </si>
  <si>
    <t>Открытая (04.04.1990)/30</t>
  </si>
  <si>
    <t xml:space="preserve">RUS/Рыбное </t>
  </si>
  <si>
    <t>Извеков Анатолий</t>
  </si>
  <si>
    <t>Открытая (16.04.1988)/32</t>
  </si>
  <si>
    <t>Щенников Андрей</t>
  </si>
  <si>
    <t>Мастера 40-49 (14.10.1974)/46</t>
  </si>
  <si>
    <t>Талдыкин Алексей</t>
  </si>
  <si>
    <t>Мастера 40-49 (29.03.1980)/40</t>
  </si>
  <si>
    <t>89,20</t>
  </si>
  <si>
    <t>Хорхордин Игорь</t>
  </si>
  <si>
    <t>Мастера 50-59 (15.06.1967)/53</t>
  </si>
  <si>
    <t>87,80</t>
  </si>
  <si>
    <t>Сорокин Геннадий</t>
  </si>
  <si>
    <t>Мастера 60-69 (08.09.1959)/61</t>
  </si>
  <si>
    <t>89,80</t>
  </si>
  <si>
    <t>Клименко Владимир</t>
  </si>
  <si>
    <t>Мастера 70-79 (12.03.1945)/75</t>
  </si>
  <si>
    <t>87,30</t>
  </si>
  <si>
    <t xml:space="preserve">Наумов А. </t>
  </si>
  <si>
    <t>Шамин Георгий</t>
  </si>
  <si>
    <t>Юноши 14-16 (30.10.2007)/13</t>
  </si>
  <si>
    <t>Исмоилов Джовидон</t>
  </si>
  <si>
    <t>Юниоры (21.07.1998)/22</t>
  </si>
  <si>
    <t>Коленко Василий</t>
  </si>
  <si>
    <t>Открытая (26.11.1982)/38</t>
  </si>
  <si>
    <t>Открытая (21.07.1998)/22</t>
  </si>
  <si>
    <t>Коновалов Сергей</t>
  </si>
  <si>
    <t>Открытая (23.05.1987)/33</t>
  </si>
  <si>
    <t xml:space="preserve">Меркулов А. </t>
  </si>
  <si>
    <t>Богачев Андрей</t>
  </si>
  <si>
    <t>Открытая (29.04.1994)/26</t>
  </si>
  <si>
    <t>97,80</t>
  </si>
  <si>
    <t xml:space="preserve">RUS/Волгодонск </t>
  </si>
  <si>
    <t>Андреев Андрей</t>
  </si>
  <si>
    <t>Открытая (08.03.1979)/41</t>
  </si>
  <si>
    <t xml:space="preserve">RUS/Кашин </t>
  </si>
  <si>
    <t>Гетманчук Антон</t>
  </si>
  <si>
    <t>Открытая (07.07.1981)/39</t>
  </si>
  <si>
    <t>98,90</t>
  </si>
  <si>
    <t>Дурандин Сергей</t>
  </si>
  <si>
    <t>Открытая (04.05.1974)/46</t>
  </si>
  <si>
    <t>99,60</t>
  </si>
  <si>
    <t>Ромасенко Николай</t>
  </si>
  <si>
    <t>Мастера 40-49 (19.12.1973)/46</t>
  </si>
  <si>
    <t>Безвербный Алексей</t>
  </si>
  <si>
    <t>Мастера 40-49 (18.03.1973)/47</t>
  </si>
  <si>
    <t>94,20</t>
  </si>
  <si>
    <t xml:space="preserve">RUS/Сочи </t>
  </si>
  <si>
    <t>Шурыгин Юрий</t>
  </si>
  <si>
    <t>Мастера 40-49 (23.10.1971)/49</t>
  </si>
  <si>
    <t xml:space="preserve">RUS/Нижний Тагил </t>
  </si>
  <si>
    <t>Мастера 40-49 (04.05.1974)/46</t>
  </si>
  <si>
    <t>Шабалин Александр</t>
  </si>
  <si>
    <t>Мастера 40-49 (07.09.1971)/49</t>
  </si>
  <si>
    <t>99,80</t>
  </si>
  <si>
    <t>Казанцев Иван</t>
  </si>
  <si>
    <t>Мастера 50-59 (29.09.1967)/53</t>
  </si>
  <si>
    <t xml:space="preserve">RUS/Камышлов </t>
  </si>
  <si>
    <t>190,5</t>
  </si>
  <si>
    <t xml:space="preserve">Пастухова Л. </t>
  </si>
  <si>
    <t>Страхалис Сергей</t>
  </si>
  <si>
    <t>Мастера 50-59 (10.03.1963)/57</t>
  </si>
  <si>
    <t>95,80</t>
  </si>
  <si>
    <t>Омаров Магомед</t>
  </si>
  <si>
    <t>Мастера 50-59 (30.05.1963)/57</t>
  </si>
  <si>
    <t>Усачев Игорь</t>
  </si>
  <si>
    <t>Мастера 50-59 (06.06.1965)/55</t>
  </si>
  <si>
    <t>94,10</t>
  </si>
  <si>
    <t>Борисов Александр</t>
  </si>
  <si>
    <t>Мастера 50-59 (06.12.1969)/51</t>
  </si>
  <si>
    <t>97,40</t>
  </si>
  <si>
    <t>Ярков Василий</t>
  </si>
  <si>
    <t>Мастера 50-59 (20.06.1970)/50</t>
  </si>
  <si>
    <t>Мордвинов Сергей</t>
  </si>
  <si>
    <t>Открытая (26.08.1982)/38</t>
  </si>
  <si>
    <t xml:space="preserve">RUS/Щигры </t>
  </si>
  <si>
    <t xml:space="preserve">Милостной С. </t>
  </si>
  <si>
    <t>Сасаниа Георгий</t>
  </si>
  <si>
    <t>Открытая (14.02.1993)/27</t>
  </si>
  <si>
    <t>Алиев Сахиб</t>
  </si>
  <si>
    <t>Открытая (29.11.1988)/32</t>
  </si>
  <si>
    <t>108,80</t>
  </si>
  <si>
    <t>Аксёнов Кирилл</t>
  </si>
  <si>
    <t>Коблик Дмитрий</t>
  </si>
  <si>
    <t>Открытая (20.08.1993)/27</t>
  </si>
  <si>
    <t xml:space="preserve">Коваленко А. </t>
  </si>
  <si>
    <t>Грунтов Виктор</t>
  </si>
  <si>
    <t>Мастера 40-49 (27.05.1972)/48</t>
  </si>
  <si>
    <t>Шахбанов Исмаил</t>
  </si>
  <si>
    <t>Мастера 40-49 (26.11.1971)/49</t>
  </si>
  <si>
    <t>102,20</t>
  </si>
  <si>
    <t>Башкевич Максим</t>
  </si>
  <si>
    <t>Мастера 40-49 (02.09.1975)/45</t>
  </si>
  <si>
    <t>101,40</t>
  </si>
  <si>
    <t>Киреев Дмитрий</t>
  </si>
  <si>
    <t>Мастера 50-59 (25.08.1969)/51</t>
  </si>
  <si>
    <t>Васильев Виктор</t>
  </si>
  <si>
    <t>Мастера 60-69 (09.02.1954)/66</t>
  </si>
  <si>
    <t>103,50</t>
  </si>
  <si>
    <t>Ефипов Виктор</t>
  </si>
  <si>
    <t>Мастера 60-69 (19.01.1956)/64</t>
  </si>
  <si>
    <t>105,30</t>
  </si>
  <si>
    <t xml:space="preserve">RUS/Вельск </t>
  </si>
  <si>
    <t>Гейдарли Элмин</t>
  </si>
  <si>
    <t>Юниоры (01.02.1998)/22</t>
  </si>
  <si>
    <t>120,40</t>
  </si>
  <si>
    <t>Кильдюшкин Даниил</t>
  </si>
  <si>
    <t>Юниоры (01.04.1997)/23</t>
  </si>
  <si>
    <t xml:space="preserve">Гречина И. </t>
  </si>
  <si>
    <t>Гаврилов Сергей</t>
  </si>
  <si>
    <t>Открытая (08.08.1979)/41</t>
  </si>
  <si>
    <t>125,00</t>
  </si>
  <si>
    <t xml:space="preserve">RUS/Нижний Новгород </t>
  </si>
  <si>
    <t>Начоев Аскер</t>
  </si>
  <si>
    <t>Открытая (18.03.1982)/38</t>
  </si>
  <si>
    <t>111,60</t>
  </si>
  <si>
    <t>Алтухов Алексей</t>
  </si>
  <si>
    <t>Открытая (11.12.1984)/36</t>
  </si>
  <si>
    <t>116,60</t>
  </si>
  <si>
    <t>Ненартович Дмитрий</t>
  </si>
  <si>
    <t>Открытая (21.12.1987)/32</t>
  </si>
  <si>
    <t>Мальков Олег</t>
  </si>
  <si>
    <t>Мастера 40-49 (27.02.1980)/40</t>
  </si>
  <si>
    <t>120,60</t>
  </si>
  <si>
    <t xml:space="preserve">Бурлаков М. </t>
  </si>
  <si>
    <t>Жуков Сергей</t>
  </si>
  <si>
    <t>Мастера 40-49 (06.08.1973)/47</t>
  </si>
  <si>
    <t xml:space="preserve">Хаджинов Р. </t>
  </si>
  <si>
    <t>Усольцев Евгений</t>
  </si>
  <si>
    <t>Мастера 50-59 (01.02.1970)/50</t>
  </si>
  <si>
    <t>121,50</t>
  </si>
  <si>
    <t xml:space="preserve">Пахомов С. </t>
  </si>
  <si>
    <t>Перов Павел</t>
  </si>
  <si>
    <t>Мастера 50-59 (06.08.1966)/54</t>
  </si>
  <si>
    <t>Яковенко Владимир</t>
  </si>
  <si>
    <t>Мастера 60-69 (27.03.1959)/61</t>
  </si>
  <si>
    <t>112,40</t>
  </si>
  <si>
    <t xml:space="preserve">RUS/Можайск </t>
  </si>
  <si>
    <t xml:space="preserve">Савин К. </t>
  </si>
  <si>
    <t>Шаульский Виталий</t>
  </si>
  <si>
    <t>Мастера 40-49 (02.06.1973)/47</t>
  </si>
  <si>
    <t>132,00</t>
  </si>
  <si>
    <t xml:space="preserve">RUS/Азов </t>
  </si>
  <si>
    <t>Каныгин Сергей</t>
  </si>
  <si>
    <t>Мастера 50-59 (24.01.1966)/54</t>
  </si>
  <si>
    <t>138,80</t>
  </si>
  <si>
    <t>205,5</t>
  </si>
  <si>
    <t>Трофимов Борис</t>
  </si>
  <si>
    <t>Открытая (21.03.1972)/48</t>
  </si>
  <si>
    <t>159,50</t>
  </si>
  <si>
    <t xml:space="preserve">RUS/Гуково </t>
  </si>
  <si>
    <t xml:space="preserve">Соловьев В. </t>
  </si>
  <si>
    <t>Мастера 40-49 (21.03.1972)/48</t>
  </si>
  <si>
    <t>113,8830</t>
  </si>
  <si>
    <t>100,4828</t>
  </si>
  <si>
    <t>94,8038</t>
  </si>
  <si>
    <t>125,8495</t>
  </si>
  <si>
    <t>109,1550</t>
  </si>
  <si>
    <t>108,7370</t>
  </si>
  <si>
    <t>141,6720</t>
  </si>
  <si>
    <t>132,7500</t>
  </si>
  <si>
    <t>140+</t>
  </si>
  <si>
    <t>127,5263</t>
  </si>
  <si>
    <t>157,9548</t>
  </si>
  <si>
    <t>142,5425</t>
  </si>
  <si>
    <t>142,0642</t>
  </si>
  <si>
    <t>13</t>
  </si>
  <si>
    <t>Алькова Диана</t>
  </si>
  <si>
    <t>Девушки 17-19 (25.08.2001)/19</t>
  </si>
  <si>
    <t>55,90</t>
  </si>
  <si>
    <t xml:space="preserve">Поздняков В. </t>
  </si>
  <si>
    <t>Бондарева Екатерина</t>
  </si>
  <si>
    <t>Открытая (10.04.1983)/37</t>
  </si>
  <si>
    <t>56,00</t>
  </si>
  <si>
    <t>Хузин Ринат</t>
  </si>
  <si>
    <t>Мастера 50-59 (14.06.1969)/51</t>
  </si>
  <si>
    <t>Артемов Дмитрий</t>
  </si>
  <si>
    <t>Мастера 40-49 (14.10.1975)/45</t>
  </si>
  <si>
    <t>78,40</t>
  </si>
  <si>
    <t xml:space="preserve">RUS/Прокопьевск </t>
  </si>
  <si>
    <t xml:space="preserve">Тюленев А. </t>
  </si>
  <si>
    <t>Евдокимов Иван</t>
  </si>
  <si>
    <t>Мастера 50-59 (24.02.1964)/56</t>
  </si>
  <si>
    <t>88,20</t>
  </si>
  <si>
    <t>Ли Владимир</t>
  </si>
  <si>
    <t>Мастера 60-69 (16.10.1951)/69</t>
  </si>
  <si>
    <t>Толстов Дмитрий</t>
  </si>
  <si>
    <t>Открытая (26.10.1973)/47</t>
  </si>
  <si>
    <t>99,90</t>
  </si>
  <si>
    <t xml:space="preserve">RUS/Кашира </t>
  </si>
  <si>
    <t xml:space="preserve">Егорочкин А. </t>
  </si>
  <si>
    <t>Мастера 40-49 (26.10.1973)/47</t>
  </si>
  <si>
    <t>Салов Андрей</t>
  </si>
  <si>
    <t>Мастера 60-69 (18.10.1959)/61</t>
  </si>
  <si>
    <t>92,90</t>
  </si>
  <si>
    <t>Сафин Максим</t>
  </si>
  <si>
    <t>Открытая (24.06.1983)/37</t>
  </si>
  <si>
    <t>Чередин Владимир</t>
  </si>
  <si>
    <t>Открытая (30.01.1971)/49</t>
  </si>
  <si>
    <t>124,50</t>
  </si>
  <si>
    <t xml:space="preserve">BLR/Мозырь </t>
  </si>
  <si>
    <t>291,0</t>
  </si>
  <si>
    <t xml:space="preserve">Залуцкий Р. </t>
  </si>
  <si>
    <t>Мастера 40-49 (30.01.1971)/49</t>
  </si>
  <si>
    <t>Байрамян Армен</t>
  </si>
  <si>
    <t>Мастера 50-59 (04.09.1970)/50</t>
  </si>
  <si>
    <t>182,3094</t>
  </si>
  <si>
    <t>173,4735</t>
  </si>
  <si>
    <t>164,3571</t>
  </si>
  <si>
    <t>Степанов Владимир</t>
  </si>
  <si>
    <t>Открытая (27.10.1994)/26</t>
  </si>
  <si>
    <t>Чугуров Сергей</t>
  </si>
  <si>
    <t>Открытая (22.06.1993)/27</t>
  </si>
  <si>
    <t>Пантюхин Артём</t>
  </si>
  <si>
    <t>Юниоры (23.11.2000)/20</t>
  </si>
  <si>
    <t>78,60</t>
  </si>
  <si>
    <t>Земерев Иван</t>
  </si>
  <si>
    <t>Открытая (14.01.1990)/30</t>
  </si>
  <si>
    <t xml:space="preserve">RUS/Сланцы </t>
  </si>
  <si>
    <t>Кончаков Владимир</t>
  </si>
  <si>
    <t>Открытая (25.05.1973)/47</t>
  </si>
  <si>
    <t>Мастера 40-49 (25.05.1973)/47</t>
  </si>
  <si>
    <t>Некрасов Марат</t>
  </si>
  <si>
    <t>Открытая (14.08.1990)/30</t>
  </si>
  <si>
    <t>105,00</t>
  </si>
  <si>
    <t>Краснобаев Даниил</t>
  </si>
  <si>
    <t>Открытая (18.05.1981)/39</t>
  </si>
  <si>
    <t xml:space="preserve">Кровиков А. </t>
  </si>
  <si>
    <t>Кочнев Максим</t>
  </si>
  <si>
    <t>Открытая (05.03.1990)/30</t>
  </si>
  <si>
    <t xml:space="preserve">Куликов М. </t>
  </si>
  <si>
    <t>Левин Александр</t>
  </si>
  <si>
    <t>Открытая (07.04.1988)/32</t>
  </si>
  <si>
    <t xml:space="preserve">Васильев Е. </t>
  </si>
  <si>
    <t>Волков Алексей</t>
  </si>
  <si>
    <t>Открытая (03.05.1985)/35</t>
  </si>
  <si>
    <t>77,10</t>
  </si>
  <si>
    <t>Килин Роман</t>
  </si>
  <si>
    <t>Открытая (02.06.1998)/22</t>
  </si>
  <si>
    <t xml:space="preserve">RUS/Чайковский </t>
  </si>
  <si>
    <t>Акулич Александр</t>
  </si>
  <si>
    <t>Открытая (17.11.1981)/39</t>
  </si>
  <si>
    <t>355,0</t>
  </si>
  <si>
    <t>365,0</t>
  </si>
  <si>
    <t>Беспаликов Валерий</t>
  </si>
  <si>
    <t>Открытая (07.04.1981)/39</t>
  </si>
  <si>
    <t xml:space="preserve">Сербин А. </t>
  </si>
  <si>
    <t>Евтеев Алексей</t>
  </si>
  <si>
    <t>Открытая (08.08.1994)/26</t>
  </si>
  <si>
    <t xml:space="preserve">Сайденцаль О. </t>
  </si>
  <si>
    <t>Сухарев Андрей</t>
  </si>
  <si>
    <t>Открытая (22.07.1974)/46</t>
  </si>
  <si>
    <t>106,50</t>
  </si>
  <si>
    <t>375,0</t>
  </si>
  <si>
    <t>385,0</t>
  </si>
  <si>
    <t>Семенов Роман</t>
  </si>
  <si>
    <t>Открытая (12.11.1979)/41</t>
  </si>
  <si>
    <t>101,10</t>
  </si>
  <si>
    <t>Пискарев Александр</t>
  </si>
  <si>
    <t>Открытая (02.09.1985)/35</t>
  </si>
  <si>
    <t>105,60</t>
  </si>
  <si>
    <t xml:space="preserve">Мамедов Э. </t>
  </si>
  <si>
    <t>Василенко Дмитрий</t>
  </si>
  <si>
    <t>Открытая (03.06.1975)/45</t>
  </si>
  <si>
    <t>Обрывченко Юрий</t>
  </si>
  <si>
    <t>Открытая (19.01.1987)/33</t>
  </si>
  <si>
    <t>Мастера 40-49 (12.11.1979)/41</t>
  </si>
  <si>
    <t>Мастера 40-49 (03.06.1975)/45</t>
  </si>
  <si>
    <t>Борисов Артур</t>
  </si>
  <si>
    <t>Юниоры (29.12.1997)/22</t>
  </si>
  <si>
    <t>116,20</t>
  </si>
  <si>
    <t>Рустамов Эльшан</t>
  </si>
  <si>
    <t>Открытая (22.06.1987)/33</t>
  </si>
  <si>
    <t>118,20</t>
  </si>
  <si>
    <t xml:space="preserve">Николаев В. </t>
  </si>
  <si>
    <t>212,9813</t>
  </si>
  <si>
    <t>211,3842</t>
  </si>
  <si>
    <t>209,1305</t>
  </si>
  <si>
    <t>Стародубцев Евгений</t>
  </si>
  <si>
    <t>251,0</t>
  </si>
  <si>
    <t>Суворов Юрий</t>
  </si>
  <si>
    <t>Мастера 50-59 (22.11.1965)/55</t>
  </si>
  <si>
    <t xml:space="preserve">Крылов М. </t>
  </si>
  <si>
    <t>Сухарев Кирилл</t>
  </si>
  <si>
    <t>Открытая (21.12.1993)/26</t>
  </si>
  <si>
    <t>342,5</t>
  </si>
  <si>
    <t xml:space="preserve">Сухарев А. </t>
  </si>
  <si>
    <t>Гаража Юрий</t>
  </si>
  <si>
    <t>Открытая (02.06.1982)/38</t>
  </si>
  <si>
    <t>107,80</t>
  </si>
  <si>
    <t xml:space="preserve">RUS/Архангельск </t>
  </si>
  <si>
    <t>Мастера 40-49 (22.07.1974)/46</t>
  </si>
  <si>
    <t>Кузнецов Евгений</t>
  </si>
  <si>
    <t>Мастера 40-49 (22.09.1978)/42</t>
  </si>
  <si>
    <t xml:space="preserve">Григорьев Д. </t>
  </si>
  <si>
    <t>390,0</t>
  </si>
  <si>
    <t>400,0</t>
  </si>
  <si>
    <t>Дудинец Андрей</t>
  </si>
  <si>
    <t>Открытая (02.06.1991)/29</t>
  </si>
  <si>
    <t>93,00</t>
  </si>
  <si>
    <t>Кириллов Анатолий</t>
  </si>
  <si>
    <t>Открытая (08.09.1981)/39</t>
  </si>
  <si>
    <t>83,00</t>
  </si>
  <si>
    <t>Григорьев Денис</t>
  </si>
  <si>
    <t>Открытая (07.08.1982)/38</t>
  </si>
  <si>
    <t>Скорнякова Анна</t>
  </si>
  <si>
    <t>Открытая (27.09.1991)/29</t>
  </si>
  <si>
    <t>58,00</t>
  </si>
  <si>
    <t>ВЕСОВАЯ КАТЕГОРИЯ   90+</t>
  </si>
  <si>
    <t>Цыплова Ольга</t>
  </si>
  <si>
    <t>Открытая (19.11.1975)/45</t>
  </si>
  <si>
    <t>91,80</t>
  </si>
  <si>
    <t>Мастера 40-49 (19.11.1975)/45</t>
  </si>
  <si>
    <t>Гусейнов Руслан</t>
  </si>
  <si>
    <t>Юниоры (25.05.1998)/22</t>
  </si>
  <si>
    <t>58,40</t>
  </si>
  <si>
    <t>Жидков Дмитрий</t>
  </si>
  <si>
    <t>Мастера 50-59 (07.04.1967)/53</t>
  </si>
  <si>
    <t xml:space="preserve">Банасинский С. </t>
  </si>
  <si>
    <t>Федянин Сергей</t>
  </si>
  <si>
    <t>Юниоры (21.07.1999)/21</t>
  </si>
  <si>
    <t>81,20</t>
  </si>
  <si>
    <t xml:space="preserve">Салахетдинов Э. </t>
  </si>
  <si>
    <t>Елисеев Павел</t>
  </si>
  <si>
    <t>Открытая (29.01.1986)/34</t>
  </si>
  <si>
    <t>Дольников Сергей</t>
  </si>
  <si>
    <t>Открытая (05.05.1986)/34</t>
  </si>
  <si>
    <t>79,30</t>
  </si>
  <si>
    <t>76,60</t>
  </si>
  <si>
    <t>Кубликов Михаил</t>
  </si>
  <si>
    <t>Мастера 50-59 (12.08.1970)/50</t>
  </si>
  <si>
    <t xml:space="preserve">Першиков Р. </t>
  </si>
  <si>
    <t>Комраков Владислав</t>
  </si>
  <si>
    <t>Юниоры (25.09.1998)/22</t>
  </si>
  <si>
    <t>Дмитриев Иван</t>
  </si>
  <si>
    <t>Открытая (11.06.1970)/50</t>
  </si>
  <si>
    <t>Исхаков Руслан</t>
  </si>
  <si>
    <t>Открытая (15.12.1986)/34</t>
  </si>
  <si>
    <t>86,60</t>
  </si>
  <si>
    <t xml:space="preserve">Непотюк А. </t>
  </si>
  <si>
    <t>Усманов Алексей</t>
  </si>
  <si>
    <t>Открытая (27.02.1973)/47</t>
  </si>
  <si>
    <t xml:space="preserve">RUS/Новосибирск </t>
  </si>
  <si>
    <t xml:space="preserve">Алексеев В. </t>
  </si>
  <si>
    <t>Мастера 40-49 (27.02.1973)/47</t>
  </si>
  <si>
    <t>Мастера 50-59 (11.06.1970)/50</t>
  </si>
  <si>
    <t>Лосученко Александр</t>
  </si>
  <si>
    <t>Мастера 60-69 (06.12.1955)/65</t>
  </si>
  <si>
    <t>Якубов Эмиль</t>
  </si>
  <si>
    <t>Юноши 17-19 (02.03.2001)/19</t>
  </si>
  <si>
    <t>96,00</t>
  </si>
  <si>
    <t>Илюткин Александр</t>
  </si>
  <si>
    <t>Открытая (03.02.1993)/27</t>
  </si>
  <si>
    <t xml:space="preserve">RUS/Таганрог </t>
  </si>
  <si>
    <t>Павлов Сергей</t>
  </si>
  <si>
    <t>Открытая (30.05.1985)/35</t>
  </si>
  <si>
    <t>Ржановский Александр</t>
  </si>
  <si>
    <t>Открытая (30.03.1994)/26</t>
  </si>
  <si>
    <t xml:space="preserve">RUS/Вологда </t>
  </si>
  <si>
    <t>Чернов Сергей</t>
  </si>
  <si>
    <t>Открытая (26.01.1993)/27</t>
  </si>
  <si>
    <t>Немчинов Александр</t>
  </si>
  <si>
    <t>Мастера 60-69 (10.11.1951)/69</t>
  </si>
  <si>
    <t>91,30</t>
  </si>
  <si>
    <t xml:space="preserve">RUS/Курск </t>
  </si>
  <si>
    <t>Салахетдинов Эльдар</t>
  </si>
  <si>
    <t>Юниоры (22.08.1998)/22</t>
  </si>
  <si>
    <t>Зозулинский Олег</t>
  </si>
  <si>
    <t>Открытая (03.07.1986)/34</t>
  </si>
  <si>
    <t>106,90</t>
  </si>
  <si>
    <t xml:space="preserve">RUS/Луганск </t>
  </si>
  <si>
    <t>Ляпустин Дмитрий</t>
  </si>
  <si>
    <t>Открытая (06.12.1992)/28</t>
  </si>
  <si>
    <t>104,50</t>
  </si>
  <si>
    <t>Крамсков Алексей</t>
  </si>
  <si>
    <t>Открытая (12.01.1994)/26</t>
  </si>
  <si>
    <t>Легезин Дмитрий</t>
  </si>
  <si>
    <t>Мастера 40-49 (23.07.1980)/40</t>
  </si>
  <si>
    <t>100,90</t>
  </si>
  <si>
    <t xml:space="preserve">Ефимов А. </t>
  </si>
  <si>
    <t>Черепанов Николай</t>
  </si>
  <si>
    <t>Юниоры (18.09.1997)/23</t>
  </si>
  <si>
    <t>355,5</t>
  </si>
  <si>
    <t>367,5</t>
  </si>
  <si>
    <t>Кучма Алексей</t>
  </si>
  <si>
    <t>Открытая (04.01.1979)/41</t>
  </si>
  <si>
    <t>123,90</t>
  </si>
  <si>
    <t>Открытая (10.03.1975)/45</t>
  </si>
  <si>
    <t>Хакяшев Муртаз</t>
  </si>
  <si>
    <t>Открытая (06.12.1977)/43</t>
  </si>
  <si>
    <t>119,90</t>
  </si>
  <si>
    <t>Лившиц Олег</t>
  </si>
  <si>
    <t>Мастера 40-49 (03.10.1973)/47</t>
  </si>
  <si>
    <t xml:space="preserve">Шишканова С. </t>
  </si>
  <si>
    <t>Мастера 40-49 (04.01.1979)/41</t>
  </si>
  <si>
    <t>Пермяков Сергей</t>
  </si>
  <si>
    <t>Открытая (09.09.1983)/37</t>
  </si>
  <si>
    <t>200,9440</t>
  </si>
  <si>
    <t>90+</t>
  </si>
  <si>
    <t>158,5820</t>
  </si>
  <si>
    <t>154,0370</t>
  </si>
  <si>
    <t>216,2805</t>
  </si>
  <si>
    <t>207,9440</t>
  </si>
  <si>
    <t>201,1250</t>
  </si>
  <si>
    <t>261,6218</t>
  </si>
  <si>
    <t>242,5679</t>
  </si>
  <si>
    <t>231,2937</t>
  </si>
  <si>
    <t>Пчелинцева Екатерина</t>
  </si>
  <si>
    <t>Открытая (31.07.1990)/30</t>
  </si>
  <si>
    <t xml:space="preserve">Думбровский А. </t>
  </si>
  <si>
    <t>Викторова Виктория</t>
  </si>
  <si>
    <t>Открытая (15.09.1999)/21</t>
  </si>
  <si>
    <t>51,50</t>
  </si>
  <si>
    <t xml:space="preserve">Батыев Д. </t>
  </si>
  <si>
    <t>Коробкова Ирина</t>
  </si>
  <si>
    <t>Открытая (12.10.1988)/32</t>
  </si>
  <si>
    <t xml:space="preserve">Джандар С. </t>
  </si>
  <si>
    <t>Горожанина Ольга</t>
  </si>
  <si>
    <t>Открытая (05.11.1983)/37</t>
  </si>
  <si>
    <t>Щучкина Анастасия</t>
  </si>
  <si>
    <t>Открытая (02.10.1990)/30</t>
  </si>
  <si>
    <t>51,40</t>
  </si>
  <si>
    <t>Родионова Анна</t>
  </si>
  <si>
    <t>Открытая (10.04.1982)/38</t>
  </si>
  <si>
    <t>53,80</t>
  </si>
  <si>
    <t>Мыслевская Анастасия</t>
  </si>
  <si>
    <t>Открытая (12.07.1989)/31</t>
  </si>
  <si>
    <t>54,10</t>
  </si>
  <si>
    <t>Ярмоленко Ирина</t>
  </si>
  <si>
    <t>Открытая (10.06.1985)/35</t>
  </si>
  <si>
    <t>54,20</t>
  </si>
  <si>
    <t>Насырова Анжелика</t>
  </si>
  <si>
    <t>Открытая (13.06.1995)/25</t>
  </si>
  <si>
    <t>55,10</t>
  </si>
  <si>
    <t xml:space="preserve">Салпагаров Д. </t>
  </si>
  <si>
    <t>Арифулина Мария</t>
  </si>
  <si>
    <t>Открытая (17.10.1989)/31</t>
  </si>
  <si>
    <t xml:space="preserve">Скаржинский И. </t>
  </si>
  <si>
    <t>Кузнецова Мария</t>
  </si>
  <si>
    <t>Открытая (02.05.1992)/28</t>
  </si>
  <si>
    <t>Ничкова Анастасия</t>
  </si>
  <si>
    <t>Открытая (24.05.1996)/24</t>
  </si>
  <si>
    <t>62,80</t>
  </si>
  <si>
    <t xml:space="preserve">Крамсков А. </t>
  </si>
  <si>
    <t>Каширина Маргарита</t>
  </si>
  <si>
    <t>67,90</t>
  </si>
  <si>
    <t>Кононцева Елизавета</t>
  </si>
  <si>
    <t>Открытая (04.05.1995)/25</t>
  </si>
  <si>
    <t>70,80</t>
  </si>
  <si>
    <t xml:space="preserve">Михалёв Е. </t>
  </si>
  <si>
    <t>Кузьмина Юлия</t>
  </si>
  <si>
    <t>Открытая (02.09.1989)/31</t>
  </si>
  <si>
    <t xml:space="preserve">RUS/Зеленокумск </t>
  </si>
  <si>
    <t>Иванцова Татьяна</t>
  </si>
  <si>
    <t>Мастера 40-49 (22.06.1979)/41</t>
  </si>
  <si>
    <t>70,20</t>
  </si>
  <si>
    <t>Ткачун Елена</t>
  </si>
  <si>
    <t>Мастера 50-59 (10.05.1961)/59</t>
  </si>
  <si>
    <t>138,0</t>
  </si>
  <si>
    <t xml:space="preserve">Съемщиков И. </t>
  </si>
  <si>
    <t>Щербаков Дмитрий</t>
  </si>
  <si>
    <t>Открытая (27.04.1984)/36</t>
  </si>
  <si>
    <t>61,40</t>
  </si>
  <si>
    <t xml:space="preserve">RUS/Дмитров </t>
  </si>
  <si>
    <t>Ахметзянов Галимжан</t>
  </si>
  <si>
    <t>Мастера 60-69 (29.10.1952)/68</t>
  </si>
  <si>
    <t>Князев Леонид</t>
  </si>
  <si>
    <t>Юниоры (31.12.1997)/22</t>
  </si>
  <si>
    <t>72,20</t>
  </si>
  <si>
    <t>Кузнецов Дмитрий</t>
  </si>
  <si>
    <t>Юниоры (30.01.2000)/20</t>
  </si>
  <si>
    <t>71,60</t>
  </si>
  <si>
    <t xml:space="preserve">Яскевич Д. </t>
  </si>
  <si>
    <t>Палоян Вартан</t>
  </si>
  <si>
    <t>Открытая (11.06.1989)/31</t>
  </si>
  <si>
    <t>Луконин Юрий</t>
  </si>
  <si>
    <t>Открытая (27.04.1990)/30</t>
  </si>
  <si>
    <t xml:space="preserve">RUS/Энгельс </t>
  </si>
  <si>
    <t>Джапаридзе Вахтанг</t>
  </si>
  <si>
    <t>Открытая (17.09.1990)/30</t>
  </si>
  <si>
    <t>74,70</t>
  </si>
  <si>
    <t xml:space="preserve">Федоров И. </t>
  </si>
  <si>
    <t>Щемелев Владимир</t>
  </si>
  <si>
    <t>Мастера 50-59 (02.04.1961)/59</t>
  </si>
  <si>
    <t>Айсаев Мухтар</t>
  </si>
  <si>
    <t>Юниоры (21.01.1998)/22</t>
  </si>
  <si>
    <t xml:space="preserve">RUS/Сафоново </t>
  </si>
  <si>
    <t>Самойлов Максим</t>
  </si>
  <si>
    <t>Открытая (04.05.1996)/24</t>
  </si>
  <si>
    <t xml:space="preserve">Савин А. </t>
  </si>
  <si>
    <t>Астафуров Денис</t>
  </si>
  <si>
    <t>Открытая (15.04.1982)/38</t>
  </si>
  <si>
    <t>82,10</t>
  </si>
  <si>
    <t>Жидков Максим</t>
  </si>
  <si>
    <t>Юниоры (06.03.1998)/22</t>
  </si>
  <si>
    <t>Федорец Михаил</t>
  </si>
  <si>
    <t>Открытая (29.07.1989)/31</t>
  </si>
  <si>
    <t>Хватов Ярослав</t>
  </si>
  <si>
    <t>Открытая (09.03.1994)/26</t>
  </si>
  <si>
    <t>Рожков Михаил</t>
  </si>
  <si>
    <t>Открытая (08.10.1989)/31</t>
  </si>
  <si>
    <t xml:space="preserve">UKR/Донецк </t>
  </si>
  <si>
    <t>Курбала Алексей</t>
  </si>
  <si>
    <t>Открытая (18.02.1983)/37</t>
  </si>
  <si>
    <t xml:space="preserve">Дьячков А. </t>
  </si>
  <si>
    <t>Федосеев Иван</t>
  </si>
  <si>
    <t>Мастера 40-49 (06.01.1976)/44</t>
  </si>
  <si>
    <t>Этезов Вадим</t>
  </si>
  <si>
    <t>Мастера 40-49 (03.03.1979)/41</t>
  </si>
  <si>
    <t xml:space="preserve">RUS/Тырныауз </t>
  </si>
  <si>
    <t xml:space="preserve">Самойлов М. </t>
  </si>
  <si>
    <t>Марченко Эдуард</t>
  </si>
  <si>
    <t>Открытая (17.03.1992)/28</t>
  </si>
  <si>
    <t xml:space="preserve">UKR/Кривой Рог </t>
  </si>
  <si>
    <t>Субботин Евгений</t>
  </si>
  <si>
    <t>Открытая (05.02.1992)/28</t>
  </si>
  <si>
    <t>Саванин Павел</t>
  </si>
  <si>
    <t>Открытая (17.10.1988)/32</t>
  </si>
  <si>
    <t>97,70</t>
  </si>
  <si>
    <t xml:space="preserve">RUS/Обнинск </t>
  </si>
  <si>
    <t>Машков Артём</t>
  </si>
  <si>
    <t>Открытая (16.10.1996)/24</t>
  </si>
  <si>
    <t xml:space="preserve">RUS/Мурмаши </t>
  </si>
  <si>
    <t>Надирашвили Гиоргий</t>
  </si>
  <si>
    <t>Открытая (10.01.1987)/33</t>
  </si>
  <si>
    <t>Открытая (06.06.1965)/55</t>
  </si>
  <si>
    <t>Виноградов Владислав</t>
  </si>
  <si>
    <t>Открытая (03.12.1989)/31</t>
  </si>
  <si>
    <t xml:space="preserve">RUS/Урюпинск </t>
  </si>
  <si>
    <t>Дроганов Дмитрий</t>
  </si>
  <si>
    <t>Открытая (01.01.1988)/32</t>
  </si>
  <si>
    <t>Дыгов Алим</t>
  </si>
  <si>
    <t>Открытая (16.04.1985)/35</t>
  </si>
  <si>
    <t xml:space="preserve">Хашпаков М. </t>
  </si>
  <si>
    <t>Мурзаков Василий</t>
  </si>
  <si>
    <t>Открытая (01.08.1985)/35</t>
  </si>
  <si>
    <t xml:space="preserve">Кравченко Е. </t>
  </si>
  <si>
    <t>Лоханов Николай</t>
  </si>
  <si>
    <t>Мастера 50-59 (03.04.1961)/59</t>
  </si>
  <si>
    <t>206,8630</t>
  </si>
  <si>
    <t>200,7192</t>
  </si>
  <si>
    <t>180,1205</t>
  </si>
  <si>
    <t>214,9800</t>
  </si>
  <si>
    <t>197,7260</t>
  </si>
  <si>
    <t>196,3520</t>
  </si>
  <si>
    <t>259,8350</t>
  </si>
  <si>
    <t>193,6710</t>
  </si>
  <si>
    <t>186,6091</t>
  </si>
  <si>
    <t>Корунов Виктор</t>
  </si>
  <si>
    <t>Мастера 60-69 (01.05.1959)/61</t>
  </si>
  <si>
    <t xml:space="preserve">RUS/Великий Новгород </t>
  </si>
  <si>
    <t>Куликов Станислав</t>
  </si>
  <si>
    <t>Открытая (29.11.1978)/42</t>
  </si>
  <si>
    <t>97,10</t>
  </si>
  <si>
    <t xml:space="preserve">RUS/Ноябрьск </t>
  </si>
  <si>
    <t>Мастера 40-49 (29.11.1978)/42</t>
  </si>
  <si>
    <t>Самбуров Алексей</t>
  </si>
  <si>
    <t>Мастера 40-49 (23.09.1975)/45</t>
  </si>
  <si>
    <t xml:space="preserve">Александров С. </t>
  </si>
  <si>
    <t>Доманский Александр</t>
  </si>
  <si>
    <t>Открытая (21.11.1985)/35</t>
  </si>
  <si>
    <t>Барановский Артём</t>
  </si>
  <si>
    <t>Открытая (31.12.1995)/24</t>
  </si>
  <si>
    <t>Гояев Тамерлан</t>
  </si>
  <si>
    <t>Открытая (26.08.1989)/31</t>
  </si>
  <si>
    <t xml:space="preserve">RUS/Беслан </t>
  </si>
  <si>
    <t>Сидоровский Сергей</t>
  </si>
  <si>
    <t>Мастера 40-49 (12.05.1971)/49</t>
  </si>
  <si>
    <t xml:space="preserve">Силушин П. </t>
  </si>
  <si>
    <t>Горюнов Владимир</t>
  </si>
  <si>
    <t>Мастера 60-69 (02.02.1953)/67</t>
  </si>
  <si>
    <t>Леонтьев Ярослав</t>
  </si>
  <si>
    <t xml:space="preserve">Горбунов А. </t>
  </si>
  <si>
    <t>Алиев Владимир</t>
  </si>
  <si>
    <t>Открытая (26.01.1992)/28</t>
  </si>
  <si>
    <t xml:space="preserve">UKR/Макеевка </t>
  </si>
  <si>
    <t xml:space="preserve">Мельников Н. </t>
  </si>
  <si>
    <t>Фомин Андрей</t>
  </si>
  <si>
    <t>Открытая (02.04.1982)/38</t>
  </si>
  <si>
    <t>Маренков Юрий</t>
  </si>
  <si>
    <t>Открытая (18.12.1976)/44</t>
  </si>
  <si>
    <t>Мастера 40-49 (18.12.1976)/44</t>
  </si>
  <si>
    <t>Герун Андрей</t>
  </si>
  <si>
    <t>Мастера 40-49 (02.02.1971)/49</t>
  </si>
  <si>
    <t>96,40</t>
  </si>
  <si>
    <t>Мастера 40-49 (13.09.1980)/40</t>
  </si>
  <si>
    <t>120,90</t>
  </si>
  <si>
    <t>Друкер Владимир</t>
  </si>
  <si>
    <t>Мастера 70-79 (23.04.1950)/70</t>
  </si>
  <si>
    <t>540,0</t>
  </si>
  <si>
    <t>330,2640</t>
  </si>
  <si>
    <t>475,0</t>
  </si>
  <si>
    <t>319,8650</t>
  </si>
  <si>
    <t>467,5</t>
  </si>
  <si>
    <t>301,2570</t>
  </si>
  <si>
    <t>367,0002</t>
  </si>
  <si>
    <t>440,0</t>
  </si>
  <si>
    <t>350,9378</t>
  </si>
  <si>
    <t>341,8275</t>
  </si>
  <si>
    <t>Лапин-Кратасюк</t>
  </si>
  <si>
    <t>Контарь Инесса</t>
  </si>
  <si>
    <t>Открытая (25.01.1980)/40</t>
  </si>
  <si>
    <t>55,60</t>
  </si>
  <si>
    <t xml:space="preserve">Опиченок Е. </t>
  </si>
  <si>
    <t>Воропаева Ольга</t>
  </si>
  <si>
    <t>Мастера 50-59 (15.07.1965)/55</t>
  </si>
  <si>
    <t xml:space="preserve">RUS/Солнечногорск </t>
  </si>
  <si>
    <t xml:space="preserve">Борисов Н. </t>
  </si>
  <si>
    <t>Жевнов Даниил</t>
  </si>
  <si>
    <t>Юноши 14-16 (16.12.2007)/13</t>
  </si>
  <si>
    <t>32,50</t>
  </si>
  <si>
    <t>27,5</t>
  </si>
  <si>
    <t>30,0</t>
  </si>
  <si>
    <t>Скворцов Александр</t>
  </si>
  <si>
    <t>Открытая (16.01.2004)/16</t>
  </si>
  <si>
    <t>Жевнов Никита</t>
  </si>
  <si>
    <t>Юноши 14-16 (29.01.2004)/16</t>
  </si>
  <si>
    <t>Пономарев Егор</t>
  </si>
  <si>
    <t>Юноши 14-16 (19.04.2004)/16</t>
  </si>
  <si>
    <t>71,70</t>
  </si>
  <si>
    <t xml:space="preserve">Кончакова Н. </t>
  </si>
  <si>
    <t>Брежнев Андрей</t>
  </si>
  <si>
    <t>Открытая (10.06.1984)/36</t>
  </si>
  <si>
    <t>Кочетков Александр</t>
  </si>
  <si>
    <t>Открытая (19.09.1988)/32</t>
  </si>
  <si>
    <t>Дмитриев Максим</t>
  </si>
  <si>
    <t>Открытая (29.05.1991)/29</t>
  </si>
  <si>
    <t>Еремин Владимир</t>
  </si>
  <si>
    <t>Мастера 40-49 (14.07.1975)/45</t>
  </si>
  <si>
    <t xml:space="preserve">RUS/Коломна </t>
  </si>
  <si>
    <t>532,5</t>
  </si>
  <si>
    <t>303,4185</t>
  </si>
  <si>
    <t>417,5</t>
  </si>
  <si>
    <t>281,1445</t>
  </si>
  <si>
    <t>259,0080</t>
  </si>
  <si>
    <t>22,5</t>
  </si>
  <si>
    <t>25,0</t>
  </si>
  <si>
    <t>71,20</t>
  </si>
  <si>
    <t>Крищук Олег</t>
  </si>
  <si>
    <t>58,70</t>
  </si>
  <si>
    <t>Олисаев Вадим</t>
  </si>
  <si>
    <t>67,00</t>
  </si>
  <si>
    <t xml:space="preserve">Сорокин В. </t>
  </si>
  <si>
    <t>Шатов Никита</t>
  </si>
  <si>
    <t>Копаев Виктор</t>
  </si>
  <si>
    <t>Открытая (02.02.1990)/30</t>
  </si>
  <si>
    <t>Открытая (16.06.2002)/18</t>
  </si>
  <si>
    <t>Кирилюк Дмитрий</t>
  </si>
  <si>
    <t>Открытая (25.02.1967)/53</t>
  </si>
  <si>
    <t>Андреев Ярослав</t>
  </si>
  <si>
    <t xml:space="preserve">RUS/Кропоткин </t>
  </si>
  <si>
    <t>Агхйурли Мухамед</t>
  </si>
  <si>
    <t>74,80</t>
  </si>
  <si>
    <t>Качалин Андрей</t>
  </si>
  <si>
    <t>Шапкин Александр</t>
  </si>
  <si>
    <t>Открытая (30.07.1985)/35</t>
  </si>
  <si>
    <t xml:space="preserve">RUS/Галич </t>
  </si>
  <si>
    <t xml:space="preserve">Грачёв А. </t>
  </si>
  <si>
    <t>Гайфутдинов Алексей</t>
  </si>
  <si>
    <t>Открытая (24.08.1984)/36</t>
  </si>
  <si>
    <t>72,40</t>
  </si>
  <si>
    <t>Чусов Александр</t>
  </si>
  <si>
    <t>Открытая (20.09.1995)/25</t>
  </si>
  <si>
    <t>Колистратов Дмитрий</t>
  </si>
  <si>
    <t>68,0</t>
  </si>
  <si>
    <t>Дуров Сергей</t>
  </si>
  <si>
    <t>68,5</t>
  </si>
  <si>
    <t>Никитченко Сергей</t>
  </si>
  <si>
    <t>Шепилов Кирилл</t>
  </si>
  <si>
    <t>Шафарук Дмитрий</t>
  </si>
  <si>
    <t>77,60</t>
  </si>
  <si>
    <t xml:space="preserve">RUS/Ивантеевка </t>
  </si>
  <si>
    <t>Яллин Богдан</t>
  </si>
  <si>
    <t>Сакович Олег</t>
  </si>
  <si>
    <t>Открытая (21.08.1992)/28</t>
  </si>
  <si>
    <t>76,50</t>
  </si>
  <si>
    <t>Шарлай Александр</t>
  </si>
  <si>
    <t>Открытая (15.02.1987)/33</t>
  </si>
  <si>
    <t xml:space="preserve">RUS/Щёлкино </t>
  </si>
  <si>
    <t>Хорев Артур</t>
  </si>
  <si>
    <t>Открытая (14.10.1986)/34</t>
  </si>
  <si>
    <t>79,80</t>
  </si>
  <si>
    <t xml:space="preserve">RUS/Лыткарино </t>
  </si>
  <si>
    <t>Котов Валерий</t>
  </si>
  <si>
    <t>Открытая (15.09.1991)/29</t>
  </si>
  <si>
    <t>76,10</t>
  </si>
  <si>
    <t>Храпачев Сергей</t>
  </si>
  <si>
    <t>Бездольнов Олег</t>
  </si>
  <si>
    <t xml:space="preserve">RUS/Боровск </t>
  </si>
  <si>
    <t>Муравьев Артем</t>
  </si>
  <si>
    <t>78,0</t>
  </si>
  <si>
    <t xml:space="preserve">Макаров И. </t>
  </si>
  <si>
    <t>Волков Максим</t>
  </si>
  <si>
    <t>Открытая (17.10.1973)/47</t>
  </si>
  <si>
    <t>Варлаков Сергей</t>
  </si>
  <si>
    <t>Открытая (20.09.1983)/37</t>
  </si>
  <si>
    <t xml:space="preserve">RUS/Курган </t>
  </si>
  <si>
    <t>Зинушин Михаил</t>
  </si>
  <si>
    <t>Открытая (18.11.1987)/33</t>
  </si>
  <si>
    <t>83,50</t>
  </si>
  <si>
    <t>Пенько Константин</t>
  </si>
  <si>
    <t>Мастера 60+ (16.08.1960)/60</t>
  </si>
  <si>
    <t>Абдуллин Марат</t>
  </si>
  <si>
    <t>Открытая (21.07.1985)/35</t>
  </si>
  <si>
    <t xml:space="preserve">Борю Ю. </t>
  </si>
  <si>
    <t>Лобачев Александр</t>
  </si>
  <si>
    <t>Открытая (16.12.1992)/28</t>
  </si>
  <si>
    <t xml:space="preserve">RUS/Ожерелье </t>
  </si>
  <si>
    <t>Мельяновский Александр</t>
  </si>
  <si>
    <t>91,10</t>
  </si>
  <si>
    <t>Эльмурзиев Алихан</t>
  </si>
  <si>
    <t>Спиридонов Валентин</t>
  </si>
  <si>
    <t>105,90</t>
  </si>
  <si>
    <t>Спиридонов Павел</t>
  </si>
  <si>
    <t>104,80</t>
  </si>
  <si>
    <t xml:space="preserve">Никифоров Д. </t>
  </si>
  <si>
    <t>Тагиев Низами</t>
  </si>
  <si>
    <t>Открытая (05.04.1991)/29</t>
  </si>
  <si>
    <t xml:space="preserve">RUS/Горячий Ключ </t>
  </si>
  <si>
    <t>109,0</t>
  </si>
  <si>
    <t>108,5</t>
  </si>
  <si>
    <t>Открытая (29.01.1997)/23</t>
  </si>
  <si>
    <t>Николаев Максим</t>
  </si>
  <si>
    <t>Открытая (26.07.1983)/37</t>
  </si>
  <si>
    <t>135,30</t>
  </si>
  <si>
    <t xml:space="preserve">Тукаев А. </t>
  </si>
  <si>
    <t>Жуковский Антон</t>
  </si>
  <si>
    <t>125,20</t>
  </si>
  <si>
    <t xml:space="preserve">BLR/Витебск </t>
  </si>
  <si>
    <t>57,5505</t>
  </si>
  <si>
    <t>54,1725</t>
  </si>
  <si>
    <t>45,4466</t>
  </si>
  <si>
    <t>61,0740</t>
  </si>
  <si>
    <t>60,7053</t>
  </si>
  <si>
    <t>51,6208</t>
  </si>
  <si>
    <t>50,6540</t>
  </si>
  <si>
    <t>49,8707</t>
  </si>
  <si>
    <t xml:space="preserve">Ковалев С. </t>
  </si>
  <si>
    <t xml:space="preserve">RUS/Фурманов </t>
  </si>
  <si>
    <t>Зайцева Таисья</t>
  </si>
  <si>
    <t>Мастера 70-79 (30.08.1947)/73</t>
  </si>
  <si>
    <t xml:space="preserve">RUS/Вичуга </t>
  </si>
  <si>
    <t xml:space="preserve">Ковалёв С. </t>
  </si>
  <si>
    <t>Косарев Евгений</t>
  </si>
  <si>
    <t>Мастера 50-59 (29.03.1961)/59</t>
  </si>
  <si>
    <t>63,40</t>
  </si>
  <si>
    <t>Гвоздев Георгий</t>
  </si>
  <si>
    <t>Мастера 60-69 (26.04.1959)/61</t>
  </si>
  <si>
    <t>Груничев Вячеслав</t>
  </si>
  <si>
    <t>Мастера 80+ (16.06.1939)/81</t>
  </si>
  <si>
    <t>Пурышев Иван</t>
  </si>
  <si>
    <t>Мастера 40-49 (03.05.1980)/40</t>
  </si>
  <si>
    <t>Дмитричев Евгений</t>
  </si>
  <si>
    <t>Мастера 50-59 (18.12.1969)/51</t>
  </si>
  <si>
    <t>Аристов Олег</t>
  </si>
  <si>
    <t>Мастера 60-69 (08.03.1955)/65</t>
  </si>
  <si>
    <t xml:space="preserve">RUS/Кохма </t>
  </si>
  <si>
    <t>Кузнецов Владимир</t>
  </si>
  <si>
    <t>Мастера 70-79 (04.03.1945)/75</t>
  </si>
  <si>
    <t>95,90</t>
  </si>
  <si>
    <t>Ковалев Сергей</t>
  </si>
  <si>
    <t>Мастера 50-59 (22.05.1969)/51</t>
  </si>
  <si>
    <t>102,40</t>
  </si>
  <si>
    <t>103,9902</t>
  </si>
  <si>
    <t>102,8445</t>
  </si>
  <si>
    <t>102,5641</t>
  </si>
  <si>
    <t xml:space="preserve">Поздеев К. </t>
  </si>
  <si>
    <t>Весовая категория</t>
  </si>
  <si>
    <t xml:space="preserve">Агапов Д. </t>
  </si>
  <si>
    <t xml:space="preserve">Койков Е. </t>
  </si>
  <si>
    <t xml:space="preserve">Мураткин А. </t>
  </si>
  <si>
    <t xml:space="preserve">Стадник Н. </t>
  </si>
  <si>
    <t>0.00</t>
  </si>
  <si>
    <t xml:space="preserve"> RUS/Подольск  </t>
  </si>
  <si>
    <t xml:space="preserve"> RUS/Красноярск  </t>
  </si>
  <si>
    <t xml:space="preserve"> RUS/Новомичуринск  </t>
  </si>
  <si>
    <t xml:space="preserve">Филатов М. </t>
  </si>
  <si>
    <t xml:space="preserve">Сухова Е. </t>
  </si>
  <si>
    <t xml:space="preserve">Романов Д. </t>
  </si>
  <si>
    <t xml:space="preserve">Циванюк А. </t>
  </si>
  <si>
    <t xml:space="preserve">Бобров В. </t>
  </si>
  <si>
    <t xml:space="preserve">Римиханов И. </t>
  </si>
  <si>
    <t xml:space="preserve">Копылов П., Адильсултанов А. </t>
  </si>
  <si>
    <t xml:space="preserve">Милин И., Нидилько И. </t>
  </si>
  <si>
    <t xml:space="preserve">UZB/Термез </t>
  </si>
  <si>
    <t xml:space="preserve">Поздняков И. </t>
  </si>
  <si>
    <t xml:space="preserve">Коновалов С., Рыбальченко К. </t>
  </si>
  <si>
    <t xml:space="preserve">Мурашов М. </t>
  </si>
  <si>
    <t xml:space="preserve">Скорятин А. </t>
  </si>
  <si>
    <t xml:space="preserve"> RUS/Алкадар </t>
  </si>
  <si>
    <t xml:space="preserve"> RUS/Сычевка </t>
  </si>
  <si>
    <t>Андреев Т.</t>
  </si>
  <si>
    <t xml:space="preserve">Елфимов С. </t>
  </si>
  <si>
    <t xml:space="preserve">Румянцева С. </t>
  </si>
  <si>
    <t xml:space="preserve">Тарасевич Ю. </t>
  </si>
  <si>
    <t xml:space="preserve">Абдулин М. </t>
  </si>
  <si>
    <t xml:space="preserve"> RUS/Санкт-Петербург  </t>
  </si>
  <si>
    <t xml:space="preserve"> RUS/Москва </t>
  </si>
  <si>
    <t xml:space="preserve">Быстрова Я. </t>
  </si>
  <si>
    <t xml:space="preserve">Василенко Д. </t>
  </si>
  <si>
    <t>Чемпионат мира WRPF
WRPF Жим лежа СФО
Москва, 17-20 декабря 2020 года</t>
  </si>
  <si>
    <t>Чемпионат мира WRPF
WRPF Строгий подъем штанги на бицепс
Москва, 17-20 декабря 2020 года</t>
  </si>
  <si>
    <t>Чемпионат мира WRPF/WEPF
WRPF любители Пауэрлифтинг без экипировки ДК
Москва, 17-20 декабря 2020 года</t>
  </si>
  <si>
    <t>Чемпионат мира WRPF/WEPF
WRPF любители Пауэрлифтинг без экипировки
Москва, 17-20 декабря 2020 года</t>
  </si>
  <si>
    <t>Чемпионат мира WRPF/WEPF
WRPF любители Пауэрлифтинг классический в бинтах ДК
Москва, 17-20 декабря 2020 года</t>
  </si>
  <si>
    <t>Чемпионат мира WRPF/WEPF
WRPF любители Пауэрлифтинг классический в бинтах
Москва, 17-20 декабря 2020 года</t>
  </si>
  <si>
    <t>Чемпионат мира WRPF/WEPF
WEPF любители Пауэрлифтинг в однослойной экипировке
Москва, 17-20 декабря 2020 года</t>
  </si>
  <si>
    <t>Чемпионат мира WRPF/WEPF
WEPF любители Пауэрлифтинг в многослойной экипировке ДК
Москва, 17-20 декабря 2020 года</t>
  </si>
  <si>
    <t>Чемпионат мира WRPF/WEPF
WEPF любители Пауэрлифтинг в многослойной экипировке
Москва, 17-20 декабря 2020 года</t>
  </si>
  <si>
    <t>Чемпионат мира WRPF/WEPF
WRPF любители Силовое двоеборье без экипировки ДК
Москва, 17-20 декабря 2020 года</t>
  </si>
  <si>
    <t>Чемпионат мира WRPF/WEPF
WRPF любители Силовое двоеборье без экипировки
Москва, 17-20 декабря 2020 года</t>
  </si>
  <si>
    <t>Чемпионат мира WRPF/WEPF
WRPF любители Жим лежа без экипировки ДК
Москва, 17-20 декабря 2020 года</t>
  </si>
  <si>
    <t>Чемпионат мира WRPF/WEPF
WRPF любители Жим лежа без экипировки
Москва, 17-20 декабря 2020 года</t>
  </si>
  <si>
    <t>Чемпионат мира WRPF/WEPF
WEPF любители Жим лежа в однослойной экипировке ДК
Москва, 17-20 декабря 2020 года</t>
  </si>
  <si>
    <t>Чемпионат мира WRPF/WEPF
WEPF любители Жим лежа в однослойной экипировке
Москва, 17-20 декабря 2020 года</t>
  </si>
  <si>
    <t>Чемпионат мира WRPF/WEPF
WEPF любители Жим лежа в многослойной экипировке ДК
Москва, 17-20 декабря 2020 года</t>
  </si>
  <si>
    <t>Чемпионат мира WRPF/WEPF
WEPF любители Жим лежа в многослойной экипировке
Москва, 17-20 декабря 2020 года</t>
  </si>
  <si>
    <t>Чемпионат мира WRPF/WEPF
WEPF Жим лежа в однопетельной софт экипировке ДК
Москва, 17-20 декабря 2020 года</t>
  </si>
  <si>
    <t>Чемпионат мира WRPF/WEPF
WEPF Жим лежа в однопетельной софт экипировке
Москва, 17-20 декабря 2020 года</t>
  </si>
  <si>
    <t>Чемпионат мира WRPF/WEPF
WEPF Жим лежа в многопетельной софт экипировке ДК
Москва, 17-20 декабря 2020 года</t>
  </si>
  <si>
    <t>Чемпионат мира WRPF/WEPF
WEPF Жим лежа в многопетельной софт экипировке
Москва, 17-20 декабря 2020 года</t>
  </si>
  <si>
    <t>Чемпионат мира WRPF/WEPF
WRPF любители Становая тяга без экипировки ДК
Москва, 17-20 декабря 2020 года</t>
  </si>
  <si>
    <t>Чемпионат мира WRPF/WEPF
WRPF любители Становая тяга без экипировки
Москва, 17-20 декабря 2020 года</t>
  </si>
  <si>
    <t>Чемпионат мира WRPF/WEPF
WEPF любители Становая тяга в экипировке ДК
Москва, 17-20 декабря 2020 года</t>
  </si>
  <si>
    <t>Чемпионат мира WRPF/WEPF
WEPF любители Становая тяга в экипировке
Москва, 17-20 декабря 2020 года</t>
  </si>
  <si>
    <t>Мастера 40-49 (29.05.1975)/45</t>
  </si>
  <si>
    <t>Юноши 13-19 (16.06.2002)/18</t>
  </si>
  <si>
    <t>Юниоры 20-23 (26.02.1999)/21</t>
  </si>
  <si>
    <t>Мастера 50-59 (25.02.1967)/53</t>
  </si>
  <si>
    <t>Юноши 13-19 (23.11.2002)/18</t>
  </si>
  <si>
    <t>Юноши 13-19 (04.08.2001)/19</t>
  </si>
  <si>
    <t>Юниоры 20-23 (14.10.1997)/23</t>
  </si>
  <si>
    <t>Мастера 40-49 (08.03.1977)/43</t>
  </si>
  <si>
    <t>Мастера 40-49 (08.09.1974)/46</t>
  </si>
  <si>
    <t>Мастера 40-49 (10.09.1978)/42</t>
  </si>
  <si>
    <t>Юноши 13-19 (04.03.2003)/17</t>
  </si>
  <si>
    <t>Юноши 13-19 (26.11.2003)/17</t>
  </si>
  <si>
    <t>Юноши 13-19 (28.02.2001)/19</t>
  </si>
  <si>
    <t>Юниоры 20-23 (29.05.1999)/21</t>
  </si>
  <si>
    <t>Юниоры 20-23 (04.02.1999)/21</t>
  </si>
  <si>
    <t>Мастера 40-49 (24.12.1976)/43</t>
  </si>
  <si>
    <t>Мастера 50-59 (27.03.1964)/56</t>
  </si>
  <si>
    <t>Юниоры 20-23 (26.11.1997)/23</t>
  </si>
  <si>
    <t>Мастера 40-49 (17.10.1973)/47</t>
  </si>
  <si>
    <t>Мастера 50-59 (10.05.1962)/58</t>
  </si>
  <si>
    <t>Мастера 40-49 (05.04.1978)/42</t>
  </si>
  <si>
    <t>Мастера 40-49 (06.05.1975)/45</t>
  </si>
  <si>
    <t>Юниоры 20-23 (17.03.1999)/21</t>
  </si>
  <si>
    <t>Юниоры 20-23 (29.01.1997)/23</t>
  </si>
  <si>
    <t xml:space="preserve">Юниоры 20-23 </t>
  </si>
  <si>
    <t xml:space="preserve">Весовая категория </t>
  </si>
  <si>
    <t xml:space="preserve">Горев Н. </t>
  </si>
  <si>
    <t xml:space="preserve"> RUS/Вичуга </t>
  </si>
  <si>
    <t xml:space="preserve">Бессонов А. </t>
  </si>
  <si>
    <t xml:space="preserve">Канафиев Н. </t>
  </si>
  <si>
    <t xml:space="preserve"> RUS/Москва  </t>
  </si>
  <si>
    <t xml:space="preserve">Непряхин А. </t>
  </si>
  <si>
    <t xml:space="preserve">Кирилюк Д. </t>
  </si>
  <si>
    <t xml:space="preserve">Поволоцкий Д. </t>
  </si>
  <si>
    <t xml:space="preserve">Тагиев Н. </t>
  </si>
  <si>
    <t>Жим</t>
  </si>
  <si>
    <t>№</t>
  </si>
  <si>
    <t>Возрастная группа</t>
  </si>
  <si>
    <t>J</t>
  </si>
  <si>
    <t>O</t>
  </si>
  <si>
    <t>T2</t>
  </si>
  <si>
    <t>T1</t>
  </si>
  <si>
    <t>M1</t>
  </si>
  <si>
    <t>M3</t>
  </si>
  <si>
    <t>M2</t>
  </si>
  <si>
    <t>M4</t>
  </si>
  <si>
    <t xml:space="preserve">
Дата рождения/Возраст</t>
  </si>
  <si>
    <t>M5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</si>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</sst>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176"/>
  <sheetViews>
    <sheetView zoomScaleNormal="100" workbookViewId="0">
      <selection activeCell="E140" sqref="E140"/>
    </sheetView>
  </sheetViews>
  <sheetFormatPr baseColWidth="10" defaultColWidth="9.1640625" defaultRowHeight="13"/>
  <cols>
    <col min="1" max="1" width="7.5" style="5" bestFit="1" customWidth="1"/>
    <col min="2" max="2" width="29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5" style="5" bestFit="1" customWidth="1"/>
    <col min="7" max="18" width="5.5" style="6" customWidth="1"/>
    <col min="19" max="19" width="7.83203125" style="28" bestFit="1" customWidth="1"/>
    <col min="20" max="20" width="8.5" style="6" bestFit="1" customWidth="1"/>
    <col min="21" max="21" width="21.5" style="5" customWidth="1"/>
    <col min="22" max="16384" width="9.1640625" style="3"/>
  </cols>
  <sheetData>
    <row r="1" spans="1:21" s="2" customFormat="1" ht="29" customHeight="1">
      <c r="A1" s="71" t="s">
        <v>2628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1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79" t="s">
        <v>2687</v>
      </c>
      <c r="B3" s="85" t="s">
        <v>0</v>
      </c>
      <c r="C3" s="81" t="s">
        <v>5</v>
      </c>
      <c r="D3" s="81" t="s">
        <v>6</v>
      </c>
      <c r="E3" s="65" t="s">
        <v>2688</v>
      </c>
      <c r="F3" s="65" t="s">
        <v>7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65" t="s">
        <v>10</v>
      </c>
      <c r="P3" s="65"/>
      <c r="Q3" s="65"/>
      <c r="R3" s="65"/>
      <c r="S3" s="83" t="s">
        <v>1</v>
      </c>
      <c r="T3" s="65" t="s">
        <v>3</v>
      </c>
      <c r="U3" s="67" t="s">
        <v>2</v>
      </c>
    </row>
    <row r="4" spans="1:21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4"/>
      <c r="T4" s="66"/>
      <c r="U4" s="68"/>
    </row>
    <row r="5" spans="1:21" ht="16">
      <c r="A5" s="69" t="s">
        <v>763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1">
      <c r="A6" s="10" t="s">
        <v>352</v>
      </c>
      <c r="B6" s="9" t="s">
        <v>764</v>
      </c>
      <c r="C6" s="9" t="s">
        <v>765</v>
      </c>
      <c r="D6" s="9" t="s">
        <v>766</v>
      </c>
      <c r="E6" s="9" t="s">
        <v>2689</v>
      </c>
      <c r="F6" s="9" t="s">
        <v>513</v>
      </c>
      <c r="G6" s="23" t="s">
        <v>767</v>
      </c>
      <c r="H6" s="23" t="s">
        <v>767</v>
      </c>
      <c r="I6" s="23" t="s">
        <v>767</v>
      </c>
      <c r="J6" s="10"/>
      <c r="K6" s="23"/>
      <c r="L6" s="10"/>
      <c r="M6" s="10"/>
      <c r="N6" s="10"/>
      <c r="O6" s="23"/>
      <c r="P6" s="10"/>
      <c r="Q6" s="10"/>
      <c r="R6" s="10"/>
      <c r="S6" s="29">
        <v>0</v>
      </c>
      <c r="T6" s="10" t="str">
        <f>"0,0000"</f>
        <v>0,0000</v>
      </c>
      <c r="U6" s="9" t="s">
        <v>768</v>
      </c>
    </row>
    <row r="7" spans="1:21">
      <c r="A7" s="14" t="s">
        <v>349</v>
      </c>
      <c r="B7" s="13" t="s">
        <v>769</v>
      </c>
      <c r="C7" s="13" t="s">
        <v>770</v>
      </c>
      <c r="D7" s="13" t="s">
        <v>771</v>
      </c>
      <c r="E7" s="13" t="s">
        <v>2690</v>
      </c>
      <c r="F7" s="13" t="s">
        <v>772</v>
      </c>
      <c r="G7" s="27" t="s">
        <v>62</v>
      </c>
      <c r="H7" s="26" t="s">
        <v>24</v>
      </c>
      <c r="I7" s="26" t="s">
        <v>767</v>
      </c>
      <c r="J7" s="14"/>
      <c r="K7" s="26" t="s">
        <v>409</v>
      </c>
      <c r="L7" s="27" t="s">
        <v>16</v>
      </c>
      <c r="M7" s="27" t="s">
        <v>16</v>
      </c>
      <c r="N7" s="14"/>
      <c r="O7" s="26" t="s">
        <v>458</v>
      </c>
      <c r="P7" s="26" t="s">
        <v>466</v>
      </c>
      <c r="Q7" s="26" t="s">
        <v>627</v>
      </c>
      <c r="R7" s="14"/>
      <c r="S7" s="30" t="str">
        <f>"237,5"</f>
        <v>237,5</v>
      </c>
      <c r="T7" s="14" t="str">
        <f>"336,4425"</f>
        <v>336,4425</v>
      </c>
      <c r="U7" s="13" t="s">
        <v>773</v>
      </c>
    </row>
    <row r="8" spans="1:21">
      <c r="B8" s="5" t="s">
        <v>350</v>
      </c>
    </row>
    <row r="9" spans="1:21" ht="16">
      <c r="A9" s="82" t="s">
        <v>774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1">
      <c r="A10" s="10" t="s">
        <v>349</v>
      </c>
      <c r="B10" s="9" t="s">
        <v>775</v>
      </c>
      <c r="C10" s="9" t="s">
        <v>776</v>
      </c>
      <c r="D10" s="9" t="s">
        <v>777</v>
      </c>
      <c r="E10" s="9" t="s">
        <v>2691</v>
      </c>
      <c r="F10" s="9" t="s">
        <v>2599</v>
      </c>
      <c r="G10" s="22" t="s">
        <v>778</v>
      </c>
      <c r="H10" s="22" t="s">
        <v>62</v>
      </c>
      <c r="I10" s="22" t="s">
        <v>24</v>
      </c>
      <c r="J10" s="10"/>
      <c r="K10" s="22" t="s">
        <v>21</v>
      </c>
      <c r="L10" s="23" t="s">
        <v>779</v>
      </c>
      <c r="M10" s="10"/>
      <c r="N10" s="10"/>
      <c r="O10" s="22" t="s">
        <v>61</v>
      </c>
      <c r="P10" s="22" t="s">
        <v>62</v>
      </c>
      <c r="Q10" s="22" t="s">
        <v>767</v>
      </c>
      <c r="R10" s="10"/>
      <c r="S10" s="29" t="str">
        <f>"210,0"</f>
        <v>210,0</v>
      </c>
      <c r="T10" s="10" t="str">
        <f>"289,8840"</f>
        <v>289,8840</v>
      </c>
      <c r="U10" s="9" t="s">
        <v>2594</v>
      </c>
    </row>
    <row r="11" spans="1:21">
      <c r="A11" s="12" t="s">
        <v>352</v>
      </c>
      <c r="B11" s="11" t="s">
        <v>780</v>
      </c>
      <c r="C11" s="11" t="s">
        <v>781</v>
      </c>
      <c r="D11" s="11" t="s">
        <v>782</v>
      </c>
      <c r="E11" s="11" t="s">
        <v>2689</v>
      </c>
      <c r="F11" s="11" t="s">
        <v>783</v>
      </c>
      <c r="G11" s="25" t="s">
        <v>778</v>
      </c>
      <c r="H11" s="25" t="s">
        <v>778</v>
      </c>
      <c r="I11" s="25" t="s">
        <v>778</v>
      </c>
      <c r="J11" s="12"/>
      <c r="K11" s="25"/>
      <c r="L11" s="12"/>
      <c r="M11" s="12"/>
      <c r="N11" s="12"/>
      <c r="O11" s="25"/>
      <c r="P11" s="12"/>
      <c r="Q11" s="12"/>
      <c r="R11" s="12"/>
      <c r="S11" s="31">
        <v>0</v>
      </c>
      <c r="T11" s="12" t="str">
        <f>"0,0000"</f>
        <v>0,0000</v>
      </c>
      <c r="U11" s="11" t="s">
        <v>784</v>
      </c>
    </row>
    <row r="12" spans="1:21">
      <c r="A12" s="12" t="s">
        <v>349</v>
      </c>
      <c r="B12" s="11" t="s">
        <v>785</v>
      </c>
      <c r="C12" s="11" t="s">
        <v>786</v>
      </c>
      <c r="D12" s="11" t="s">
        <v>787</v>
      </c>
      <c r="E12" s="11" t="s">
        <v>2690</v>
      </c>
      <c r="F12" s="11" t="s">
        <v>788</v>
      </c>
      <c r="G12" s="25" t="s">
        <v>67</v>
      </c>
      <c r="H12" s="24" t="s">
        <v>67</v>
      </c>
      <c r="I12" s="24" t="s">
        <v>35</v>
      </c>
      <c r="J12" s="12"/>
      <c r="K12" s="24" t="s">
        <v>17</v>
      </c>
      <c r="L12" s="25" t="s">
        <v>48</v>
      </c>
      <c r="M12" s="25" t="s">
        <v>48</v>
      </c>
      <c r="N12" s="12"/>
      <c r="O12" s="25" t="s">
        <v>45</v>
      </c>
      <c r="P12" s="24" t="s">
        <v>52</v>
      </c>
      <c r="Q12" s="24" t="s">
        <v>47</v>
      </c>
      <c r="R12" s="12"/>
      <c r="S12" s="31" t="str">
        <f>"332,5"</f>
        <v>332,5</v>
      </c>
      <c r="T12" s="12" t="str">
        <f>"443,7545"</f>
        <v>443,7545</v>
      </c>
      <c r="U12" s="11" t="s">
        <v>789</v>
      </c>
    </row>
    <row r="13" spans="1:21">
      <c r="A13" s="12" t="s">
        <v>351</v>
      </c>
      <c r="B13" s="11" t="s">
        <v>790</v>
      </c>
      <c r="C13" s="11" t="s">
        <v>791</v>
      </c>
      <c r="D13" s="11" t="s">
        <v>792</v>
      </c>
      <c r="E13" s="11" t="s">
        <v>2690</v>
      </c>
      <c r="F13" s="11" t="s">
        <v>192</v>
      </c>
      <c r="G13" s="24" t="s">
        <v>23</v>
      </c>
      <c r="H13" s="24" t="s">
        <v>24</v>
      </c>
      <c r="I13" s="24" t="s">
        <v>407</v>
      </c>
      <c r="J13" s="12"/>
      <c r="K13" s="24" t="s">
        <v>408</v>
      </c>
      <c r="L13" s="24" t="s">
        <v>543</v>
      </c>
      <c r="M13" s="25" t="s">
        <v>16</v>
      </c>
      <c r="N13" s="12"/>
      <c r="O13" s="24" t="s">
        <v>36</v>
      </c>
      <c r="P13" s="24" t="s">
        <v>365</v>
      </c>
      <c r="Q13" s="25" t="s">
        <v>93</v>
      </c>
      <c r="R13" s="12"/>
      <c r="S13" s="31" t="str">
        <f>"272,5"</f>
        <v>272,5</v>
      </c>
      <c r="T13" s="12" t="str">
        <f>"370,4365"</f>
        <v>370,4365</v>
      </c>
      <c r="U13" s="11" t="s">
        <v>793</v>
      </c>
    </row>
    <row r="14" spans="1:21">
      <c r="A14" s="14" t="s">
        <v>353</v>
      </c>
      <c r="B14" s="13" t="s">
        <v>794</v>
      </c>
      <c r="C14" s="13" t="s">
        <v>795</v>
      </c>
      <c r="D14" s="13" t="s">
        <v>796</v>
      </c>
      <c r="E14" s="13" t="s">
        <v>2690</v>
      </c>
      <c r="F14" s="13" t="s">
        <v>797</v>
      </c>
      <c r="G14" s="27" t="s">
        <v>62</v>
      </c>
      <c r="H14" s="26" t="s">
        <v>62</v>
      </c>
      <c r="I14" s="26" t="s">
        <v>24</v>
      </c>
      <c r="J14" s="14"/>
      <c r="K14" s="26" t="s">
        <v>409</v>
      </c>
      <c r="L14" s="27" t="s">
        <v>16</v>
      </c>
      <c r="M14" s="27" t="s">
        <v>16</v>
      </c>
      <c r="N14" s="14"/>
      <c r="O14" s="26" t="s">
        <v>66</v>
      </c>
      <c r="P14" s="26" t="s">
        <v>83</v>
      </c>
      <c r="Q14" s="27" t="s">
        <v>34</v>
      </c>
      <c r="R14" s="14"/>
      <c r="S14" s="30" t="str">
        <f>"247,5"</f>
        <v>247,5</v>
      </c>
      <c r="T14" s="14" t="str">
        <f>"341,1292"</f>
        <v>341,1292</v>
      </c>
      <c r="U14" s="13"/>
    </row>
    <row r="15" spans="1:21">
      <c r="B15" s="5" t="s">
        <v>350</v>
      </c>
    </row>
    <row r="16" spans="1:21" ht="16">
      <c r="A16" s="82" t="s">
        <v>359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spans="1:21">
      <c r="A17" s="10" t="s">
        <v>349</v>
      </c>
      <c r="B17" s="9" t="s">
        <v>798</v>
      </c>
      <c r="C17" s="9" t="s">
        <v>799</v>
      </c>
      <c r="D17" s="9" t="s">
        <v>800</v>
      </c>
      <c r="E17" s="9" t="s">
        <v>2689</v>
      </c>
      <c r="F17" s="9" t="s">
        <v>221</v>
      </c>
      <c r="G17" s="23" t="s">
        <v>23</v>
      </c>
      <c r="H17" s="22" t="s">
        <v>23</v>
      </c>
      <c r="I17" s="22" t="s">
        <v>407</v>
      </c>
      <c r="J17" s="10"/>
      <c r="K17" s="22" t="s">
        <v>779</v>
      </c>
      <c r="L17" s="23" t="s">
        <v>408</v>
      </c>
      <c r="M17" s="22" t="s">
        <v>69</v>
      </c>
      <c r="N17" s="10"/>
      <c r="O17" s="22" t="s">
        <v>66</v>
      </c>
      <c r="P17" s="22" t="s">
        <v>83</v>
      </c>
      <c r="Q17" s="22" t="s">
        <v>67</v>
      </c>
      <c r="R17" s="10"/>
      <c r="S17" s="29" t="str">
        <f>"252,5"</f>
        <v>252,5</v>
      </c>
      <c r="T17" s="10" t="str">
        <f>"316,6602"</f>
        <v>316,6602</v>
      </c>
      <c r="U17" s="9" t="s">
        <v>801</v>
      </c>
    </row>
    <row r="18" spans="1:21">
      <c r="A18" s="12" t="s">
        <v>349</v>
      </c>
      <c r="B18" s="11" t="s">
        <v>802</v>
      </c>
      <c r="C18" s="11" t="s">
        <v>803</v>
      </c>
      <c r="D18" s="11" t="s">
        <v>800</v>
      </c>
      <c r="E18" s="11" t="s">
        <v>2690</v>
      </c>
      <c r="F18" s="11" t="s">
        <v>221</v>
      </c>
      <c r="G18" s="25" t="s">
        <v>458</v>
      </c>
      <c r="H18" s="25" t="s">
        <v>458</v>
      </c>
      <c r="I18" s="24" t="s">
        <v>458</v>
      </c>
      <c r="J18" s="12"/>
      <c r="K18" s="24" t="s">
        <v>16</v>
      </c>
      <c r="L18" s="25" t="s">
        <v>375</v>
      </c>
      <c r="M18" s="24" t="s">
        <v>375</v>
      </c>
      <c r="N18" s="12"/>
      <c r="O18" s="25" t="s">
        <v>365</v>
      </c>
      <c r="P18" s="25" t="s">
        <v>376</v>
      </c>
      <c r="Q18" s="24" t="s">
        <v>376</v>
      </c>
      <c r="R18" s="12"/>
      <c r="S18" s="31" t="str">
        <f>"287,5"</f>
        <v>287,5</v>
      </c>
      <c r="T18" s="12" t="str">
        <f>"360,5537"</f>
        <v>360,5537</v>
      </c>
      <c r="U18" s="11" t="s">
        <v>789</v>
      </c>
    </row>
    <row r="19" spans="1:21">
      <c r="A19" s="12" t="s">
        <v>351</v>
      </c>
      <c r="B19" s="11" t="s">
        <v>804</v>
      </c>
      <c r="C19" s="11" t="s">
        <v>805</v>
      </c>
      <c r="D19" s="11" t="s">
        <v>806</v>
      </c>
      <c r="E19" s="11" t="s">
        <v>2690</v>
      </c>
      <c r="F19" s="11" t="s">
        <v>807</v>
      </c>
      <c r="G19" s="24" t="s">
        <v>466</v>
      </c>
      <c r="H19" s="24" t="s">
        <v>188</v>
      </c>
      <c r="I19" s="24" t="s">
        <v>66</v>
      </c>
      <c r="J19" s="12"/>
      <c r="K19" s="24" t="s">
        <v>408</v>
      </c>
      <c r="L19" s="25" t="s">
        <v>69</v>
      </c>
      <c r="M19" s="25" t="s">
        <v>69</v>
      </c>
      <c r="N19" s="12"/>
      <c r="O19" s="24" t="s">
        <v>50</v>
      </c>
      <c r="P19" s="24" t="s">
        <v>84</v>
      </c>
      <c r="Q19" s="24" t="s">
        <v>70</v>
      </c>
      <c r="R19" s="12"/>
      <c r="S19" s="31" t="str">
        <f>"280,0"</f>
        <v>280,0</v>
      </c>
      <c r="T19" s="12" t="str">
        <f>"350,1120"</f>
        <v>350,1120</v>
      </c>
      <c r="U19" s="11" t="s">
        <v>808</v>
      </c>
    </row>
    <row r="20" spans="1:21">
      <c r="A20" s="12" t="s">
        <v>353</v>
      </c>
      <c r="B20" s="11" t="s">
        <v>809</v>
      </c>
      <c r="C20" s="11" t="s">
        <v>810</v>
      </c>
      <c r="D20" s="11" t="s">
        <v>811</v>
      </c>
      <c r="E20" s="11" t="s">
        <v>2690</v>
      </c>
      <c r="F20" s="11" t="s">
        <v>261</v>
      </c>
      <c r="G20" s="24" t="s">
        <v>407</v>
      </c>
      <c r="H20" s="24" t="s">
        <v>466</v>
      </c>
      <c r="I20" s="24" t="s">
        <v>627</v>
      </c>
      <c r="J20" s="12"/>
      <c r="K20" s="24" t="s">
        <v>16</v>
      </c>
      <c r="L20" s="25" t="s">
        <v>375</v>
      </c>
      <c r="M20" s="25" t="s">
        <v>375</v>
      </c>
      <c r="N20" s="12"/>
      <c r="O20" s="24" t="s">
        <v>188</v>
      </c>
      <c r="P20" s="24" t="s">
        <v>364</v>
      </c>
      <c r="Q20" s="25" t="s">
        <v>83</v>
      </c>
      <c r="R20" s="12"/>
      <c r="S20" s="31" t="str">
        <f>"255,0"</f>
        <v>255,0</v>
      </c>
      <c r="T20" s="12" t="str">
        <f>"322,1925"</f>
        <v>322,1925</v>
      </c>
      <c r="U20" s="11" t="s">
        <v>2595</v>
      </c>
    </row>
    <row r="21" spans="1:21">
      <c r="A21" s="12" t="s">
        <v>354</v>
      </c>
      <c r="B21" s="11" t="s">
        <v>812</v>
      </c>
      <c r="C21" s="11" t="s">
        <v>813</v>
      </c>
      <c r="D21" s="11" t="s">
        <v>814</v>
      </c>
      <c r="E21" s="11" t="s">
        <v>2690</v>
      </c>
      <c r="F21" s="11" t="s">
        <v>221</v>
      </c>
      <c r="G21" s="24" t="s">
        <v>23</v>
      </c>
      <c r="H21" s="25" t="s">
        <v>24</v>
      </c>
      <c r="I21" s="25" t="s">
        <v>24</v>
      </c>
      <c r="J21" s="12"/>
      <c r="K21" s="24" t="s">
        <v>408</v>
      </c>
      <c r="L21" s="25" t="s">
        <v>543</v>
      </c>
      <c r="M21" s="25" t="s">
        <v>543</v>
      </c>
      <c r="N21" s="12"/>
      <c r="O21" s="24" t="s">
        <v>66</v>
      </c>
      <c r="P21" s="24" t="s">
        <v>34</v>
      </c>
      <c r="Q21" s="24" t="s">
        <v>35</v>
      </c>
      <c r="R21" s="12"/>
      <c r="S21" s="31" t="str">
        <f>"242,5"</f>
        <v>242,5</v>
      </c>
      <c r="T21" s="12" t="str">
        <f>"311,5155"</f>
        <v>311,5155</v>
      </c>
      <c r="U21" s="11" t="s">
        <v>815</v>
      </c>
    </row>
    <row r="22" spans="1:21">
      <c r="A22" s="12" t="s">
        <v>355</v>
      </c>
      <c r="B22" s="11" t="s">
        <v>816</v>
      </c>
      <c r="C22" s="11" t="s">
        <v>817</v>
      </c>
      <c r="D22" s="11" t="s">
        <v>818</v>
      </c>
      <c r="E22" s="11" t="s">
        <v>2690</v>
      </c>
      <c r="F22" s="11" t="s">
        <v>689</v>
      </c>
      <c r="G22" s="24" t="s">
        <v>61</v>
      </c>
      <c r="H22" s="24" t="s">
        <v>778</v>
      </c>
      <c r="I22" s="24" t="s">
        <v>23</v>
      </c>
      <c r="J22" s="12"/>
      <c r="K22" s="24" t="s">
        <v>408</v>
      </c>
      <c r="L22" s="24" t="s">
        <v>69</v>
      </c>
      <c r="M22" s="25" t="s">
        <v>543</v>
      </c>
      <c r="N22" s="12"/>
      <c r="O22" s="24" t="s">
        <v>407</v>
      </c>
      <c r="P22" s="24" t="s">
        <v>466</v>
      </c>
      <c r="Q22" s="24" t="s">
        <v>188</v>
      </c>
      <c r="R22" s="12"/>
      <c r="S22" s="31" t="str">
        <f>"227,5"</f>
        <v>227,5</v>
      </c>
      <c r="T22" s="12" t="str">
        <f>"288,3108"</f>
        <v>288,3108</v>
      </c>
      <c r="U22" s="11" t="s">
        <v>819</v>
      </c>
    </row>
    <row r="23" spans="1:21">
      <c r="A23" s="14" t="s">
        <v>356</v>
      </c>
      <c r="B23" s="13" t="s">
        <v>820</v>
      </c>
      <c r="C23" s="13" t="s">
        <v>821</v>
      </c>
      <c r="D23" s="13" t="s">
        <v>362</v>
      </c>
      <c r="E23" s="11" t="s">
        <v>2690</v>
      </c>
      <c r="F23" s="13" t="s">
        <v>822</v>
      </c>
      <c r="G23" s="26" t="s">
        <v>17</v>
      </c>
      <c r="H23" s="27" t="s">
        <v>22</v>
      </c>
      <c r="I23" s="27" t="s">
        <v>22</v>
      </c>
      <c r="J23" s="14"/>
      <c r="K23" s="27" t="s">
        <v>409</v>
      </c>
      <c r="L23" s="26" t="s">
        <v>409</v>
      </c>
      <c r="M23" s="27" t="s">
        <v>16</v>
      </c>
      <c r="N23" s="14"/>
      <c r="O23" s="26" t="s">
        <v>61</v>
      </c>
      <c r="P23" s="26" t="s">
        <v>23</v>
      </c>
      <c r="Q23" s="27" t="s">
        <v>767</v>
      </c>
      <c r="R23" s="14"/>
      <c r="S23" s="30" t="str">
        <f>"192,5"</f>
        <v>192,5</v>
      </c>
      <c r="T23" s="14" t="str">
        <f>"239,9705"</f>
        <v>239,9705</v>
      </c>
      <c r="U23" s="13" t="s">
        <v>823</v>
      </c>
    </row>
    <row r="24" spans="1:21">
      <c r="B24" s="5" t="s">
        <v>350</v>
      </c>
    </row>
    <row r="25" spans="1:21" ht="16">
      <c r="A25" s="82" t="s">
        <v>11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</row>
    <row r="26" spans="1:21">
      <c r="A26" s="10" t="s">
        <v>349</v>
      </c>
      <c r="B26" s="9" t="s">
        <v>824</v>
      </c>
      <c r="C26" s="9" t="s">
        <v>825</v>
      </c>
      <c r="D26" s="9" t="s">
        <v>521</v>
      </c>
      <c r="E26" s="9" t="s">
        <v>2690</v>
      </c>
      <c r="F26" s="9" t="s">
        <v>221</v>
      </c>
      <c r="G26" s="22" t="s">
        <v>50</v>
      </c>
      <c r="H26" s="22" t="s">
        <v>70</v>
      </c>
      <c r="I26" s="23" t="s">
        <v>154</v>
      </c>
      <c r="J26" s="10"/>
      <c r="K26" s="22" t="s">
        <v>62</v>
      </c>
      <c r="L26" s="22" t="s">
        <v>767</v>
      </c>
      <c r="M26" s="22" t="s">
        <v>458</v>
      </c>
      <c r="N26" s="10"/>
      <c r="O26" s="22" t="s">
        <v>154</v>
      </c>
      <c r="P26" s="22" t="s">
        <v>52</v>
      </c>
      <c r="Q26" s="22" t="s">
        <v>136</v>
      </c>
      <c r="R26" s="10"/>
      <c r="S26" s="29" t="str">
        <f>"380,0"</f>
        <v>380,0</v>
      </c>
      <c r="T26" s="10" t="str">
        <f>"450,2620"</f>
        <v>450,2620</v>
      </c>
      <c r="U26" s="9"/>
    </row>
    <row r="27" spans="1:21">
      <c r="A27" s="12" t="s">
        <v>351</v>
      </c>
      <c r="B27" s="11" t="s">
        <v>826</v>
      </c>
      <c r="C27" s="11" t="s">
        <v>827</v>
      </c>
      <c r="D27" s="11" t="s">
        <v>828</v>
      </c>
      <c r="E27" s="9" t="s">
        <v>2690</v>
      </c>
      <c r="F27" s="11" t="s">
        <v>829</v>
      </c>
      <c r="G27" s="24" t="s">
        <v>83</v>
      </c>
      <c r="H27" s="24" t="s">
        <v>35</v>
      </c>
      <c r="I27" s="25" t="s">
        <v>36</v>
      </c>
      <c r="J27" s="12"/>
      <c r="K27" s="24" t="s">
        <v>18</v>
      </c>
      <c r="L27" s="24" t="s">
        <v>22</v>
      </c>
      <c r="M27" s="25" t="s">
        <v>398</v>
      </c>
      <c r="N27" s="12"/>
      <c r="O27" s="24" t="s">
        <v>51</v>
      </c>
      <c r="P27" s="24" t="s">
        <v>45</v>
      </c>
      <c r="Q27" s="25" t="s">
        <v>46</v>
      </c>
      <c r="R27" s="12"/>
      <c r="S27" s="31" t="str">
        <f>"332,5"</f>
        <v>332,5</v>
      </c>
      <c r="T27" s="12" t="str">
        <f>"392,8820"</f>
        <v>392,8820</v>
      </c>
      <c r="U27" s="11" t="s">
        <v>830</v>
      </c>
    </row>
    <row r="28" spans="1:21">
      <c r="A28" s="12" t="s">
        <v>353</v>
      </c>
      <c r="B28" s="11" t="s">
        <v>831</v>
      </c>
      <c r="C28" s="11" t="s">
        <v>832</v>
      </c>
      <c r="D28" s="11" t="s">
        <v>833</v>
      </c>
      <c r="E28" s="9" t="s">
        <v>2690</v>
      </c>
      <c r="F28" s="11" t="s">
        <v>586</v>
      </c>
      <c r="G28" s="24" t="s">
        <v>83</v>
      </c>
      <c r="H28" s="24" t="s">
        <v>35</v>
      </c>
      <c r="I28" s="25" t="s">
        <v>50</v>
      </c>
      <c r="J28" s="12"/>
      <c r="K28" s="24" t="s">
        <v>22</v>
      </c>
      <c r="L28" s="24" t="s">
        <v>61</v>
      </c>
      <c r="M28" s="24" t="s">
        <v>23</v>
      </c>
      <c r="N28" s="12"/>
      <c r="O28" s="24" t="s">
        <v>50</v>
      </c>
      <c r="P28" s="25" t="s">
        <v>391</v>
      </c>
      <c r="Q28" s="25" t="s">
        <v>365</v>
      </c>
      <c r="R28" s="12"/>
      <c r="S28" s="31" t="str">
        <f>"317,5"</f>
        <v>317,5</v>
      </c>
      <c r="T28" s="12" t="str">
        <f>"378,8728"</f>
        <v>378,8728</v>
      </c>
      <c r="U28" s="11" t="s">
        <v>587</v>
      </c>
    </row>
    <row r="29" spans="1:21">
      <c r="A29" s="12" t="s">
        <v>354</v>
      </c>
      <c r="B29" s="11" t="s">
        <v>834</v>
      </c>
      <c r="C29" s="11" t="s">
        <v>835</v>
      </c>
      <c r="D29" s="11" t="s">
        <v>836</v>
      </c>
      <c r="E29" s="9" t="s">
        <v>2690</v>
      </c>
      <c r="F29" s="11" t="s">
        <v>221</v>
      </c>
      <c r="G29" s="24" t="s">
        <v>62</v>
      </c>
      <c r="H29" s="24" t="s">
        <v>767</v>
      </c>
      <c r="I29" s="25" t="s">
        <v>458</v>
      </c>
      <c r="J29" s="12"/>
      <c r="K29" s="24" t="s">
        <v>543</v>
      </c>
      <c r="L29" s="25" t="s">
        <v>409</v>
      </c>
      <c r="M29" s="25" t="s">
        <v>409</v>
      </c>
      <c r="N29" s="12"/>
      <c r="O29" s="24" t="s">
        <v>24</v>
      </c>
      <c r="P29" s="24" t="s">
        <v>407</v>
      </c>
      <c r="Q29" s="25" t="s">
        <v>466</v>
      </c>
      <c r="R29" s="12"/>
      <c r="S29" s="31" t="str">
        <f>"227,5"</f>
        <v>227,5</v>
      </c>
      <c r="T29" s="12" t="str">
        <f>"273,8190"</f>
        <v>273,8190</v>
      </c>
      <c r="U29" s="11" t="s">
        <v>837</v>
      </c>
    </row>
    <row r="30" spans="1:21">
      <c r="A30" s="14" t="s">
        <v>352</v>
      </c>
      <c r="B30" s="13" t="s">
        <v>838</v>
      </c>
      <c r="C30" s="13" t="s">
        <v>839</v>
      </c>
      <c r="D30" s="13" t="s">
        <v>836</v>
      </c>
      <c r="E30" s="9" t="s">
        <v>2690</v>
      </c>
      <c r="F30" s="13" t="s">
        <v>840</v>
      </c>
      <c r="G30" s="26" t="s">
        <v>17</v>
      </c>
      <c r="H30" s="27" t="s">
        <v>18</v>
      </c>
      <c r="I30" s="27" t="s">
        <v>18</v>
      </c>
      <c r="J30" s="14"/>
      <c r="K30" s="26" t="s">
        <v>779</v>
      </c>
      <c r="L30" s="26" t="s">
        <v>68</v>
      </c>
      <c r="M30" s="27" t="s">
        <v>408</v>
      </c>
      <c r="N30" s="14"/>
      <c r="O30" s="27" t="s">
        <v>24</v>
      </c>
      <c r="P30" s="27" t="s">
        <v>24</v>
      </c>
      <c r="Q30" s="27" t="s">
        <v>24</v>
      </c>
      <c r="R30" s="14"/>
      <c r="S30" s="30">
        <v>0</v>
      </c>
      <c r="T30" s="14" t="str">
        <f>"0,0000"</f>
        <v>0,0000</v>
      </c>
      <c r="U30" s="13" t="s">
        <v>841</v>
      </c>
    </row>
    <row r="31" spans="1:21">
      <c r="B31" s="5" t="s">
        <v>350</v>
      </c>
    </row>
    <row r="32" spans="1:21" ht="16">
      <c r="A32" s="82" t="s">
        <v>378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21">
      <c r="A33" s="10" t="s">
        <v>349</v>
      </c>
      <c r="B33" s="9" t="s">
        <v>842</v>
      </c>
      <c r="C33" s="9" t="s">
        <v>843</v>
      </c>
      <c r="D33" s="9" t="s">
        <v>534</v>
      </c>
      <c r="E33" s="9" t="s">
        <v>2690</v>
      </c>
      <c r="F33" s="9" t="s">
        <v>586</v>
      </c>
      <c r="G33" s="23" t="s">
        <v>83</v>
      </c>
      <c r="H33" s="22" t="s">
        <v>83</v>
      </c>
      <c r="I33" s="22" t="s">
        <v>35</v>
      </c>
      <c r="J33" s="10"/>
      <c r="K33" s="22" t="s">
        <v>61</v>
      </c>
      <c r="L33" s="23" t="s">
        <v>23</v>
      </c>
      <c r="M33" s="23" t="s">
        <v>23</v>
      </c>
      <c r="N33" s="10"/>
      <c r="O33" s="22" t="s">
        <v>391</v>
      </c>
      <c r="P33" s="23" t="s">
        <v>51</v>
      </c>
      <c r="Q33" s="22" t="s">
        <v>93</v>
      </c>
      <c r="R33" s="10"/>
      <c r="S33" s="29" t="str">
        <f>"335,0"</f>
        <v>335,0</v>
      </c>
      <c r="T33" s="10" t="str">
        <f>"376,9085"</f>
        <v>376,9085</v>
      </c>
      <c r="U33" s="9" t="s">
        <v>587</v>
      </c>
    </row>
    <row r="34" spans="1:21">
      <c r="A34" s="12" t="s">
        <v>351</v>
      </c>
      <c r="B34" s="11" t="s">
        <v>844</v>
      </c>
      <c r="C34" s="11" t="s">
        <v>845</v>
      </c>
      <c r="D34" s="11" t="s">
        <v>381</v>
      </c>
      <c r="E34" s="9" t="s">
        <v>2690</v>
      </c>
      <c r="F34" s="11" t="s">
        <v>846</v>
      </c>
      <c r="G34" s="25" t="s">
        <v>83</v>
      </c>
      <c r="H34" s="25" t="s">
        <v>83</v>
      </c>
      <c r="I34" s="24" t="s">
        <v>83</v>
      </c>
      <c r="J34" s="12"/>
      <c r="K34" s="24" t="s">
        <v>17</v>
      </c>
      <c r="L34" s="25" t="s">
        <v>18</v>
      </c>
      <c r="M34" s="25" t="s">
        <v>18</v>
      </c>
      <c r="N34" s="12"/>
      <c r="O34" s="24" t="s">
        <v>52</v>
      </c>
      <c r="P34" s="25" t="s">
        <v>136</v>
      </c>
      <c r="Q34" s="24" t="s">
        <v>136</v>
      </c>
      <c r="R34" s="12"/>
      <c r="S34" s="31" t="str">
        <f>"327,5"</f>
        <v>327,5</v>
      </c>
      <c r="T34" s="12" t="str">
        <f>"365,1297"</f>
        <v>365,1297</v>
      </c>
      <c r="U34" s="11" t="s">
        <v>847</v>
      </c>
    </row>
    <row r="35" spans="1:21">
      <c r="A35" s="14" t="s">
        <v>353</v>
      </c>
      <c r="B35" s="13" t="s">
        <v>848</v>
      </c>
      <c r="C35" s="13" t="s">
        <v>849</v>
      </c>
      <c r="D35" s="13" t="s">
        <v>390</v>
      </c>
      <c r="E35" s="9" t="s">
        <v>2690</v>
      </c>
      <c r="F35" s="13" t="s">
        <v>221</v>
      </c>
      <c r="G35" s="26" t="s">
        <v>188</v>
      </c>
      <c r="H35" s="26" t="s">
        <v>66</v>
      </c>
      <c r="I35" s="26" t="s">
        <v>83</v>
      </c>
      <c r="J35" s="14"/>
      <c r="K35" s="26" t="s">
        <v>69</v>
      </c>
      <c r="L35" s="26" t="s">
        <v>409</v>
      </c>
      <c r="M35" s="26" t="s">
        <v>16</v>
      </c>
      <c r="N35" s="14"/>
      <c r="O35" s="26" t="s">
        <v>84</v>
      </c>
      <c r="P35" s="26" t="s">
        <v>70</v>
      </c>
      <c r="Q35" s="27" t="s">
        <v>51</v>
      </c>
      <c r="R35" s="14"/>
      <c r="S35" s="30" t="str">
        <f>"295,0"</f>
        <v>295,0</v>
      </c>
      <c r="T35" s="14" t="str">
        <f>"332,7895"</f>
        <v>332,7895</v>
      </c>
      <c r="U35" s="13" t="s">
        <v>801</v>
      </c>
    </row>
    <row r="36" spans="1:21">
      <c r="B36" s="5" t="s">
        <v>350</v>
      </c>
    </row>
    <row r="37" spans="1:21" ht="16">
      <c r="A37" s="82" t="s">
        <v>26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1:21">
      <c r="A38" s="10" t="s">
        <v>349</v>
      </c>
      <c r="B38" s="9" t="s">
        <v>850</v>
      </c>
      <c r="C38" s="9" t="s">
        <v>851</v>
      </c>
      <c r="D38" s="9" t="s">
        <v>852</v>
      </c>
      <c r="E38" s="9" t="s">
        <v>2689</v>
      </c>
      <c r="F38" s="9" t="s">
        <v>513</v>
      </c>
      <c r="G38" s="23" t="s">
        <v>24</v>
      </c>
      <c r="H38" s="23" t="s">
        <v>24</v>
      </c>
      <c r="I38" s="22" t="s">
        <v>24</v>
      </c>
      <c r="J38" s="10"/>
      <c r="K38" s="22" t="s">
        <v>21</v>
      </c>
      <c r="L38" s="23" t="s">
        <v>408</v>
      </c>
      <c r="M38" s="23" t="s">
        <v>408</v>
      </c>
      <c r="N38" s="10"/>
      <c r="O38" s="23" t="s">
        <v>188</v>
      </c>
      <c r="P38" s="22" t="s">
        <v>188</v>
      </c>
      <c r="Q38" s="22" t="s">
        <v>853</v>
      </c>
      <c r="R38" s="10"/>
      <c r="S38" s="29" t="str">
        <f>"230,0"</f>
        <v>230,0</v>
      </c>
      <c r="T38" s="10" t="str">
        <f>"247,0200"</f>
        <v>247,0200</v>
      </c>
      <c r="U38" s="9" t="s">
        <v>854</v>
      </c>
    </row>
    <row r="39" spans="1:21">
      <c r="A39" s="12" t="s">
        <v>349</v>
      </c>
      <c r="B39" s="11" t="s">
        <v>855</v>
      </c>
      <c r="C39" s="11" t="s">
        <v>856</v>
      </c>
      <c r="D39" s="11" t="s">
        <v>857</v>
      </c>
      <c r="E39" s="11" t="s">
        <v>2690</v>
      </c>
      <c r="F39" s="11" t="s">
        <v>221</v>
      </c>
      <c r="G39" s="24" t="s">
        <v>50</v>
      </c>
      <c r="H39" s="24" t="s">
        <v>84</v>
      </c>
      <c r="I39" s="24" t="s">
        <v>70</v>
      </c>
      <c r="J39" s="12"/>
      <c r="K39" s="24" t="s">
        <v>24</v>
      </c>
      <c r="L39" s="24" t="s">
        <v>407</v>
      </c>
      <c r="M39" s="25" t="s">
        <v>458</v>
      </c>
      <c r="N39" s="12"/>
      <c r="O39" s="24" t="s">
        <v>59</v>
      </c>
      <c r="P39" s="24" t="s">
        <v>148</v>
      </c>
      <c r="Q39" s="24" t="s">
        <v>127</v>
      </c>
      <c r="R39" s="12"/>
      <c r="S39" s="31" t="str">
        <f>"392,5"</f>
        <v>392,5</v>
      </c>
      <c r="T39" s="12" t="str">
        <f>"415,5790"</f>
        <v>415,5790</v>
      </c>
      <c r="U39" s="11" t="s">
        <v>858</v>
      </c>
    </row>
    <row r="40" spans="1:21">
      <c r="A40" s="12" t="s">
        <v>351</v>
      </c>
      <c r="B40" s="11" t="s">
        <v>859</v>
      </c>
      <c r="C40" s="11" t="s">
        <v>860</v>
      </c>
      <c r="D40" s="11" t="s">
        <v>537</v>
      </c>
      <c r="E40" s="11" t="s">
        <v>2690</v>
      </c>
      <c r="F40" s="11" t="s">
        <v>221</v>
      </c>
      <c r="G40" s="24" t="s">
        <v>66</v>
      </c>
      <c r="H40" s="24" t="s">
        <v>83</v>
      </c>
      <c r="I40" s="24" t="s">
        <v>67</v>
      </c>
      <c r="J40" s="12"/>
      <c r="K40" s="24" t="s">
        <v>49</v>
      </c>
      <c r="L40" s="24" t="s">
        <v>398</v>
      </c>
      <c r="M40" s="25" t="s">
        <v>61</v>
      </c>
      <c r="N40" s="12"/>
      <c r="O40" s="24" t="s">
        <v>45</v>
      </c>
      <c r="P40" s="25" t="s">
        <v>52</v>
      </c>
      <c r="Q40" s="24" t="s">
        <v>52</v>
      </c>
      <c r="R40" s="12"/>
      <c r="S40" s="31" t="str">
        <f>"337,5"</f>
        <v>337,5</v>
      </c>
      <c r="T40" s="12" t="str">
        <f>"356,9400"</f>
        <v>356,9400</v>
      </c>
      <c r="U40" s="11" t="s">
        <v>801</v>
      </c>
    </row>
    <row r="41" spans="1:21">
      <c r="A41" s="12" t="s">
        <v>353</v>
      </c>
      <c r="B41" s="11" t="s">
        <v>861</v>
      </c>
      <c r="C41" s="11" t="s">
        <v>862</v>
      </c>
      <c r="D41" s="11" t="s">
        <v>394</v>
      </c>
      <c r="E41" s="11" t="s">
        <v>2690</v>
      </c>
      <c r="F41" s="11" t="s">
        <v>701</v>
      </c>
      <c r="G41" s="24" t="s">
        <v>35</v>
      </c>
      <c r="H41" s="24" t="s">
        <v>36</v>
      </c>
      <c r="I41" s="24" t="s">
        <v>84</v>
      </c>
      <c r="J41" s="12"/>
      <c r="K41" s="24" t="s">
        <v>17</v>
      </c>
      <c r="L41" s="24" t="s">
        <v>48</v>
      </c>
      <c r="M41" s="25" t="s">
        <v>18</v>
      </c>
      <c r="N41" s="12"/>
      <c r="O41" s="24" t="s">
        <v>154</v>
      </c>
      <c r="P41" s="25" t="s">
        <v>45</v>
      </c>
      <c r="Q41" s="25" t="s">
        <v>45</v>
      </c>
      <c r="R41" s="12"/>
      <c r="S41" s="31" t="str">
        <f>"327,5"</f>
        <v>327,5</v>
      </c>
      <c r="T41" s="12" t="str">
        <f>"340,1087"</f>
        <v>340,1087</v>
      </c>
      <c r="U41" s="11"/>
    </row>
    <row r="42" spans="1:21">
      <c r="A42" s="12" t="s">
        <v>354</v>
      </c>
      <c r="B42" s="11" t="s">
        <v>863</v>
      </c>
      <c r="C42" s="11" t="s">
        <v>577</v>
      </c>
      <c r="D42" s="11" t="s">
        <v>864</v>
      </c>
      <c r="E42" s="11" t="s">
        <v>2690</v>
      </c>
      <c r="F42" s="11" t="s">
        <v>865</v>
      </c>
      <c r="G42" s="24" t="s">
        <v>83</v>
      </c>
      <c r="H42" s="25" t="s">
        <v>83</v>
      </c>
      <c r="I42" s="25" t="s">
        <v>83</v>
      </c>
      <c r="J42" s="12"/>
      <c r="K42" s="25" t="s">
        <v>17</v>
      </c>
      <c r="L42" s="24" t="s">
        <v>17</v>
      </c>
      <c r="M42" s="24" t="s">
        <v>18</v>
      </c>
      <c r="N42" s="12"/>
      <c r="O42" s="24" t="s">
        <v>50</v>
      </c>
      <c r="P42" s="24" t="s">
        <v>84</v>
      </c>
      <c r="Q42" s="24" t="s">
        <v>70</v>
      </c>
      <c r="R42" s="12"/>
      <c r="S42" s="31" t="str">
        <f>"305,0"</f>
        <v>305,0</v>
      </c>
      <c r="T42" s="12" t="str">
        <f>"320,7075"</f>
        <v>320,7075</v>
      </c>
      <c r="U42" s="11" t="s">
        <v>975</v>
      </c>
    </row>
    <row r="43" spans="1:21">
      <c r="A43" s="12" t="s">
        <v>355</v>
      </c>
      <c r="B43" s="11" t="s">
        <v>866</v>
      </c>
      <c r="C43" s="11" t="s">
        <v>867</v>
      </c>
      <c r="D43" s="11" t="s">
        <v>868</v>
      </c>
      <c r="E43" s="11" t="s">
        <v>2690</v>
      </c>
      <c r="F43" s="11" t="s">
        <v>869</v>
      </c>
      <c r="G43" s="25" t="s">
        <v>407</v>
      </c>
      <c r="H43" s="24" t="s">
        <v>407</v>
      </c>
      <c r="I43" s="24" t="s">
        <v>364</v>
      </c>
      <c r="J43" s="12"/>
      <c r="K43" s="24" t="s">
        <v>22</v>
      </c>
      <c r="L43" s="25" t="s">
        <v>61</v>
      </c>
      <c r="M43" s="25" t="s">
        <v>61</v>
      </c>
      <c r="N43" s="12"/>
      <c r="O43" s="24" t="s">
        <v>83</v>
      </c>
      <c r="P43" s="24" t="s">
        <v>36</v>
      </c>
      <c r="Q43" s="24" t="s">
        <v>70</v>
      </c>
      <c r="R43" s="12"/>
      <c r="S43" s="31" t="str">
        <f>"302,5"</f>
        <v>302,5</v>
      </c>
      <c r="T43" s="12" t="str">
        <f>"332,9618"</f>
        <v>332,9618</v>
      </c>
      <c r="U43" s="11" t="s">
        <v>587</v>
      </c>
    </row>
    <row r="44" spans="1:21">
      <c r="A44" s="14" t="s">
        <v>352</v>
      </c>
      <c r="B44" s="13" t="s">
        <v>870</v>
      </c>
      <c r="C44" s="13" t="s">
        <v>871</v>
      </c>
      <c r="D44" s="13" t="s">
        <v>872</v>
      </c>
      <c r="E44" s="11" t="s">
        <v>2690</v>
      </c>
      <c r="F44" s="13" t="s">
        <v>221</v>
      </c>
      <c r="G44" s="27" t="s">
        <v>50</v>
      </c>
      <c r="H44" s="27" t="s">
        <v>50</v>
      </c>
      <c r="I44" s="27" t="s">
        <v>70</v>
      </c>
      <c r="J44" s="14"/>
      <c r="K44" s="14"/>
      <c r="L44" s="14"/>
      <c r="M44" s="14"/>
      <c r="N44" s="14"/>
      <c r="O44" s="14"/>
      <c r="P44" s="14"/>
      <c r="Q44" s="14"/>
      <c r="R44" s="14"/>
      <c r="S44" s="30">
        <v>0</v>
      </c>
      <c r="T44" s="14" t="str">
        <f>"0,0000"</f>
        <v>0,0000</v>
      </c>
      <c r="U44" s="13" t="s">
        <v>873</v>
      </c>
    </row>
    <row r="45" spans="1:21">
      <c r="B45" s="5" t="s">
        <v>350</v>
      </c>
    </row>
    <row r="46" spans="1:21" ht="16">
      <c r="A46" s="82" t="s">
        <v>55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</row>
    <row r="47" spans="1:21">
      <c r="A47" s="10" t="s">
        <v>349</v>
      </c>
      <c r="B47" s="9" t="s">
        <v>874</v>
      </c>
      <c r="C47" s="9" t="s">
        <v>875</v>
      </c>
      <c r="D47" s="9" t="s">
        <v>876</v>
      </c>
      <c r="E47" s="9" t="s">
        <v>2690</v>
      </c>
      <c r="F47" s="9" t="s">
        <v>877</v>
      </c>
      <c r="G47" s="23" t="s">
        <v>84</v>
      </c>
      <c r="H47" s="22" t="s">
        <v>84</v>
      </c>
      <c r="I47" s="23" t="s">
        <v>365</v>
      </c>
      <c r="J47" s="10"/>
      <c r="K47" s="22" t="s">
        <v>61</v>
      </c>
      <c r="L47" s="22" t="s">
        <v>23</v>
      </c>
      <c r="M47" s="23" t="s">
        <v>62</v>
      </c>
      <c r="N47" s="10"/>
      <c r="O47" s="22" t="s">
        <v>51</v>
      </c>
      <c r="P47" s="22" t="s">
        <v>45</v>
      </c>
      <c r="Q47" s="22" t="s">
        <v>46</v>
      </c>
      <c r="R47" s="10"/>
      <c r="S47" s="29" t="str">
        <f>"357,5"</f>
        <v>357,5</v>
      </c>
      <c r="T47" s="10" t="str">
        <f>"353,2457"</f>
        <v>353,2457</v>
      </c>
      <c r="U47" s="9" t="s">
        <v>878</v>
      </c>
    </row>
    <row r="48" spans="1:21">
      <c r="A48" s="12" t="s">
        <v>351</v>
      </c>
      <c r="B48" s="11" t="s">
        <v>879</v>
      </c>
      <c r="C48" s="11" t="s">
        <v>880</v>
      </c>
      <c r="D48" s="11" t="s">
        <v>413</v>
      </c>
      <c r="E48" s="9" t="s">
        <v>2690</v>
      </c>
      <c r="F48" s="11" t="s">
        <v>513</v>
      </c>
      <c r="G48" s="24" t="s">
        <v>66</v>
      </c>
      <c r="H48" s="24" t="s">
        <v>34</v>
      </c>
      <c r="I48" s="24" t="s">
        <v>35</v>
      </c>
      <c r="J48" s="12"/>
      <c r="K48" s="25" t="s">
        <v>375</v>
      </c>
      <c r="L48" s="24" t="s">
        <v>17</v>
      </c>
      <c r="M48" s="25" t="s">
        <v>18</v>
      </c>
      <c r="N48" s="12"/>
      <c r="O48" s="24" t="s">
        <v>83</v>
      </c>
      <c r="P48" s="24" t="s">
        <v>35</v>
      </c>
      <c r="Q48" s="24" t="s">
        <v>84</v>
      </c>
      <c r="R48" s="12"/>
      <c r="S48" s="31" t="str">
        <f>"302,5"</f>
        <v>302,5</v>
      </c>
      <c r="T48" s="12" t="str">
        <f>"290,0068"</f>
        <v>290,0068</v>
      </c>
      <c r="U48" s="11" t="s">
        <v>2596</v>
      </c>
    </row>
    <row r="49" spans="1:21">
      <c r="A49" s="12" t="s">
        <v>353</v>
      </c>
      <c r="B49" s="11" t="s">
        <v>881</v>
      </c>
      <c r="C49" s="11" t="s">
        <v>524</v>
      </c>
      <c r="D49" s="11" t="s">
        <v>882</v>
      </c>
      <c r="E49" s="9" t="s">
        <v>2690</v>
      </c>
      <c r="F49" s="11" t="s">
        <v>221</v>
      </c>
      <c r="G49" s="25" t="s">
        <v>66</v>
      </c>
      <c r="H49" s="25" t="s">
        <v>66</v>
      </c>
      <c r="I49" s="24" t="s">
        <v>66</v>
      </c>
      <c r="J49" s="12"/>
      <c r="K49" s="25" t="s">
        <v>409</v>
      </c>
      <c r="L49" s="24" t="s">
        <v>409</v>
      </c>
      <c r="M49" s="25" t="s">
        <v>375</v>
      </c>
      <c r="N49" s="12"/>
      <c r="O49" s="24" t="s">
        <v>83</v>
      </c>
      <c r="P49" s="24" t="s">
        <v>67</v>
      </c>
      <c r="Q49" s="24" t="s">
        <v>50</v>
      </c>
      <c r="R49" s="12"/>
      <c r="S49" s="31" t="str">
        <f>"277,5"</f>
        <v>277,5</v>
      </c>
      <c r="T49" s="12" t="str">
        <f>"271,0897"</f>
        <v>271,0897</v>
      </c>
      <c r="U49" s="11" t="s">
        <v>883</v>
      </c>
    </row>
    <row r="50" spans="1:21">
      <c r="A50" s="14" t="s">
        <v>354</v>
      </c>
      <c r="B50" s="13" t="s">
        <v>884</v>
      </c>
      <c r="C50" s="13" t="s">
        <v>885</v>
      </c>
      <c r="D50" s="13" t="s">
        <v>886</v>
      </c>
      <c r="E50" s="9" t="s">
        <v>2690</v>
      </c>
      <c r="F50" s="13" t="s">
        <v>846</v>
      </c>
      <c r="G50" s="26" t="s">
        <v>466</v>
      </c>
      <c r="H50" s="26" t="s">
        <v>364</v>
      </c>
      <c r="I50" s="27" t="s">
        <v>34</v>
      </c>
      <c r="J50" s="14"/>
      <c r="K50" s="26" t="s">
        <v>543</v>
      </c>
      <c r="L50" s="27" t="s">
        <v>16</v>
      </c>
      <c r="M50" s="27" t="s">
        <v>16</v>
      </c>
      <c r="N50" s="14"/>
      <c r="O50" s="26" t="s">
        <v>188</v>
      </c>
      <c r="P50" s="26" t="s">
        <v>66</v>
      </c>
      <c r="Q50" s="26" t="s">
        <v>67</v>
      </c>
      <c r="R50" s="14"/>
      <c r="S50" s="30" t="str">
        <f>"267,5"</f>
        <v>267,5</v>
      </c>
      <c r="T50" s="14" t="str">
        <f>"267,1790"</f>
        <v>267,1790</v>
      </c>
      <c r="U50" s="13"/>
    </row>
    <row r="51" spans="1:21">
      <c r="B51" s="5" t="s">
        <v>350</v>
      </c>
    </row>
    <row r="52" spans="1:21" ht="16">
      <c r="A52" s="82" t="s">
        <v>72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</row>
    <row r="53" spans="1:21">
      <c r="A53" s="8" t="s">
        <v>349</v>
      </c>
      <c r="B53" s="7" t="s">
        <v>887</v>
      </c>
      <c r="C53" s="7" t="s">
        <v>888</v>
      </c>
      <c r="D53" s="7" t="s">
        <v>889</v>
      </c>
      <c r="E53" s="7" t="s">
        <v>2690</v>
      </c>
      <c r="F53" s="7" t="s">
        <v>2600</v>
      </c>
      <c r="G53" s="20" t="s">
        <v>45</v>
      </c>
      <c r="H53" s="21" t="s">
        <v>52</v>
      </c>
      <c r="I53" s="21" t="s">
        <v>52</v>
      </c>
      <c r="J53" s="8"/>
      <c r="K53" s="20" t="s">
        <v>62</v>
      </c>
      <c r="L53" s="20" t="s">
        <v>767</v>
      </c>
      <c r="M53" s="21" t="s">
        <v>407</v>
      </c>
      <c r="N53" s="8"/>
      <c r="O53" s="20" t="s">
        <v>47</v>
      </c>
      <c r="P53" s="20" t="s">
        <v>166</v>
      </c>
      <c r="Q53" s="21" t="s">
        <v>109</v>
      </c>
      <c r="R53" s="8"/>
      <c r="S53" s="32" t="str">
        <f>"397,5"</f>
        <v>397,5</v>
      </c>
      <c r="T53" s="8" t="str">
        <f>"366,2963"</f>
        <v>366,2963</v>
      </c>
      <c r="U53" s="7" t="s">
        <v>890</v>
      </c>
    </row>
    <row r="54" spans="1:21">
      <c r="B54" s="5" t="s">
        <v>350</v>
      </c>
    </row>
    <row r="55" spans="1:21" ht="16">
      <c r="A55" s="82" t="s">
        <v>143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</row>
    <row r="56" spans="1:21">
      <c r="A56" s="8" t="s">
        <v>349</v>
      </c>
      <c r="B56" s="7" t="s">
        <v>891</v>
      </c>
      <c r="C56" s="7" t="s">
        <v>892</v>
      </c>
      <c r="D56" s="7" t="s">
        <v>447</v>
      </c>
      <c r="E56" s="7" t="s">
        <v>2690</v>
      </c>
      <c r="F56" s="7" t="s">
        <v>221</v>
      </c>
      <c r="G56" s="20" t="s">
        <v>52</v>
      </c>
      <c r="H56" s="21" t="s">
        <v>47</v>
      </c>
      <c r="I56" s="8"/>
      <c r="J56" s="8"/>
      <c r="K56" s="20" t="s">
        <v>22</v>
      </c>
      <c r="L56" s="21" t="s">
        <v>398</v>
      </c>
      <c r="M56" s="8"/>
      <c r="N56" s="8"/>
      <c r="O56" s="20" t="s">
        <v>166</v>
      </c>
      <c r="P56" s="20" t="s">
        <v>109</v>
      </c>
      <c r="Q56" s="21" t="s">
        <v>116</v>
      </c>
      <c r="R56" s="8"/>
      <c r="S56" s="32" t="str">
        <f>"390,0"</f>
        <v>390,0</v>
      </c>
      <c r="T56" s="8" t="str">
        <f>"338,9100"</f>
        <v>338,9100</v>
      </c>
      <c r="U56" s="7" t="s">
        <v>893</v>
      </c>
    </row>
    <row r="57" spans="1:21">
      <c r="B57" s="5" t="s">
        <v>350</v>
      </c>
    </row>
    <row r="58" spans="1:21" ht="16">
      <c r="A58" s="82" t="s">
        <v>11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</row>
    <row r="59" spans="1:21">
      <c r="A59" s="8" t="s">
        <v>349</v>
      </c>
      <c r="B59" s="7" t="s">
        <v>894</v>
      </c>
      <c r="C59" s="7" t="s">
        <v>895</v>
      </c>
      <c r="D59" s="7" t="s">
        <v>896</v>
      </c>
      <c r="E59" s="7" t="s">
        <v>2690</v>
      </c>
      <c r="F59" s="7" t="s">
        <v>586</v>
      </c>
      <c r="G59" s="20" t="s">
        <v>52</v>
      </c>
      <c r="H59" s="21" t="s">
        <v>136</v>
      </c>
      <c r="I59" s="21" t="s">
        <v>136</v>
      </c>
      <c r="J59" s="8"/>
      <c r="K59" s="21" t="s">
        <v>83</v>
      </c>
      <c r="L59" s="20" t="s">
        <v>83</v>
      </c>
      <c r="M59" s="21" t="s">
        <v>67</v>
      </c>
      <c r="N59" s="8"/>
      <c r="O59" s="20" t="s">
        <v>118</v>
      </c>
      <c r="P59" s="20" t="s">
        <v>284</v>
      </c>
      <c r="Q59" s="21" t="s">
        <v>38</v>
      </c>
      <c r="R59" s="8"/>
      <c r="S59" s="32" t="str">
        <f>"455,0"</f>
        <v>455,0</v>
      </c>
      <c r="T59" s="8" t="str">
        <f>"415,6425"</f>
        <v>415,6425</v>
      </c>
      <c r="U59" s="7" t="s">
        <v>587</v>
      </c>
    </row>
    <row r="60" spans="1:21">
      <c r="B60" s="5" t="s">
        <v>350</v>
      </c>
    </row>
    <row r="61" spans="1:21" ht="16">
      <c r="A61" s="82" t="s">
        <v>378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</row>
    <row r="62" spans="1:21">
      <c r="A62" s="8" t="s">
        <v>349</v>
      </c>
      <c r="B62" s="7" t="s">
        <v>897</v>
      </c>
      <c r="C62" s="7" t="s">
        <v>898</v>
      </c>
      <c r="D62" s="7" t="s">
        <v>534</v>
      </c>
      <c r="E62" s="7" t="s">
        <v>2690</v>
      </c>
      <c r="F62" s="7" t="s">
        <v>469</v>
      </c>
      <c r="G62" s="20" t="s">
        <v>154</v>
      </c>
      <c r="H62" s="20" t="s">
        <v>52</v>
      </c>
      <c r="I62" s="21" t="s">
        <v>47</v>
      </c>
      <c r="J62" s="8"/>
      <c r="K62" s="20" t="s">
        <v>853</v>
      </c>
      <c r="L62" s="20" t="s">
        <v>67</v>
      </c>
      <c r="M62" s="21" t="s">
        <v>50</v>
      </c>
      <c r="N62" s="8"/>
      <c r="O62" s="21" t="s">
        <v>59</v>
      </c>
      <c r="P62" s="20" t="s">
        <v>109</v>
      </c>
      <c r="Q62" s="20" t="s">
        <v>60</v>
      </c>
      <c r="R62" s="8"/>
      <c r="S62" s="32" t="str">
        <f>"445,0"</f>
        <v>445,0</v>
      </c>
      <c r="T62" s="8" t="str">
        <f>"383,6345"</f>
        <v>383,6345</v>
      </c>
      <c r="U62" s="7"/>
    </row>
    <row r="63" spans="1:21">
      <c r="B63" s="5" t="s">
        <v>350</v>
      </c>
    </row>
    <row r="64" spans="1:21" ht="16">
      <c r="A64" s="82" t="s">
        <v>26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</row>
    <row r="65" spans="1:21">
      <c r="A65" s="10" t="s">
        <v>349</v>
      </c>
      <c r="B65" s="9" t="s">
        <v>899</v>
      </c>
      <c r="C65" s="9" t="s">
        <v>900</v>
      </c>
      <c r="D65" s="9" t="s">
        <v>901</v>
      </c>
      <c r="E65" s="9" t="s">
        <v>2692</v>
      </c>
      <c r="F65" s="9" t="s">
        <v>313</v>
      </c>
      <c r="G65" s="22" t="s">
        <v>70</v>
      </c>
      <c r="H65" s="22" t="s">
        <v>154</v>
      </c>
      <c r="I65" s="22" t="s">
        <v>52</v>
      </c>
      <c r="J65" s="10"/>
      <c r="K65" s="22" t="s">
        <v>466</v>
      </c>
      <c r="L65" s="22" t="s">
        <v>188</v>
      </c>
      <c r="M65" s="23" t="s">
        <v>364</v>
      </c>
      <c r="N65" s="10"/>
      <c r="O65" s="22" t="s">
        <v>166</v>
      </c>
      <c r="P65" s="22" t="s">
        <v>37</v>
      </c>
      <c r="Q65" s="23" t="s">
        <v>38</v>
      </c>
      <c r="R65" s="10"/>
      <c r="S65" s="29" t="str">
        <f>"440,0"</f>
        <v>440,0</v>
      </c>
      <c r="T65" s="10" t="str">
        <f>"349,4480"</f>
        <v>349,4480</v>
      </c>
      <c r="U65" s="9" t="s">
        <v>902</v>
      </c>
    </row>
    <row r="66" spans="1:21">
      <c r="A66" s="12" t="s">
        <v>349</v>
      </c>
      <c r="B66" s="11" t="s">
        <v>903</v>
      </c>
      <c r="C66" s="11" t="s">
        <v>904</v>
      </c>
      <c r="D66" s="11" t="s">
        <v>905</v>
      </c>
      <c r="E66" s="11" t="s">
        <v>2691</v>
      </c>
      <c r="F66" s="11" t="s">
        <v>30</v>
      </c>
      <c r="G66" s="24" t="s">
        <v>52</v>
      </c>
      <c r="H66" s="24" t="s">
        <v>59</v>
      </c>
      <c r="I66" s="25" t="s">
        <v>166</v>
      </c>
      <c r="J66" s="12"/>
      <c r="K66" s="24" t="s">
        <v>84</v>
      </c>
      <c r="L66" s="24" t="s">
        <v>70</v>
      </c>
      <c r="M66" s="12"/>
      <c r="N66" s="12"/>
      <c r="O66" s="24" t="s">
        <v>166</v>
      </c>
      <c r="P66" s="25" t="s">
        <v>116</v>
      </c>
      <c r="Q66" s="25" t="s">
        <v>116</v>
      </c>
      <c r="R66" s="12"/>
      <c r="S66" s="31" t="str">
        <f>"455,0"</f>
        <v>455,0</v>
      </c>
      <c r="T66" s="12" t="str">
        <f>"354,2175"</f>
        <v>354,2175</v>
      </c>
      <c r="U66" s="11"/>
    </row>
    <row r="67" spans="1:21">
      <c r="A67" s="12" t="s">
        <v>352</v>
      </c>
      <c r="B67" s="11" t="s">
        <v>906</v>
      </c>
      <c r="C67" s="11" t="s">
        <v>907</v>
      </c>
      <c r="D67" s="11" t="s">
        <v>908</v>
      </c>
      <c r="E67" s="11" t="s">
        <v>2691</v>
      </c>
      <c r="F67" s="11" t="s">
        <v>221</v>
      </c>
      <c r="G67" s="24" t="s">
        <v>59</v>
      </c>
      <c r="H67" s="24" t="s">
        <v>109</v>
      </c>
      <c r="I67" s="25" t="s">
        <v>60</v>
      </c>
      <c r="J67" s="12"/>
      <c r="K67" s="25" t="s">
        <v>50</v>
      </c>
      <c r="L67" s="25" t="s">
        <v>50</v>
      </c>
      <c r="M67" s="25" t="s">
        <v>50</v>
      </c>
      <c r="N67" s="12"/>
      <c r="O67" s="25"/>
      <c r="P67" s="12"/>
      <c r="Q67" s="12"/>
      <c r="R67" s="12"/>
      <c r="S67" s="31">
        <v>0</v>
      </c>
      <c r="T67" s="12" t="str">
        <f>"0,0000"</f>
        <v>0,0000</v>
      </c>
      <c r="U67" s="11"/>
    </row>
    <row r="68" spans="1:21">
      <c r="A68" s="12" t="s">
        <v>349</v>
      </c>
      <c r="B68" s="11" t="s">
        <v>909</v>
      </c>
      <c r="C68" s="11" t="s">
        <v>910</v>
      </c>
      <c r="D68" s="11" t="s">
        <v>911</v>
      </c>
      <c r="E68" s="11" t="s">
        <v>2690</v>
      </c>
      <c r="F68" s="11" t="s">
        <v>221</v>
      </c>
      <c r="G68" s="24" t="s">
        <v>38</v>
      </c>
      <c r="H68" s="24" t="s">
        <v>39</v>
      </c>
      <c r="I68" s="25" t="s">
        <v>32</v>
      </c>
      <c r="J68" s="12"/>
      <c r="K68" s="24" t="s">
        <v>50</v>
      </c>
      <c r="L68" s="25" t="s">
        <v>84</v>
      </c>
      <c r="M68" s="24" t="s">
        <v>84</v>
      </c>
      <c r="N68" s="12"/>
      <c r="O68" s="24" t="s">
        <v>38</v>
      </c>
      <c r="P68" s="25" t="s">
        <v>39</v>
      </c>
      <c r="Q68" s="25" t="s">
        <v>39</v>
      </c>
      <c r="R68" s="12"/>
      <c r="S68" s="31" t="str">
        <f>"535,0"</f>
        <v>535,0</v>
      </c>
      <c r="T68" s="12" t="str">
        <f>"417,5140"</f>
        <v>417,5140</v>
      </c>
      <c r="U68" s="11"/>
    </row>
    <row r="69" spans="1:21">
      <c r="A69" s="12" t="s">
        <v>351</v>
      </c>
      <c r="B69" s="11" t="s">
        <v>912</v>
      </c>
      <c r="C69" s="11" t="s">
        <v>913</v>
      </c>
      <c r="D69" s="11" t="s">
        <v>29</v>
      </c>
      <c r="E69" s="11" t="s">
        <v>2690</v>
      </c>
      <c r="F69" s="11" t="s">
        <v>221</v>
      </c>
      <c r="G69" s="25" t="s">
        <v>52</v>
      </c>
      <c r="H69" s="24" t="s">
        <v>59</v>
      </c>
      <c r="I69" s="25" t="s">
        <v>109</v>
      </c>
      <c r="J69" s="12"/>
      <c r="K69" s="24" t="s">
        <v>188</v>
      </c>
      <c r="L69" s="24" t="s">
        <v>67</v>
      </c>
      <c r="M69" s="25" t="s">
        <v>50</v>
      </c>
      <c r="N69" s="12"/>
      <c r="O69" s="24" t="s">
        <v>77</v>
      </c>
      <c r="P69" s="24" t="s">
        <v>85</v>
      </c>
      <c r="Q69" s="24" t="s">
        <v>87</v>
      </c>
      <c r="R69" s="25" t="s">
        <v>914</v>
      </c>
      <c r="S69" s="31" t="str">
        <f>"525,0"</f>
        <v>525,0</v>
      </c>
      <c r="T69" s="12" t="str">
        <f>"404,7750"</f>
        <v>404,7750</v>
      </c>
      <c r="U69" s="11"/>
    </row>
    <row r="70" spans="1:21">
      <c r="A70" s="12" t="s">
        <v>353</v>
      </c>
      <c r="B70" s="11" t="s">
        <v>899</v>
      </c>
      <c r="C70" s="11" t="s">
        <v>915</v>
      </c>
      <c r="D70" s="11" t="s">
        <v>901</v>
      </c>
      <c r="E70" s="11" t="s">
        <v>2690</v>
      </c>
      <c r="F70" s="11" t="s">
        <v>313</v>
      </c>
      <c r="G70" s="24" t="s">
        <v>70</v>
      </c>
      <c r="H70" s="24" t="s">
        <v>154</v>
      </c>
      <c r="I70" s="24" t="s">
        <v>52</v>
      </c>
      <c r="J70" s="12"/>
      <c r="K70" s="24" t="s">
        <v>466</v>
      </c>
      <c r="L70" s="24" t="s">
        <v>188</v>
      </c>
      <c r="M70" s="25" t="s">
        <v>364</v>
      </c>
      <c r="N70" s="12"/>
      <c r="O70" s="24" t="s">
        <v>166</v>
      </c>
      <c r="P70" s="24" t="s">
        <v>37</v>
      </c>
      <c r="Q70" s="25" t="s">
        <v>38</v>
      </c>
      <c r="R70" s="12"/>
      <c r="S70" s="31" t="str">
        <f>"440,0"</f>
        <v>440,0</v>
      </c>
      <c r="T70" s="12" t="str">
        <f>"349,4480"</f>
        <v>349,4480</v>
      </c>
      <c r="U70" s="11" t="s">
        <v>902</v>
      </c>
    </row>
    <row r="71" spans="1:21">
      <c r="A71" s="12" t="s">
        <v>354</v>
      </c>
      <c r="B71" s="11" t="s">
        <v>916</v>
      </c>
      <c r="C71" s="11" t="s">
        <v>917</v>
      </c>
      <c r="D71" s="11" t="s">
        <v>29</v>
      </c>
      <c r="E71" s="11" t="s">
        <v>2690</v>
      </c>
      <c r="F71" s="11" t="s">
        <v>513</v>
      </c>
      <c r="G71" s="24" t="s">
        <v>136</v>
      </c>
      <c r="H71" s="25" t="s">
        <v>166</v>
      </c>
      <c r="I71" s="25" t="s">
        <v>166</v>
      </c>
      <c r="J71" s="12"/>
      <c r="K71" s="24" t="s">
        <v>407</v>
      </c>
      <c r="L71" s="25" t="s">
        <v>188</v>
      </c>
      <c r="M71" s="25" t="s">
        <v>188</v>
      </c>
      <c r="N71" s="12"/>
      <c r="O71" s="24" t="s">
        <v>109</v>
      </c>
      <c r="P71" s="24" t="s">
        <v>37</v>
      </c>
      <c r="Q71" s="25" t="s">
        <v>38</v>
      </c>
      <c r="R71" s="12"/>
      <c r="S71" s="31" t="str">
        <f>"437,5"</f>
        <v>437,5</v>
      </c>
      <c r="T71" s="12" t="str">
        <f>"337,3125"</f>
        <v>337,3125</v>
      </c>
      <c r="U71" s="11"/>
    </row>
    <row r="72" spans="1:21">
      <c r="A72" s="14" t="s">
        <v>352</v>
      </c>
      <c r="B72" s="13" t="s">
        <v>906</v>
      </c>
      <c r="C72" s="13" t="s">
        <v>918</v>
      </c>
      <c r="D72" s="13" t="s">
        <v>908</v>
      </c>
      <c r="E72" s="11" t="s">
        <v>2690</v>
      </c>
      <c r="F72" s="13" t="s">
        <v>221</v>
      </c>
      <c r="G72" s="26" t="s">
        <v>59</v>
      </c>
      <c r="H72" s="26" t="s">
        <v>109</v>
      </c>
      <c r="I72" s="27" t="s">
        <v>60</v>
      </c>
      <c r="J72" s="14"/>
      <c r="K72" s="27" t="s">
        <v>50</v>
      </c>
      <c r="L72" s="27" t="s">
        <v>50</v>
      </c>
      <c r="M72" s="27" t="s">
        <v>50</v>
      </c>
      <c r="N72" s="14"/>
      <c r="O72" s="27"/>
      <c r="P72" s="14"/>
      <c r="Q72" s="14"/>
      <c r="R72" s="14"/>
      <c r="S72" s="30">
        <v>0</v>
      </c>
      <c r="T72" s="14" t="str">
        <f>"0,0000"</f>
        <v>0,0000</v>
      </c>
      <c r="U72" s="13"/>
    </row>
    <row r="73" spans="1:21">
      <c r="B73" s="5" t="s">
        <v>350</v>
      </c>
    </row>
    <row r="74" spans="1:21" ht="16">
      <c r="A74" s="82" t="s">
        <v>55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1">
      <c r="A75" s="10" t="s">
        <v>349</v>
      </c>
      <c r="B75" s="9" t="s">
        <v>919</v>
      </c>
      <c r="C75" s="9" t="s">
        <v>920</v>
      </c>
      <c r="D75" s="9" t="s">
        <v>413</v>
      </c>
      <c r="E75" s="9" t="s">
        <v>2692</v>
      </c>
      <c r="F75" s="9" t="s">
        <v>921</v>
      </c>
      <c r="G75" s="23" t="s">
        <v>67</v>
      </c>
      <c r="H75" s="22" t="s">
        <v>67</v>
      </c>
      <c r="I75" s="22" t="s">
        <v>84</v>
      </c>
      <c r="J75" s="10"/>
      <c r="K75" s="22" t="s">
        <v>466</v>
      </c>
      <c r="L75" s="22" t="s">
        <v>364</v>
      </c>
      <c r="M75" s="22" t="s">
        <v>853</v>
      </c>
      <c r="N75" s="10"/>
      <c r="O75" s="22" t="s">
        <v>70</v>
      </c>
      <c r="P75" s="22" t="s">
        <v>154</v>
      </c>
      <c r="Q75" s="22" t="s">
        <v>59</v>
      </c>
      <c r="R75" s="10"/>
      <c r="S75" s="29" t="str">
        <f>"392,5"</f>
        <v>392,5</v>
      </c>
      <c r="T75" s="10" t="str">
        <f>"282,3252"</f>
        <v>282,3252</v>
      </c>
      <c r="U75" s="9"/>
    </row>
    <row r="76" spans="1:21">
      <c r="A76" s="12" t="s">
        <v>352</v>
      </c>
      <c r="B76" s="11" t="s">
        <v>922</v>
      </c>
      <c r="C76" s="11" t="s">
        <v>923</v>
      </c>
      <c r="D76" s="11" t="s">
        <v>65</v>
      </c>
      <c r="E76" s="11" t="s">
        <v>2691</v>
      </c>
      <c r="F76" s="11" t="s">
        <v>382</v>
      </c>
      <c r="G76" s="24" t="s">
        <v>109</v>
      </c>
      <c r="H76" s="25" t="s">
        <v>118</v>
      </c>
      <c r="I76" s="25" t="s">
        <v>118</v>
      </c>
      <c r="J76" s="12"/>
      <c r="K76" s="24" t="s">
        <v>188</v>
      </c>
      <c r="L76" s="24" t="s">
        <v>853</v>
      </c>
      <c r="M76" s="25" t="s">
        <v>83</v>
      </c>
      <c r="N76" s="12"/>
      <c r="O76" s="25" t="s">
        <v>118</v>
      </c>
      <c r="P76" s="25" t="s">
        <v>118</v>
      </c>
      <c r="Q76" s="25" t="s">
        <v>118</v>
      </c>
      <c r="R76" s="12"/>
      <c r="S76" s="31">
        <v>0</v>
      </c>
      <c r="T76" s="12" t="str">
        <f>"0,0000"</f>
        <v>0,0000</v>
      </c>
      <c r="U76" s="11"/>
    </row>
    <row r="77" spans="1:21">
      <c r="A77" s="12" t="s">
        <v>349</v>
      </c>
      <c r="B77" s="11" t="s">
        <v>924</v>
      </c>
      <c r="C77" s="11" t="s">
        <v>925</v>
      </c>
      <c r="D77" s="11" t="s">
        <v>65</v>
      </c>
      <c r="E77" s="11" t="s">
        <v>2689</v>
      </c>
      <c r="F77" s="11" t="s">
        <v>926</v>
      </c>
      <c r="G77" s="25" t="s">
        <v>37</v>
      </c>
      <c r="H77" s="24" t="s">
        <v>37</v>
      </c>
      <c r="I77" s="25" t="s">
        <v>314</v>
      </c>
      <c r="J77" s="12"/>
      <c r="K77" s="24" t="s">
        <v>66</v>
      </c>
      <c r="L77" s="24" t="s">
        <v>83</v>
      </c>
      <c r="M77" s="25" t="s">
        <v>50</v>
      </c>
      <c r="N77" s="12"/>
      <c r="O77" s="24" t="s">
        <v>38</v>
      </c>
      <c r="P77" s="24" t="s">
        <v>77</v>
      </c>
      <c r="Q77" s="25" t="s">
        <v>78</v>
      </c>
      <c r="R77" s="12"/>
      <c r="S77" s="31" t="str">
        <f>"520,0"</f>
        <v>520,0</v>
      </c>
      <c r="T77" s="12" t="str">
        <f>"377,7280"</f>
        <v>377,7280</v>
      </c>
      <c r="U77" s="11" t="s">
        <v>927</v>
      </c>
    </row>
    <row r="78" spans="1:21">
      <c r="A78" s="12" t="s">
        <v>351</v>
      </c>
      <c r="B78" s="11" t="s">
        <v>928</v>
      </c>
      <c r="C78" s="11" t="s">
        <v>929</v>
      </c>
      <c r="D78" s="11" t="s">
        <v>930</v>
      </c>
      <c r="E78" s="11" t="s">
        <v>2689</v>
      </c>
      <c r="F78" s="11" t="s">
        <v>931</v>
      </c>
      <c r="G78" s="24" t="s">
        <v>84</v>
      </c>
      <c r="H78" s="24" t="s">
        <v>51</v>
      </c>
      <c r="I78" s="24" t="s">
        <v>45</v>
      </c>
      <c r="J78" s="12"/>
      <c r="K78" s="24" t="s">
        <v>188</v>
      </c>
      <c r="L78" s="24" t="s">
        <v>853</v>
      </c>
      <c r="M78" s="25" t="s">
        <v>34</v>
      </c>
      <c r="N78" s="12"/>
      <c r="O78" s="24" t="s">
        <v>52</v>
      </c>
      <c r="P78" s="24" t="s">
        <v>166</v>
      </c>
      <c r="Q78" s="24" t="s">
        <v>116</v>
      </c>
      <c r="R78" s="12"/>
      <c r="S78" s="31" t="str">
        <f>"427,5"</f>
        <v>427,5</v>
      </c>
      <c r="T78" s="12" t="str">
        <f>"308,3985"</f>
        <v>308,3985</v>
      </c>
      <c r="U78" s="11" t="s">
        <v>932</v>
      </c>
    </row>
    <row r="79" spans="1:21">
      <c r="A79" s="12" t="s">
        <v>349</v>
      </c>
      <c r="B79" s="11" t="s">
        <v>933</v>
      </c>
      <c r="C79" s="11" t="s">
        <v>934</v>
      </c>
      <c r="D79" s="11" t="s">
        <v>935</v>
      </c>
      <c r="E79" s="11" t="s">
        <v>2690</v>
      </c>
      <c r="F79" s="11" t="s">
        <v>936</v>
      </c>
      <c r="G79" s="24" t="s">
        <v>39</v>
      </c>
      <c r="H79" s="25" t="s">
        <v>696</v>
      </c>
      <c r="I79" s="25" t="s">
        <v>696</v>
      </c>
      <c r="J79" s="12"/>
      <c r="K79" s="24" t="s">
        <v>36</v>
      </c>
      <c r="L79" s="24" t="s">
        <v>391</v>
      </c>
      <c r="M79" s="25" t="s">
        <v>70</v>
      </c>
      <c r="N79" s="12"/>
      <c r="O79" s="24" t="s">
        <v>85</v>
      </c>
      <c r="P79" s="24" t="s">
        <v>86</v>
      </c>
      <c r="Q79" s="25" t="s">
        <v>129</v>
      </c>
      <c r="R79" s="12"/>
      <c r="S79" s="31" t="str">
        <f>"582,5"</f>
        <v>582,5</v>
      </c>
      <c r="T79" s="12" t="str">
        <f>"417,8272"</f>
        <v>417,8272</v>
      </c>
      <c r="U79" s="11"/>
    </row>
    <row r="80" spans="1:21">
      <c r="A80" s="12" t="s">
        <v>351</v>
      </c>
      <c r="B80" s="11" t="s">
        <v>937</v>
      </c>
      <c r="C80" s="11" t="s">
        <v>938</v>
      </c>
      <c r="D80" s="11" t="s">
        <v>939</v>
      </c>
      <c r="E80" s="11" t="s">
        <v>2690</v>
      </c>
      <c r="F80" s="11" t="s">
        <v>443</v>
      </c>
      <c r="G80" s="25" t="s">
        <v>38</v>
      </c>
      <c r="H80" s="25" t="s">
        <v>38</v>
      </c>
      <c r="I80" s="24" t="s">
        <v>38</v>
      </c>
      <c r="J80" s="12"/>
      <c r="K80" s="24" t="s">
        <v>66</v>
      </c>
      <c r="L80" s="24" t="s">
        <v>83</v>
      </c>
      <c r="M80" s="25" t="s">
        <v>67</v>
      </c>
      <c r="N80" s="12"/>
      <c r="O80" s="24" t="s">
        <v>39</v>
      </c>
      <c r="P80" s="24" t="s">
        <v>33</v>
      </c>
      <c r="Q80" s="25" t="s">
        <v>100</v>
      </c>
      <c r="R80" s="12"/>
      <c r="S80" s="31" t="str">
        <f>"535,0"</f>
        <v>535,0</v>
      </c>
      <c r="T80" s="12" t="str">
        <f>"384,0765"</f>
        <v>384,0765</v>
      </c>
      <c r="U80" s="11"/>
    </row>
    <row r="81" spans="1:21">
      <c r="A81" s="12" t="s">
        <v>349</v>
      </c>
      <c r="B81" s="11" t="s">
        <v>940</v>
      </c>
      <c r="C81" s="11" t="s">
        <v>941</v>
      </c>
      <c r="D81" s="11" t="s">
        <v>65</v>
      </c>
      <c r="E81" s="11" t="s">
        <v>2693</v>
      </c>
      <c r="F81" s="11" t="s">
        <v>221</v>
      </c>
      <c r="G81" s="24" t="s">
        <v>60</v>
      </c>
      <c r="H81" s="24" t="s">
        <v>159</v>
      </c>
      <c r="I81" s="24" t="s">
        <v>160</v>
      </c>
      <c r="J81" s="12"/>
      <c r="K81" s="24" t="s">
        <v>376</v>
      </c>
      <c r="L81" s="24" t="s">
        <v>93</v>
      </c>
      <c r="M81" s="24" t="s">
        <v>942</v>
      </c>
      <c r="N81" s="12"/>
      <c r="O81" s="24" t="s">
        <v>38</v>
      </c>
      <c r="P81" s="24" t="s">
        <v>195</v>
      </c>
      <c r="Q81" s="25" t="s">
        <v>269</v>
      </c>
      <c r="R81" s="12"/>
      <c r="S81" s="31" t="str">
        <f>"548,0"</f>
        <v>548,0</v>
      </c>
      <c r="T81" s="12" t="str">
        <f>"400,0575"</f>
        <v>400,0575</v>
      </c>
      <c r="U81" s="11"/>
    </row>
    <row r="82" spans="1:21">
      <c r="A82" s="12" t="s">
        <v>351</v>
      </c>
      <c r="B82" s="11" t="s">
        <v>943</v>
      </c>
      <c r="C82" s="11" t="s">
        <v>944</v>
      </c>
      <c r="D82" s="11" t="s">
        <v>564</v>
      </c>
      <c r="E82" s="11" t="s">
        <v>2693</v>
      </c>
      <c r="F82" s="11" t="s">
        <v>147</v>
      </c>
      <c r="G82" s="25" t="s">
        <v>154</v>
      </c>
      <c r="H82" s="24" t="s">
        <v>154</v>
      </c>
      <c r="I82" s="25" t="s">
        <v>414</v>
      </c>
      <c r="J82" s="12"/>
      <c r="K82" s="25" t="s">
        <v>83</v>
      </c>
      <c r="L82" s="24" t="s">
        <v>83</v>
      </c>
      <c r="M82" s="25" t="s">
        <v>35</v>
      </c>
      <c r="N82" s="12"/>
      <c r="O82" s="24" t="s">
        <v>109</v>
      </c>
      <c r="P82" s="24" t="s">
        <v>118</v>
      </c>
      <c r="Q82" s="25" t="s">
        <v>159</v>
      </c>
      <c r="R82" s="12"/>
      <c r="S82" s="31" t="str">
        <f>"435,0"</f>
        <v>435,0</v>
      </c>
      <c r="T82" s="12" t="str">
        <f>"311,4165"</f>
        <v>311,4165</v>
      </c>
      <c r="U82" s="11" t="s">
        <v>945</v>
      </c>
    </row>
    <row r="83" spans="1:21">
      <c r="A83" s="14" t="s">
        <v>349</v>
      </c>
      <c r="B83" s="13" t="s">
        <v>946</v>
      </c>
      <c r="C83" s="13" t="s">
        <v>947</v>
      </c>
      <c r="D83" s="13" t="s">
        <v>397</v>
      </c>
      <c r="E83" s="13" t="s">
        <v>2694</v>
      </c>
      <c r="F83" s="13" t="s">
        <v>221</v>
      </c>
      <c r="G83" s="26" t="s">
        <v>35</v>
      </c>
      <c r="H83" s="27" t="s">
        <v>36</v>
      </c>
      <c r="I83" s="27" t="s">
        <v>36</v>
      </c>
      <c r="J83" s="14"/>
      <c r="K83" s="26" t="s">
        <v>24</v>
      </c>
      <c r="L83" s="27" t="s">
        <v>948</v>
      </c>
      <c r="M83" s="27" t="s">
        <v>948</v>
      </c>
      <c r="N83" s="14"/>
      <c r="O83" s="26" t="s">
        <v>70</v>
      </c>
      <c r="P83" s="26" t="s">
        <v>376</v>
      </c>
      <c r="Q83" s="26" t="s">
        <v>93</v>
      </c>
      <c r="R83" s="14"/>
      <c r="S83" s="30" t="str">
        <f>"345,0"</f>
        <v>345,0</v>
      </c>
      <c r="T83" s="14" t="str">
        <f>"406,0729"</f>
        <v>406,0729</v>
      </c>
      <c r="U83" s="13"/>
    </row>
    <row r="84" spans="1:21">
      <c r="B84" s="5" t="s">
        <v>350</v>
      </c>
    </row>
    <row r="85" spans="1:21" ht="16">
      <c r="A85" s="82" t="s">
        <v>72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</row>
    <row r="86" spans="1:21">
      <c r="A86" s="10" t="s">
        <v>349</v>
      </c>
      <c r="B86" s="9" t="s">
        <v>949</v>
      </c>
      <c r="C86" s="9" t="s">
        <v>950</v>
      </c>
      <c r="D86" s="9" t="s">
        <v>134</v>
      </c>
      <c r="E86" s="9" t="s">
        <v>2692</v>
      </c>
      <c r="F86" s="9" t="s">
        <v>951</v>
      </c>
      <c r="G86" s="23" t="s">
        <v>59</v>
      </c>
      <c r="H86" s="22" t="s">
        <v>116</v>
      </c>
      <c r="I86" s="22" t="s">
        <v>117</v>
      </c>
      <c r="J86" s="22" t="s">
        <v>37</v>
      </c>
      <c r="K86" s="22" t="s">
        <v>84</v>
      </c>
      <c r="L86" s="22" t="s">
        <v>51</v>
      </c>
      <c r="M86" s="22" t="s">
        <v>45</v>
      </c>
      <c r="N86" s="23" t="s">
        <v>52</v>
      </c>
      <c r="O86" s="22" t="s">
        <v>60</v>
      </c>
      <c r="P86" s="22" t="s">
        <v>38</v>
      </c>
      <c r="Q86" s="22" t="s">
        <v>77</v>
      </c>
      <c r="R86" s="23" t="s">
        <v>33</v>
      </c>
      <c r="S86" s="29" t="str">
        <f>"547,5"</f>
        <v>547,5</v>
      </c>
      <c r="T86" s="10" t="str">
        <f>"368,1390"</f>
        <v>368,1390</v>
      </c>
      <c r="U86" s="9" t="s">
        <v>952</v>
      </c>
    </row>
    <row r="87" spans="1:21">
      <c r="A87" s="12" t="s">
        <v>349</v>
      </c>
      <c r="B87" s="11" t="s">
        <v>953</v>
      </c>
      <c r="C87" s="11" t="s">
        <v>954</v>
      </c>
      <c r="D87" s="11" t="s">
        <v>955</v>
      </c>
      <c r="E87" s="11" t="s">
        <v>2691</v>
      </c>
      <c r="F87" s="11" t="s">
        <v>956</v>
      </c>
      <c r="G87" s="25" t="s">
        <v>60</v>
      </c>
      <c r="H87" s="25" t="s">
        <v>118</v>
      </c>
      <c r="I87" s="24" t="s">
        <v>118</v>
      </c>
      <c r="J87" s="12"/>
      <c r="K87" s="24" t="s">
        <v>84</v>
      </c>
      <c r="L87" s="25" t="s">
        <v>70</v>
      </c>
      <c r="M87" s="24" t="s">
        <v>70</v>
      </c>
      <c r="N87" s="12"/>
      <c r="O87" s="24" t="s">
        <v>85</v>
      </c>
      <c r="P87" s="25" t="s">
        <v>100</v>
      </c>
      <c r="Q87" s="25" t="s">
        <v>100</v>
      </c>
      <c r="R87" s="12"/>
      <c r="S87" s="31" t="str">
        <f>"550,0"</f>
        <v>550,0</v>
      </c>
      <c r="T87" s="12" t="str">
        <f>"373,1750"</f>
        <v>373,1750</v>
      </c>
      <c r="U87" s="11" t="s">
        <v>957</v>
      </c>
    </row>
    <row r="88" spans="1:21">
      <c r="A88" s="12" t="s">
        <v>351</v>
      </c>
      <c r="B88" s="11" t="s">
        <v>958</v>
      </c>
      <c r="C88" s="11" t="s">
        <v>959</v>
      </c>
      <c r="D88" s="11" t="s">
        <v>134</v>
      </c>
      <c r="E88" s="11" t="s">
        <v>2691</v>
      </c>
      <c r="F88" s="11" t="s">
        <v>667</v>
      </c>
      <c r="G88" s="24" t="s">
        <v>70</v>
      </c>
      <c r="H88" s="24" t="s">
        <v>51</v>
      </c>
      <c r="I88" s="24" t="s">
        <v>154</v>
      </c>
      <c r="J88" s="12"/>
      <c r="K88" s="24" t="s">
        <v>407</v>
      </c>
      <c r="L88" s="24" t="s">
        <v>466</v>
      </c>
      <c r="M88" s="24" t="s">
        <v>188</v>
      </c>
      <c r="N88" s="12"/>
      <c r="O88" s="24" t="s">
        <v>70</v>
      </c>
      <c r="P88" s="24" t="s">
        <v>51</v>
      </c>
      <c r="Q88" s="24" t="s">
        <v>154</v>
      </c>
      <c r="R88" s="12"/>
      <c r="S88" s="31" t="str">
        <f>"380,0"</f>
        <v>380,0</v>
      </c>
      <c r="T88" s="12" t="str">
        <f>"255,5120"</f>
        <v>255,5120</v>
      </c>
      <c r="U88" s="11" t="s">
        <v>371</v>
      </c>
    </row>
    <row r="89" spans="1:21">
      <c r="A89" s="12" t="s">
        <v>349</v>
      </c>
      <c r="B89" s="11" t="s">
        <v>960</v>
      </c>
      <c r="C89" s="11" t="s">
        <v>961</v>
      </c>
      <c r="D89" s="11" t="s">
        <v>573</v>
      </c>
      <c r="E89" s="11" t="s">
        <v>2689</v>
      </c>
      <c r="F89" s="11" t="s">
        <v>513</v>
      </c>
      <c r="G89" s="25" t="s">
        <v>47</v>
      </c>
      <c r="H89" s="24" t="s">
        <v>47</v>
      </c>
      <c r="I89" s="24" t="s">
        <v>166</v>
      </c>
      <c r="J89" s="12"/>
      <c r="K89" s="24" t="s">
        <v>70</v>
      </c>
      <c r="L89" s="24" t="s">
        <v>51</v>
      </c>
      <c r="M89" s="25" t="s">
        <v>376</v>
      </c>
      <c r="N89" s="12"/>
      <c r="O89" s="24" t="s">
        <v>38</v>
      </c>
      <c r="P89" s="24" t="s">
        <v>32</v>
      </c>
      <c r="Q89" s="25" t="s">
        <v>77</v>
      </c>
      <c r="R89" s="12"/>
      <c r="S89" s="31" t="str">
        <f>"515,0"</f>
        <v>515,0</v>
      </c>
      <c r="T89" s="12" t="str">
        <f>"346,8010"</f>
        <v>346,8010</v>
      </c>
      <c r="U89" s="11" t="s">
        <v>2597</v>
      </c>
    </row>
    <row r="90" spans="1:21">
      <c r="A90" s="12" t="s">
        <v>349</v>
      </c>
      <c r="B90" s="11" t="s">
        <v>962</v>
      </c>
      <c r="C90" s="11" t="s">
        <v>963</v>
      </c>
      <c r="D90" s="11" t="s">
        <v>590</v>
      </c>
      <c r="E90" s="11" t="s">
        <v>2690</v>
      </c>
      <c r="F90" s="11" t="s">
        <v>187</v>
      </c>
      <c r="G90" s="25" t="s">
        <v>37</v>
      </c>
      <c r="H90" s="24" t="s">
        <v>38</v>
      </c>
      <c r="I90" s="25" t="s">
        <v>195</v>
      </c>
      <c r="J90" s="12"/>
      <c r="K90" s="24" t="s">
        <v>109</v>
      </c>
      <c r="L90" s="24" t="s">
        <v>116</v>
      </c>
      <c r="M90" s="25" t="s">
        <v>128</v>
      </c>
      <c r="N90" s="12"/>
      <c r="O90" s="24" t="s">
        <v>39</v>
      </c>
      <c r="P90" s="24" t="s">
        <v>78</v>
      </c>
      <c r="Q90" s="25" t="s">
        <v>100</v>
      </c>
      <c r="R90" s="12"/>
      <c r="S90" s="31" t="str">
        <f>"605,0"</f>
        <v>605,0</v>
      </c>
      <c r="T90" s="12" t="str">
        <f>"411,4000"</f>
        <v>411,4000</v>
      </c>
      <c r="U90" s="11"/>
    </row>
    <row r="91" spans="1:21">
      <c r="A91" s="12" t="s">
        <v>351</v>
      </c>
      <c r="B91" s="11" t="s">
        <v>964</v>
      </c>
      <c r="C91" s="11" t="s">
        <v>965</v>
      </c>
      <c r="D91" s="11" t="s">
        <v>966</v>
      </c>
      <c r="E91" s="11" t="s">
        <v>2690</v>
      </c>
      <c r="F91" s="11" t="s">
        <v>967</v>
      </c>
      <c r="G91" s="24" t="s">
        <v>284</v>
      </c>
      <c r="H91" s="24" t="s">
        <v>38</v>
      </c>
      <c r="I91" s="24" t="s">
        <v>31</v>
      </c>
      <c r="J91" s="12"/>
      <c r="K91" s="24" t="s">
        <v>51</v>
      </c>
      <c r="L91" s="24" t="s">
        <v>154</v>
      </c>
      <c r="M91" s="25" t="s">
        <v>93</v>
      </c>
      <c r="N91" s="12"/>
      <c r="O91" s="24" t="s">
        <v>86</v>
      </c>
      <c r="P91" s="24" t="s">
        <v>444</v>
      </c>
      <c r="Q91" s="25" t="s">
        <v>968</v>
      </c>
      <c r="R91" s="12"/>
      <c r="S91" s="31" t="str">
        <f>"597,5"</f>
        <v>597,5</v>
      </c>
      <c r="T91" s="12" t="str">
        <f>"402,9540"</f>
        <v>402,9540</v>
      </c>
      <c r="U91" s="11"/>
    </row>
    <row r="92" spans="1:21">
      <c r="A92" s="12" t="s">
        <v>353</v>
      </c>
      <c r="B92" s="11" t="s">
        <v>969</v>
      </c>
      <c r="C92" s="11" t="s">
        <v>970</v>
      </c>
      <c r="D92" s="11" t="s">
        <v>955</v>
      </c>
      <c r="E92" s="11" t="s">
        <v>2690</v>
      </c>
      <c r="F92" s="11" t="s">
        <v>971</v>
      </c>
      <c r="G92" s="24" t="s">
        <v>38</v>
      </c>
      <c r="H92" s="25" t="s">
        <v>31</v>
      </c>
      <c r="I92" s="25" t="s">
        <v>195</v>
      </c>
      <c r="J92" s="12"/>
      <c r="K92" s="24" t="s">
        <v>50</v>
      </c>
      <c r="L92" s="24" t="s">
        <v>84</v>
      </c>
      <c r="M92" s="24" t="s">
        <v>70</v>
      </c>
      <c r="N92" s="12"/>
      <c r="O92" s="24" t="s">
        <v>39</v>
      </c>
      <c r="P92" s="24" t="s">
        <v>77</v>
      </c>
      <c r="Q92" s="24" t="s">
        <v>78</v>
      </c>
      <c r="R92" s="12"/>
      <c r="S92" s="31" t="str">
        <f>"560,0"</f>
        <v>560,0</v>
      </c>
      <c r="T92" s="12" t="str">
        <f>"379,9600"</f>
        <v>379,9600</v>
      </c>
      <c r="U92" s="11" t="s">
        <v>972</v>
      </c>
    </row>
    <row r="93" spans="1:21">
      <c r="A93" s="12" t="s">
        <v>354</v>
      </c>
      <c r="B93" s="11" t="s">
        <v>973</v>
      </c>
      <c r="C93" s="11" t="s">
        <v>974</v>
      </c>
      <c r="D93" s="11" t="s">
        <v>107</v>
      </c>
      <c r="E93" s="11" t="s">
        <v>2690</v>
      </c>
      <c r="F93" s="11" t="s">
        <v>865</v>
      </c>
      <c r="G93" s="25" t="s">
        <v>37</v>
      </c>
      <c r="H93" s="24" t="s">
        <v>37</v>
      </c>
      <c r="I93" s="25" t="s">
        <v>38</v>
      </c>
      <c r="J93" s="12"/>
      <c r="K93" s="24" t="s">
        <v>45</v>
      </c>
      <c r="L93" s="24" t="s">
        <v>52</v>
      </c>
      <c r="M93" s="25" t="s">
        <v>47</v>
      </c>
      <c r="N93" s="12"/>
      <c r="O93" s="24" t="s">
        <v>77</v>
      </c>
      <c r="P93" s="25" t="s">
        <v>270</v>
      </c>
      <c r="Q93" s="25" t="s">
        <v>270</v>
      </c>
      <c r="R93" s="12"/>
      <c r="S93" s="31" t="str">
        <f>"560,0"</f>
        <v>560,0</v>
      </c>
      <c r="T93" s="12" t="str">
        <f>"379,3440"</f>
        <v>379,3440</v>
      </c>
      <c r="U93" s="11" t="s">
        <v>975</v>
      </c>
    </row>
    <row r="94" spans="1:21">
      <c r="A94" s="12" t="s">
        <v>355</v>
      </c>
      <c r="B94" s="11" t="s">
        <v>976</v>
      </c>
      <c r="C94" s="11" t="s">
        <v>977</v>
      </c>
      <c r="D94" s="11" t="s">
        <v>75</v>
      </c>
      <c r="E94" s="11" t="s">
        <v>2690</v>
      </c>
      <c r="F94" s="11" t="s">
        <v>221</v>
      </c>
      <c r="G94" s="25" t="s">
        <v>109</v>
      </c>
      <c r="H94" s="25" t="s">
        <v>60</v>
      </c>
      <c r="I94" s="24" t="s">
        <v>118</v>
      </c>
      <c r="J94" s="12"/>
      <c r="K94" s="24" t="s">
        <v>34</v>
      </c>
      <c r="L94" s="24" t="s">
        <v>50</v>
      </c>
      <c r="M94" s="25" t="s">
        <v>391</v>
      </c>
      <c r="N94" s="12"/>
      <c r="O94" s="24" t="s">
        <v>39</v>
      </c>
      <c r="P94" s="24" t="s">
        <v>78</v>
      </c>
      <c r="Q94" s="24" t="s">
        <v>86</v>
      </c>
      <c r="R94" s="12"/>
      <c r="S94" s="31" t="str">
        <f>"550,0"</f>
        <v>550,0</v>
      </c>
      <c r="T94" s="12" t="str">
        <f>"368,7200"</f>
        <v>368,7200</v>
      </c>
      <c r="U94" s="11" t="s">
        <v>978</v>
      </c>
    </row>
    <row r="95" spans="1:21">
      <c r="A95" s="12" t="s">
        <v>356</v>
      </c>
      <c r="B95" s="11" t="s">
        <v>979</v>
      </c>
      <c r="C95" s="11" t="s">
        <v>980</v>
      </c>
      <c r="D95" s="11" t="s">
        <v>103</v>
      </c>
      <c r="E95" s="11" t="s">
        <v>2690</v>
      </c>
      <c r="F95" s="11" t="s">
        <v>221</v>
      </c>
      <c r="G95" s="24" t="s">
        <v>118</v>
      </c>
      <c r="H95" s="24" t="s">
        <v>37</v>
      </c>
      <c r="I95" s="24" t="s">
        <v>284</v>
      </c>
      <c r="J95" s="12"/>
      <c r="K95" s="24" t="s">
        <v>84</v>
      </c>
      <c r="L95" s="25" t="s">
        <v>70</v>
      </c>
      <c r="M95" s="25" t="s">
        <v>70</v>
      </c>
      <c r="N95" s="12"/>
      <c r="O95" s="24" t="s">
        <v>37</v>
      </c>
      <c r="P95" s="25" t="s">
        <v>38</v>
      </c>
      <c r="Q95" s="25" t="s">
        <v>38</v>
      </c>
      <c r="R95" s="12"/>
      <c r="S95" s="31" t="str">
        <f>"510,0"</f>
        <v>510,0</v>
      </c>
      <c r="T95" s="12" t="str">
        <f>"342,4140"</f>
        <v>342,4140</v>
      </c>
      <c r="U95" s="11" t="s">
        <v>981</v>
      </c>
    </row>
    <row r="96" spans="1:21">
      <c r="A96" s="12" t="s">
        <v>357</v>
      </c>
      <c r="B96" s="11" t="s">
        <v>982</v>
      </c>
      <c r="C96" s="11" t="s">
        <v>983</v>
      </c>
      <c r="D96" s="11" t="s">
        <v>966</v>
      </c>
      <c r="E96" s="11" t="s">
        <v>2690</v>
      </c>
      <c r="F96" s="11" t="s">
        <v>984</v>
      </c>
      <c r="G96" s="24" t="s">
        <v>154</v>
      </c>
      <c r="H96" s="25" t="s">
        <v>52</v>
      </c>
      <c r="I96" s="24" t="s">
        <v>47</v>
      </c>
      <c r="J96" s="12"/>
      <c r="K96" s="24" t="s">
        <v>188</v>
      </c>
      <c r="L96" s="24" t="s">
        <v>83</v>
      </c>
      <c r="M96" s="24" t="s">
        <v>67</v>
      </c>
      <c r="N96" s="12"/>
      <c r="O96" s="24" t="s">
        <v>52</v>
      </c>
      <c r="P96" s="24" t="s">
        <v>109</v>
      </c>
      <c r="Q96" s="24" t="s">
        <v>60</v>
      </c>
      <c r="R96" s="12"/>
      <c r="S96" s="31" t="str">
        <f>"450,0"</f>
        <v>450,0</v>
      </c>
      <c r="T96" s="12" t="str">
        <f>"303,4800"</f>
        <v>303,4800</v>
      </c>
      <c r="U96" s="11" t="s">
        <v>985</v>
      </c>
    </row>
    <row r="97" spans="1:21">
      <c r="A97" s="12" t="s">
        <v>349</v>
      </c>
      <c r="B97" s="11" t="s">
        <v>962</v>
      </c>
      <c r="C97" s="11" t="s">
        <v>986</v>
      </c>
      <c r="D97" s="11" t="s">
        <v>590</v>
      </c>
      <c r="E97" s="11" t="s">
        <v>2693</v>
      </c>
      <c r="F97" s="11" t="s">
        <v>187</v>
      </c>
      <c r="G97" s="25" t="s">
        <v>37</v>
      </c>
      <c r="H97" s="24" t="s">
        <v>38</v>
      </c>
      <c r="I97" s="25" t="s">
        <v>195</v>
      </c>
      <c r="J97" s="12"/>
      <c r="K97" s="24" t="s">
        <v>109</v>
      </c>
      <c r="L97" s="24" t="s">
        <v>116</v>
      </c>
      <c r="M97" s="25" t="s">
        <v>128</v>
      </c>
      <c r="N97" s="12"/>
      <c r="O97" s="24" t="s">
        <v>39</v>
      </c>
      <c r="P97" s="24" t="s">
        <v>78</v>
      </c>
      <c r="Q97" s="25" t="s">
        <v>100</v>
      </c>
      <c r="R97" s="12"/>
      <c r="S97" s="31" t="str">
        <f>"605,0"</f>
        <v>605,0</v>
      </c>
      <c r="T97" s="12" t="str">
        <f>"411,4000"</f>
        <v>411,4000</v>
      </c>
      <c r="U97" s="11"/>
    </row>
    <row r="98" spans="1:21">
      <c r="A98" s="14" t="s">
        <v>351</v>
      </c>
      <c r="B98" s="13" t="s">
        <v>987</v>
      </c>
      <c r="C98" s="13" t="s">
        <v>988</v>
      </c>
      <c r="D98" s="13" t="s">
        <v>134</v>
      </c>
      <c r="E98" s="13" t="s">
        <v>2693</v>
      </c>
      <c r="F98" s="13" t="s">
        <v>221</v>
      </c>
      <c r="G98" s="27" t="s">
        <v>166</v>
      </c>
      <c r="H98" s="26" t="s">
        <v>116</v>
      </c>
      <c r="I98" s="26" t="s">
        <v>117</v>
      </c>
      <c r="J98" s="14"/>
      <c r="K98" s="26" t="s">
        <v>83</v>
      </c>
      <c r="L98" s="26" t="s">
        <v>35</v>
      </c>
      <c r="M98" s="26" t="s">
        <v>50</v>
      </c>
      <c r="N98" s="14"/>
      <c r="O98" s="26" t="s">
        <v>60</v>
      </c>
      <c r="P98" s="26" t="s">
        <v>38</v>
      </c>
      <c r="Q98" s="27" t="s">
        <v>39</v>
      </c>
      <c r="R98" s="14"/>
      <c r="S98" s="30" t="str">
        <f>"502,5"</f>
        <v>502,5</v>
      </c>
      <c r="T98" s="14" t="str">
        <f>"358,1539"</f>
        <v>358,1539</v>
      </c>
      <c r="U98" s="13" t="s">
        <v>932</v>
      </c>
    </row>
    <row r="99" spans="1:21">
      <c r="B99" s="5" t="s">
        <v>350</v>
      </c>
    </row>
    <row r="100" spans="1:21" ht="16">
      <c r="A100" s="82" t="s">
        <v>143</v>
      </c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</row>
    <row r="101" spans="1:21">
      <c r="A101" s="10" t="s">
        <v>349</v>
      </c>
      <c r="B101" s="9" t="s">
        <v>989</v>
      </c>
      <c r="C101" s="9" t="s">
        <v>990</v>
      </c>
      <c r="D101" s="9" t="s">
        <v>991</v>
      </c>
      <c r="E101" s="9" t="s">
        <v>2692</v>
      </c>
      <c r="F101" s="9" t="s">
        <v>221</v>
      </c>
      <c r="G101" s="22" t="s">
        <v>51</v>
      </c>
      <c r="H101" s="22" t="s">
        <v>45</v>
      </c>
      <c r="I101" s="23" t="s">
        <v>46</v>
      </c>
      <c r="J101" s="10"/>
      <c r="K101" s="22" t="s">
        <v>23</v>
      </c>
      <c r="L101" s="23" t="s">
        <v>24</v>
      </c>
      <c r="M101" s="23" t="s">
        <v>24</v>
      </c>
      <c r="N101" s="10"/>
      <c r="O101" s="22" t="s">
        <v>70</v>
      </c>
      <c r="P101" s="22" t="s">
        <v>154</v>
      </c>
      <c r="Q101" s="22" t="s">
        <v>45</v>
      </c>
      <c r="R101" s="10"/>
      <c r="S101" s="29" t="str">
        <f>"370,0"</f>
        <v>370,0</v>
      </c>
      <c r="T101" s="10" t="str">
        <f>"247,1600"</f>
        <v>247,1600</v>
      </c>
      <c r="U101" s="9" t="s">
        <v>992</v>
      </c>
    </row>
    <row r="102" spans="1:21">
      <c r="A102" s="12" t="s">
        <v>349</v>
      </c>
      <c r="B102" s="11" t="s">
        <v>993</v>
      </c>
      <c r="C102" s="11" t="s">
        <v>994</v>
      </c>
      <c r="D102" s="11" t="s">
        <v>618</v>
      </c>
      <c r="E102" s="11" t="s">
        <v>2691</v>
      </c>
      <c r="F102" s="11" t="s">
        <v>313</v>
      </c>
      <c r="G102" s="25" t="s">
        <v>60</v>
      </c>
      <c r="H102" s="24" t="s">
        <v>60</v>
      </c>
      <c r="I102" s="25" t="s">
        <v>37</v>
      </c>
      <c r="J102" s="12"/>
      <c r="K102" s="24" t="s">
        <v>45</v>
      </c>
      <c r="L102" s="25" t="s">
        <v>46</v>
      </c>
      <c r="M102" s="24" t="s">
        <v>47</v>
      </c>
      <c r="N102" s="12"/>
      <c r="O102" s="24" t="s">
        <v>39</v>
      </c>
      <c r="P102" s="25" t="s">
        <v>32</v>
      </c>
      <c r="Q102" s="12"/>
      <c r="R102" s="12"/>
      <c r="S102" s="31" t="str">
        <f>"545,0"</f>
        <v>545,0</v>
      </c>
      <c r="T102" s="12" t="str">
        <f>"352,6695"</f>
        <v>352,6695</v>
      </c>
      <c r="U102" s="11"/>
    </row>
    <row r="103" spans="1:21">
      <c r="A103" s="12" t="s">
        <v>349</v>
      </c>
      <c r="B103" s="11" t="s">
        <v>995</v>
      </c>
      <c r="C103" s="11" t="s">
        <v>996</v>
      </c>
      <c r="D103" s="11" t="s">
        <v>615</v>
      </c>
      <c r="E103" s="11" t="s">
        <v>2690</v>
      </c>
      <c r="F103" s="11" t="s">
        <v>997</v>
      </c>
      <c r="G103" s="24" t="s">
        <v>87</v>
      </c>
      <c r="H103" s="24" t="s">
        <v>94</v>
      </c>
      <c r="I103" s="25" t="s">
        <v>126</v>
      </c>
      <c r="J103" s="12"/>
      <c r="K103" s="24" t="s">
        <v>52</v>
      </c>
      <c r="L103" s="24" t="s">
        <v>59</v>
      </c>
      <c r="M103" s="24" t="s">
        <v>166</v>
      </c>
      <c r="N103" s="12"/>
      <c r="O103" s="24" t="s">
        <v>86</v>
      </c>
      <c r="P103" s="24" t="s">
        <v>129</v>
      </c>
      <c r="Q103" s="24" t="s">
        <v>968</v>
      </c>
      <c r="R103" s="12"/>
      <c r="S103" s="31" t="str">
        <f>"687,5"</f>
        <v>687,5</v>
      </c>
      <c r="T103" s="12" t="str">
        <f>"440,6875"</f>
        <v>440,6875</v>
      </c>
      <c r="U103" s="11" t="s">
        <v>998</v>
      </c>
    </row>
    <row r="104" spans="1:21">
      <c r="A104" s="12" t="s">
        <v>351</v>
      </c>
      <c r="B104" s="11" t="s">
        <v>999</v>
      </c>
      <c r="C104" s="11" t="s">
        <v>1000</v>
      </c>
      <c r="D104" s="11" t="s">
        <v>615</v>
      </c>
      <c r="E104" s="11" t="s">
        <v>2690</v>
      </c>
      <c r="F104" s="11" t="s">
        <v>1001</v>
      </c>
      <c r="G104" s="24" t="s">
        <v>32</v>
      </c>
      <c r="H104" s="24" t="s">
        <v>78</v>
      </c>
      <c r="I104" s="25" t="s">
        <v>483</v>
      </c>
      <c r="J104" s="12"/>
      <c r="K104" s="24" t="s">
        <v>45</v>
      </c>
      <c r="L104" s="24" t="s">
        <v>52</v>
      </c>
      <c r="M104" s="25" t="s">
        <v>46</v>
      </c>
      <c r="N104" s="12"/>
      <c r="O104" s="25" t="s">
        <v>87</v>
      </c>
      <c r="P104" s="24" t="s">
        <v>126</v>
      </c>
      <c r="Q104" s="24" t="s">
        <v>119</v>
      </c>
      <c r="R104" s="12"/>
      <c r="S104" s="31" t="str">
        <f>"655,0"</f>
        <v>655,0</v>
      </c>
      <c r="T104" s="12" t="str">
        <f>"419,8550"</f>
        <v>419,8550</v>
      </c>
      <c r="U104" s="11"/>
    </row>
    <row r="105" spans="1:21">
      <c r="A105" s="12" t="s">
        <v>353</v>
      </c>
      <c r="B105" s="11" t="s">
        <v>1002</v>
      </c>
      <c r="C105" s="11" t="s">
        <v>1003</v>
      </c>
      <c r="D105" s="11" t="s">
        <v>1004</v>
      </c>
      <c r="E105" s="11" t="s">
        <v>2690</v>
      </c>
      <c r="F105" s="11" t="s">
        <v>1005</v>
      </c>
      <c r="G105" s="24" t="s">
        <v>77</v>
      </c>
      <c r="H105" s="24" t="s">
        <v>78</v>
      </c>
      <c r="I105" s="25" t="s">
        <v>100</v>
      </c>
      <c r="J105" s="12"/>
      <c r="K105" s="24" t="s">
        <v>154</v>
      </c>
      <c r="L105" s="25" t="s">
        <v>414</v>
      </c>
      <c r="M105" s="25" t="s">
        <v>414</v>
      </c>
      <c r="N105" s="12"/>
      <c r="O105" s="24" t="s">
        <v>100</v>
      </c>
      <c r="P105" s="24" t="s">
        <v>87</v>
      </c>
      <c r="Q105" s="25" t="s">
        <v>129</v>
      </c>
      <c r="R105" s="12"/>
      <c r="S105" s="31" t="str">
        <f>"620,0"</f>
        <v>620,0</v>
      </c>
      <c r="T105" s="12" t="str">
        <f>"407,3400"</f>
        <v>407,3400</v>
      </c>
      <c r="U105" s="11"/>
    </row>
    <row r="106" spans="1:21">
      <c r="A106" s="12" t="s">
        <v>354</v>
      </c>
      <c r="B106" s="11" t="s">
        <v>1006</v>
      </c>
      <c r="C106" s="11" t="s">
        <v>1007</v>
      </c>
      <c r="D106" s="11" t="s">
        <v>1008</v>
      </c>
      <c r="E106" s="11" t="s">
        <v>2690</v>
      </c>
      <c r="F106" s="11" t="s">
        <v>538</v>
      </c>
      <c r="G106" s="24" t="s">
        <v>38</v>
      </c>
      <c r="H106" s="24" t="s">
        <v>39</v>
      </c>
      <c r="I106" s="25" t="s">
        <v>32</v>
      </c>
      <c r="J106" s="12"/>
      <c r="K106" s="24" t="s">
        <v>51</v>
      </c>
      <c r="L106" s="25" t="s">
        <v>154</v>
      </c>
      <c r="M106" s="25" t="s">
        <v>154</v>
      </c>
      <c r="N106" s="12"/>
      <c r="O106" s="24" t="s">
        <v>100</v>
      </c>
      <c r="P106" s="24" t="s">
        <v>444</v>
      </c>
      <c r="Q106" s="25" t="s">
        <v>968</v>
      </c>
      <c r="R106" s="12"/>
      <c r="S106" s="31" t="str">
        <f>"597,5"</f>
        <v>597,5</v>
      </c>
      <c r="T106" s="12" t="str">
        <f>"382,5195"</f>
        <v>382,5195</v>
      </c>
      <c r="U106" s="11" t="s">
        <v>1009</v>
      </c>
    </row>
    <row r="107" spans="1:21">
      <c r="A107" s="12" t="s">
        <v>355</v>
      </c>
      <c r="B107" s="11" t="s">
        <v>1010</v>
      </c>
      <c r="C107" s="11" t="s">
        <v>1011</v>
      </c>
      <c r="D107" s="11" t="s">
        <v>1012</v>
      </c>
      <c r="E107" s="11" t="s">
        <v>2690</v>
      </c>
      <c r="F107" s="11" t="s">
        <v>530</v>
      </c>
      <c r="G107" s="24" t="s">
        <v>38</v>
      </c>
      <c r="H107" s="25" t="s">
        <v>39</v>
      </c>
      <c r="I107" s="25" t="s">
        <v>39</v>
      </c>
      <c r="J107" s="12"/>
      <c r="K107" s="24" t="s">
        <v>391</v>
      </c>
      <c r="L107" s="25" t="s">
        <v>51</v>
      </c>
      <c r="M107" s="25" t="s">
        <v>51</v>
      </c>
      <c r="N107" s="12"/>
      <c r="O107" s="24" t="s">
        <v>94</v>
      </c>
      <c r="P107" s="25" t="s">
        <v>119</v>
      </c>
      <c r="Q107" s="25" t="s">
        <v>119</v>
      </c>
      <c r="R107" s="12"/>
      <c r="S107" s="31" t="str">
        <f>"587,5"</f>
        <v>587,5</v>
      </c>
      <c r="T107" s="12" t="str">
        <f>"384,2250"</f>
        <v>384,2250</v>
      </c>
      <c r="U107" s="11"/>
    </row>
    <row r="108" spans="1:21">
      <c r="A108" s="12" t="s">
        <v>356</v>
      </c>
      <c r="B108" s="11" t="s">
        <v>1013</v>
      </c>
      <c r="C108" s="11" t="s">
        <v>1014</v>
      </c>
      <c r="D108" s="11" t="s">
        <v>1015</v>
      </c>
      <c r="E108" s="11" t="s">
        <v>2690</v>
      </c>
      <c r="F108" s="11" t="s">
        <v>221</v>
      </c>
      <c r="G108" s="24" t="s">
        <v>52</v>
      </c>
      <c r="H108" s="25" t="s">
        <v>166</v>
      </c>
      <c r="I108" s="24" t="s">
        <v>109</v>
      </c>
      <c r="J108" s="12"/>
      <c r="K108" s="24" t="s">
        <v>154</v>
      </c>
      <c r="L108" s="24" t="s">
        <v>52</v>
      </c>
      <c r="M108" s="25" t="s">
        <v>59</v>
      </c>
      <c r="N108" s="12"/>
      <c r="O108" s="24" t="s">
        <v>59</v>
      </c>
      <c r="P108" s="24" t="s">
        <v>60</v>
      </c>
      <c r="Q108" s="25" t="s">
        <v>39</v>
      </c>
      <c r="R108" s="12"/>
      <c r="S108" s="31" t="str">
        <f>"500,0"</f>
        <v>500,0</v>
      </c>
      <c r="T108" s="12" t="str">
        <f>"328,9500"</f>
        <v>328,9500</v>
      </c>
      <c r="U108" s="11" t="s">
        <v>1016</v>
      </c>
    </row>
    <row r="109" spans="1:21">
      <c r="A109" s="12" t="s">
        <v>357</v>
      </c>
      <c r="B109" s="11" t="s">
        <v>1017</v>
      </c>
      <c r="C109" s="11" t="s">
        <v>1018</v>
      </c>
      <c r="D109" s="11" t="s">
        <v>1019</v>
      </c>
      <c r="E109" s="11" t="s">
        <v>2690</v>
      </c>
      <c r="F109" s="11" t="s">
        <v>667</v>
      </c>
      <c r="G109" s="24" t="s">
        <v>52</v>
      </c>
      <c r="H109" s="24" t="s">
        <v>59</v>
      </c>
      <c r="I109" s="24" t="s">
        <v>166</v>
      </c>
      <c r="J109" s="12"/>
      <c r="K109" s="24" t="s">
        <v>50</v>
      </c>
      <c r="L109" s="25" t="s">
        <v>84</v>
      </c>
      <c r="M109" s="24" t="s">
        <v>84</v>
      </c>
      <c r="N109" s="12"/>
      <c r="O109" s="24" t="s">
        <v>284</v>
      </c>
      <c r="P109" s="24" t="s">
        <v>31</v>
      </c>
      <c r="Q109" s="25" t="s">
        <v>39</v>
      </c>
      <c r="R109" s="12"/>
      <c r="S109" s="31" t="str">
        <f>"495,0"</f>
        <v>495,0</v>
      </c>
      <c r="T109" s="12" t="str">
        <f>"320,7105"</f>
        <v>320,7105</v>
      </c>
      <c r="U109" s="11"/>
    </row>
    <row r="110" spans="1:21">
      <c r="A110" s="12" t="s">
        <v>358</v>
      </c>
      <c r="B110" s="11" t="s">
        <v>1020</v>
      </c>
      <c r="C110" s="11" t="s">
        <v>1021</v>
      </c>
      <c r="D110" s="11" t="s">
        <v>153</v>
      </c>
      <c r="E110" s="11" t="s">
        <v>2690</v>
      </c>
      <c r="F110" s="11" t="s">
        <v>221</v>
      </c>
      <c r="G110" s="24" t="s">
        <v>154</v>
      </c>
      <c r="H110" s="25" t="s">
        <v>52</v>
      </c>
      <c r="I110" s="24" t="s">
        <v>52</v>
      </c>
      <c r="J110" s="12"/>
      <c r="K110" s="24" t="s">
        <v>93</v>
      </c>
      <c r="L110" s="25" t="s">
        <v>414</v>
      </c>
      <c r="M110" s="25" t="s">
        <v>52</v>
      </c>
      <c r="N110" s="12"/>
      <c r="O110" s="25" t="s">
        <v>116</v>
      </c>
      <c r="P110" s="24" t="s">
        <v>116</v>
      </c>
      <c r="Q110" s="24" t="s">
        <v>118</v>
      </c>
      <c r="R110" s="12"/>
      <c r="S110" s="31" t="str">
        <f>"477,5"</f>
        <v>477,5</v>
      </c>
      <c r="T110" s="12" t="str">
        <f>"306,7460"</f>
        <v>306,7460</v>
      </c>
      <c r="U110" s="11" t="s">
        <v>1022</v>
      </c>
    </row>
    <row r="111" spans="1:21">
      <c r="A111" s="12" t="s">
        <v>349</v>
      </c>
      <c r="B111" s="11" t="s">
        <v>1023</v>
      </c>
      <c r="C111" s="11" t="s">
        <v>1024</v>
      </c>
      <c r="D111" s="11" t="s">
        <v>1019</v>
      </c>
      <c r="E111" s="11" t="s">
        <v>2693</v>
      </c>
      <c r="F111" s="11" t="s">
        <v>221</v>
      </c>
      <c r="G111" s="24" t="s">
        <v>166</v>
      </c>
      <c r="H111" s="25" t="s">
        <v>60</v>
      </c>
      <c r="I111" s="24" t="s">
        <v>118</v>
      </c>
      <c r="J111" s="12"/>
      <c r="K111" s="24" t="s">
        <v>67</v>
      </c>
      <c r="L111" s="24" t="s">
        <v>84</v>
      </c>
      <c r="M111" s="25" t="s">
        <v>70</v>
      </c>
      <c r="N111" s="12"/>
      <c r="O111" s="24" t="s">
        <v>37</v>
      </c>
      <c r="P111" s="25" t="s">
        <v>32</v>
      </c>
      <c r="Q111" s="25" t="s">
        <v>77</v>
      </c>
      <c r="R111" s="12"/>
      <c r="S111" s="31" t="str">
        <f>"500,0"</f>
        <v>500,0</v>
      </c>
      <c r="T111" s="12" t="str">
        <f>"323,9500"</f>
        <v>323,9500</v>
      </c>
      <c r="U111" s="11" t="s">
        <v>1025</v>
      </c>
    </row>
    <row r="112" spans="1:21">
      <c r="A112" s="12" t="s">
        <v>352</v>
      </c>
      <c r="B112" s="11" t="s">
        <v>1026</v>
      </c>
      <c r="C112" s="11" t="s">
        <v>1027</v>
      </c>
      <c r="D112" s="11" t="s">
        <v>1028</v>
      </c>
      <c r="E112" s="11" t="s">
        <v>2693</v>
      </c>
      <c r="F112" s="11" t="s">
        <v>221</v>
      </c>
      <c r="G112" s="25" t="s">
        <v>109</v>
      </c>
      <c r="H112" s="25" t="s">
        <v>109</v>
      </c>
      <c r="I112" s="25" t="s">
        <v>109</v>
      </c>
      <c r="J112" s="12"/>
      <c r="K112" s="25"/>
      <c r="L112" s="12"/>
      <c r="M112" s="12"/>
      <c r="N112" s="12"/>
      <c r="O112" s="25"/>
      <c r="P112" s="12"/>
      <c r="Q112" s="12"/>
      <c r="R112" s="12"/>
      <c r="S112" s="31">
        <v>0</v>
      </c>
      <c r="T112" s="12" t="str">
        <f>"0,0000"</f>
        <v>0,0000</v>
      </c>
      <c r="U112" s="11"/>
    </row>
    <row r="113" spans="1:21">
      <c r="A113" s="14" t="s">
        <v>349</v>
      </c>
      <c r="B113" s="13" t="s">
        <v>995</v>
      </c>
      <c r="C113" s="13" t="s">
        <v>1029</v>
      </c>
      <c r="D113" s="13" t="s">
        <v>615</v>
      </c>
      <c r="E113" s="13" t="s">
        <v>2695</v>
      </c>
      <c r="F113" s="13" t="s">
        <v>997</v>
      </c>
      <c r="G113" s="26" t="s">
        <v>87</v>
      </c>
      <c r="H113" s="26" t="s">
        <v>94</v>
      </c>
      <c r="I113" s="27" t="s">
        <v>126</v>
      </c>
      <c r="J113" s="14"/>
      <c r="K113" s="26" t="s">
        <v>52</v>
      </c>
      <c r="L113" s="26" t="s">
        <v>59</v>
      </c>
      <c r="M113" s="26" t="s">
        <v>166</v>
      </c>
      <c r="N113" s="14"/>
      <c r="O113" s="26" t="s">
        <v>86</v>
      </c>
      <c r="P113" s="26" t="s">
        <v>129</v>
      </c>
      <c r="Q113" s="26" t="s">
        <v>968</v>
      </c>
      <c r="R113" s="14"/>
      <c r="S113" s="30" t="str">
        <f>"687,5"</f>
        <v>687,5</v>
      </c>
      <c r="T113" s="14" t="str">
        <f>"560,9952"</f>
        <v>560,9952</v>
      </c>
      <c r="U113" s="13" t="s">
        <v>998</v>
      </c>
    </row>
    <row r="114" spans="1:21">
      <c r="B114" s="5" t="s">
        <v>350</v>
      </c>
    </row>
    <row r="115" spans="1:21" ht="16">
      <c r="A115" s="82" t="s">
        <v>183</v>
      </c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</row>
    <row r="116" spans="1:21">
      <c r="A116" s="10" t="s">
        <v>352</v>
      </c>
      <c r="B116" s="9" t="s">
        <v>634</v>
      </c>
      <c r="C116" s="9" t="s">
        <v>635</v>
      </c>
      <c r="D116" s="9" t="s">
        <v>636</v>
      </c>
      <c r="E116" s="9" t="s">
        <v>2689</v>
      </c>
      <c r="F116" s="9" t="s">
        <v>637</v>
      </c>
      <c r="G116" s="23" t="s">
        <v>39</v>
      </c>
      <c r="H116" s="23" t="s">
        <v>77</v>
      </c>
      <c r="I116" s="23" t="s">
        <v>77</v>
      </c>
      <c r="J116" s="10"/>
      <c r="K116" s="23"/>
      <c r="L116" s="10"/>
      <c r="M116" s="10"/>
      <c r="N116" s="10"/>
      <c r="O116" s="23"/>
      <c r="P116" s="10"/>
      <c r="Q116" s="10"/>
      <c r="R116" s="10"/>
      <c r="S116" s="29">
        <v>0</v>
      </c>
      <c r="T116" s="10" t="str">
        <f>"0,0000"</f>
        <v>0,0000</v>
      </c>
      <c r="U116" s="9"/>
    </row>
    <row r="117" spans="1:21">
      <c r="A117" s="12" t="s">
        <v>349</v>
      </c>
      <c r="B117" s="11" t="s">
        <v>1030</v>
      </c>
      <c r="C117" s="11" t="s">
        <v>1031</v>
      </c>
      <c r="D117" s="11" t="s">
        <v>1032</v>
      </c>
      <c r="E117" s="11" t="s">
        <v>2690</v>
      </c>
      <c r="F117" s="11" t="s">
        <v>243</v>
      </c>
      <c r="G117" s="24" t="s">
        <v>77</v>
      </c>
      <c r="H117" s="25" t="s">
        <v>78</v>
      </c>
      <c r="I117" s="25" t="s">
        <v>78</v>
      </c>
      <c r="J117" s="12"/>
      <c r="K117" s="24" t="s">
        <v>109</v>
      </c>
      <c r="L117" s="24" t="s">
        <v>116</v>
      </c>
      <c r="M117" s="25" t="s">
        <v>128</v>
      </c>
      <c r="N117" s="12"/>
      <c r="O117" s="24" t="s">
        <v>100</v>
      </c>
      <c r="P117" s="24" t="s">
        <v>129</v>
      </c>
      <c r="Q117" s="24" t="s">
        <v>94</v>
      </c>
      <c r="R117" s="12"/>
      <c r="S117" s="31" t="str">
        <f>"655,0"</f>
        <v>655,0</v>
      </c>
      <c r="T117" s="12" t="str">
        <f>"400,0740"</f>
        <v>400,0740</v>
      </c>
      <c r="U117" s="11" t="s">
        <v>697</v>
      </c>
    </row>
    <row r="118" spans="1:21">
      <c r="A118" s="12" t="s">
        <v>351</v>
      </c>
      <c r="B118" s="11" t="s">
        <v>1033</v>
      </c>
      <c r="C118" s="11" t="s">
        <v>1034</v>
      </c>
      <c r="D118" s="11" t="s">
        <v>200</v>
      </c>
      <c r="E118" s="11" t="s">
        <v>2690</v>
      </c>
      <c r="F118" s="11" t="s">
        <v>221</v>
      </c>
      <c r="G118" s="24" t="s">
        <v>38</v>
      </c>
      <c r="H118" s="24" t="s">
        <v>39</v>
      </c>
      <c r="I118" s="25" t="s">
        <v>77</v>
      </c>
      <c r="J118" s="12"/>
      <c r="K118" s="25" t="s">
        <v>59</v>
      </c>
      <c r="L118" s="24" t="s">
        <v>59</v>
      </c>
      <c r="M118" s="25" t="s">
        <v>109</v>
      </c>
      <c r="N118" s="12"/>
      <c r="O118" s="24" t="s">
        <v>38</v>
      </c>
      <c r="P118" s="24" t="s">
        <v>39</v>
      </c>
      <c r="Q118" s="24" t="s">
        <v>33</v>
      </c>
      <c r="R118" s="12"/>
      <c r="S118" s="31" t="str">
        <f>"595,0"</f>
        <v>595,0</v>
      </c>
      <c r="T118" s="12" t="str">
        <f>"365,2705"</f>
        <v>365,2705</v>
      </c>
      <c r="U118" s="11"/>
    </row>
    <row r="119" spans="1:21">
      <c r="A119" s="12" t="s">
        <v>353</v>
      </c>
      <c r="B119" s="11" t="s">
        <v>1035</v>
      </c>
      <c r="C119" s="11" t="s">
        <v>1036</v>
      </c>
      <c r="D119" s="11" t="s">
        <v>242</v>
      </c>
      <c r="E119" s="11" t="s">
        <v>2690</v>
      </c>
      <c r="F119" s="11" t="s">
        <v>221</v>
      </c>
      <c r="G119" s="24" t="s">
        <v>154</v>
      </c>
      <c r="H119" s="25" t="s">
        <v>47</v>
      </c>
      <c r="I119" s="25" t="s">
        <v>47</v>
      </c>
      <c r="J119" s="12"/>
      <c r="K119" s="24" t="s">
        <v>853</v>
      </c>
      <c r="L119" s="25" t="s">
        <v>34</v>
      </c>
      <c r="M119" s="25" t="s">
        <v>67</v>
      </c>
      <c r="N119" s="12"/>
      <c r="O119" s="24" t="s">
        <v>109</v>
      </c>
      <c r="P119" s="25" t="s">
        <v>60</v>
      </c>
      <c r="Q119" s="25" t="s">
        <v>159</v>
      </c>
      <c r="R119" s="12"/>
      <c r="S119" s="31" t="str">
        <f>"417,5"</f>
        <v>417,5</v>
      </c>
      <c r="T119" s="12" t="str">
        <f>"255,9692"</f>
        <v>255,9692</v>
      </c>
      <c r="U119" s="11"/>
    </row>
    <row r="120" spans="1:21">
      <c r="A120" s="12" t="s">
        <v>352</v>
      </c>
      <c r="B120" s="11" t="s">
        <v>1037</v>
      </c>
      <c r="C120" s="11" t="s">
        <v>1038</v>
      </c>
      <c r="D120" s="11" t="s">
        <v>1039</v>
      </c>
      <c r="E120" s="11" t="s">
        <v>2690</v>
      </c>
      <c r="F120" s="11" t="s">
        <v>2601</v>
      </c>
      <c r="G120" s="24" t="s">
        <v>31</v>
      </c>
      <c r="H120" s="24" t="s">
        <v>32</v>
      </c>
      <c r="I120" s="24" t="s">
        <v>78</v>
      </c>
      <c r="J120" s="12"/>
      <c r="K120" s="25" t="s">
        <v>47</v>
      </c>
      <c r="L120" s="25" t="s">
        <v>47</v>
      </c>
      <c r="M120" s="25" t="s">
        <v>47</v>
      </c>
      <c r="N120" s="12"/>
      <c r="O120" s="25"/>
      <c r="P120" s="12"/>
      <c r="Q120" s="12"/>
      <c r="R120" s="12"/>
      <c r="S120" s="31">
        <v>0</v>
      </c>
      <c r="T120" s="12" t="str">
        <f>"0,0000"</f>
        <v>0,0000</v>
      </c>
      <c r="U120" s="11" t="s">
        <v>945</v>
      </c>
    </row>
    <row r="121" spans="1:21">
      <c r="A121" s="12" t="s">
        <v>349</v>
      </c>
      <c r="B121" s="11" t="s">
        <v>1040</v>
      </c>
      <c r="C121" s="11" t="s">
        <v>1041</v>
      </c>
      <c r="D121" s="11" t="s">
        <v>1042</v>
      </c>
      <c r="E121" s="11" t="s">
        <v>2693</v>
      </c>
      <c r="F121" s="11" t="s">
        <v>1043</v>
      </c>
      <c r="G121" s="24" t="s">
        <v>38</v>
      </c>
      <c r="H121" s="24" t="s">
        <v>39</v>
      </c>
      <c r="I121" s="24" t="s">
        <v>32</v>
      </c>
      <c r="J121" s="12"/>
      <c r="K121" s="24" t="s">
        <v>414</v>
      </c>
      <c r="L121" s="24" t="s">
        <v>136</v>
      </c>
      <c r="M121" s="25" t="s">
        <v>166</v>
      </c>
      <c r="N121" s="12"/>
      <c r="O121" s="24" t="s">
        <v>77</v>
      </c>
      <c r="P121" s="24" t="s">
        <v>85</v>
      </c>
      <c r="Q121" s="25" t="s">
        <v>100</v>
      </c>
      <c r="R121" s="12"/>
      <c r="S121" s="31" t="str">
        <f>"607,5"</f>
        <v>607,5</v>
      </c>
      <c r="T121" s="12" t="str">
        <f>"372,6405"</f>
        <v>372,6405</v>
      </c>
      <c r="U121" s="11" t="s">
        <v>1044</v>
      </c>
    </row>
    <row r="122" spans="1:21">
      <c r="A122" s="12" t="s">
        <v>351</v>
      </c>
      <c r="B122" s="11" t="s">
        <v>1045</v>
      </c>
      <c r="C122" s="11" t="s">
        <v>1046</v>
      </c>
      <c r="D122" s="11" t="s">
        <v>191</v>
      </c>
      <c r="E122" s="11" t="s">
        <v>2693</v>
      </c>
      <c r="F122" s="11" t="s">
        <v>221</v>
      </c>
      <c r="G122" s="24" t="s">
        <v>60</v>
      </c>
      <c r="H122" s="24" t="s">
        <v>37</v>
      </c>
      <c r="I122" s="24" t="s">
        <v>38</v>
      </c>
      <c r="J122" s="12"/>
      <c r="K122" s="25" t="s">
        <v>70</v>
      </c>
      <c r="L122" s="24" t="s">
        <v>70</v>
      </c>
      <c r="M122" s="25" t="s">
        <v>154</v>
      </c>
      <c r="N122" s="12"/>
      <c r="O122" s="24" t="s">
        <v>39</v>
      </c>
      <c r="P122" s="24" t="s">
        <v>77</v>
      </c>
      <c r="Q122" s="25" t="s">
        <v>33</v>
      </c>
      <c r="R122" s="12"/>
      <c r="S122" s="31" t="str">
        <f>"550,0"</f>
        <v>550,0</v>
      </c>
      <c r="T122" s="12" t="str">
        <f>"345,7986"</f>
        <v>345,7986</v>
      </c>
      <c r="U122" s="11"/>
    </row>
    <row r="123" spans="1:21">
      <c r="A123" s="12" t="s">
        <v>352</v>
      </c>
      <c r="B123" s="11" t="s">
        <v>1047</v>
      </c>
      <c r="C123" s="11" t="s">
        <v>1048</v>
      </c>
      <c r="D123" s="11" t="s">
        <v>1049</v>
      </c>
      <c r="E123" s="11" t="s">
        <v>2693</v>
      </c>
      <c r="F123" s="11" t="s">
        <v>221</v>
      </c>
      <c r="G123" s="25" t="s">
        <v>166</v>
      </c>
      <c r="H123" s="25" t="s">
        <v>166</v>
      </c>
      <c r="I123" s="25" t="s">
        <v>116</v>
      </c>
      <c r="J123" s="12"/>
      <c r="K123" s="25"/>
      <c r="L123" s="12"/>
      <c r="M123" s="12"/>
      <c r="N123" s="12"/>
      <c r="O123" s="25"/>
      <c r="P123" s="12"/>
      <c r="Q123" s="12"/>
      <c r="R123" s="12"/>
      <c r="S123" s="31">
        <v>0</v>
      </c>
      <c r="T123" s="12" t="str">
        <f>"0,0000"</f>
        <v>0,0000</v>
      </c>
      <c r="U123" s="11" t="s">
        <v>1050</v>
      </c>
    </row>
    <row r="124" spans="1:21">
      <c r="A124" s="14" t="s">
        <v>349</v>
      </c>
      <c r="B124" s="13" t="s">
        <v>1051</v>
      </c>
      <c r="C124" s="13" t="s">
        <v>1052</v>
      </c>
      <c r="D124" s="13" t="s">
        <v>1053</v>
      </c>
      <c r="E124" s="13" t="s">
        <v>2696</v>
      </c>
      <c r="F124" s="13" t="s">
        <v>1054</v>
      </c>
      <c r="G124" s="26" t="s">
        <v>70</v>
      </c>
      <c r="H124" s="27" t="s">
        <v>376</v>
      </c>
      <c r="I124" s="27" t="s">
        <v>154</v>
      </c>
      <c r="J124" s="14"/>
      <c r="K124" s="26" t="s">
        <v>407</v>
      </c>
      <c r="L124" s="26" t="s">
        <v>466</v>
      </c>
      <c r="M124" s="27" t="s">
        <v>627</v>
      </c>
      <c r="N124" s="14"/>
      <c r="O124" s="26" t="s">
        <v>47</v>
      </c>
      <c r="P124" s="26" t="s">
        <v>226</v>
      </c>
      <c r="Q124" s="27" t="s">
        <v>148</v>
      </c>
      <c r="R124" s="14"/>
      <c r="S124" s="30" t="str">
        <f>"387,5"</f>
        <v>387,5</v>
      </c>
      <c r="T124" s="14" t="str">
        <f>"444,9910"</f>
        <v>444,9910</v>
      </c>
      <c r="U124" s="13"/>
    </row>
    <row r="125" spans="1:21">
      <c r="B125" s="5" t="s">
        <v>350</v>
      </c>
    </row>
    <row r="126" spans="1:21" ht="16">
      <c r="A126" s="82" t="s">
        <v>244</v>
      </c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</row>
    <row r="127" spans="1:21">
      <c r="A127" s="10" t="s">
        <v>349</v>
      </c>
      <c r="B127" s="9" t="s">
        <v>1055</v>
      </c>
      <c r="C127" s="9" t="s">
        <v>1056</v>
      </c>
      <c r="D127" s="9" t="s">
        <v>1057</v>
      </c>
      <c r="E127" s="9" t="s">
        <v>2689</v>
      </c>
      <c r="F127" s="9" t="s">
        <v>313</v>
      </c>
      <c r="G127" s="23" t="s">
        <v>60</v>
      </c>
      <c r="H127" s="23" t="s">
        <v>60</v>
      </c>
      <c r="I127" s="22" t="s">
        <v>60</v>
      </c>
      <c r="J127" s="10"/>
      <c r="K127" s="22" t="s">
        <v>154</v>
      </c>
      <c r="L127" s="22" t="s">
        <v>45</v>
      </c>
      <c r="M127" s="22" t="s">
        <v>414</v>
      </c>
      <c r="N127" s="10"/>
      <c r="O127" s="22" t="s">
        <v>38</v>
      </c>
      <c r="P127" s="22" t="s">
        <v>77</v>
      </c>
      <c r="Q127" s="10"/>
      <c r="R127" s="10"/>
      <c r="S127" s="29" t="str">
        <f>"547,5"</f>
        <v>547,5</v>
      </c>
      <c r="T127" s="10" t="str">
        <f>"330,6353"</f>
        <v>330,6353</v>
      </c>
      <c r="U127" s="9" t="s">
        <v>1058</v>
      </c>
    </row>
    <row r="128" spans="1:21">
      <c r="A128" s="12" t="s">
        <v>351</v>
      </c>
      <c r="B128" s="11" t="s">
        <v>1059</v>
      </c>
      <c r="C128" s="11" t="s">
        <v>1060</v>
      </c>
      <c r="D128" s="11" t="s">
        <v>708</v>
      </c>
      <c r="E128" s="11" t="s">
        <v>2689</v>
      </c>
      <c r="F128" s="11" t="s">
        <v>221</v>
      </c>
      <c r="G128" s="24" t="s">
        <v>60</v>
      </c>
      <c r="H128" s="24" t="s">
        <v>38</v>
      </c>
      <c r="I128" s="25" t="s">
        <v>39</v>
      </c>
      <c r="J128" s="12"/>
      <c r="K128" s="24" t="s">
        <v>66</v>
      </c>
      <c r="L128" s="24" t="s">
        <v>34</v>
      </c>
      <c r="M128" s="25" t="s">
        <v>35</v>
      </c>
      <c r="N128" s="12"/>
      <c r="O128" s="24" t="s">
        <v>31</v>
      </c>
      <c r="P128" s="24" t="s">
        <v>32</v>
      </c>
      <c r="Q128" s="25" t="s">
        <v>33</v>
      </c>
      <c r="R128" s="12"/>
      <c r="S128" s="31" t="str">
        <f>"527,5"</f>
        <v>527,5</v>
      </c>
      <c r="T128" s="12" t="str">
        <f>"311,8580"</f>
        <v>311,8580</v>
      </c>
      <c r="U128" s="11" t="s">
        <v>1061</v>
      </c>
    </row>
    <row r="129" spans="1:21">
      <c r="A129" s="14" t="s">
        <v>349</v>
      </c>
      <c r="B129" s="13" t="s">
        <v>1062</v>
      </c>
      <c r="C129" s="13" t="s">
        <v>1063</v>
      </c>
      <c r="D129" s="13" t="s">
        <v>1064</v>
      </c>
      <c r="E129" s="13" t="s">
        <v>2693</v>
      </c>
      <c r="F129" s="13" t="s">
        <v>1065</v>
      </c>
      <c r="G129" s="27" t="s">
        <v>31</v>
      </c>
      <c r="H129" s="26" t="s">
        <v>31</v>
      </c>
      <c r="I129" s="26" t="s">
        <v>39</v>
      </c>
      <c r="J129" s="14"/>
      <c r="K129" s="26" t="s">
        <v>51</v>
      </c>
      <c r="L129" s="26" t="s">
        <v>154</v>
      </c>
      <c r="M129" s="27" t="s">
        <v>45</v>
      </c>
      <c r="N129" s="14"/>
      <c r="O129" s="26" t="s">
        <v>100</v>
      </c>
      <c r="P129" s="26" t="s">
        <v>87</v>
      </c>
      <c r="Q129" s="14"/>
      <c r="R129" s="14"/>
      <c r="S129" s="30" t="str">
        <f>"600,0"</f>
        <v>600,0</v>
      </c>
      <c r="T129" s="14" t="str">
        <f>"364,5533"</f>
        <v>364,5533</v>
      </c>
      <c r="U129" s="13" t="s">
        <v>1066</v>
      </c>
    </row>
    <row r="130" spans="1:21">
      <c r="B130" s="5" t="s">
        <v>350</v>
      </c>
    </row>
    <row r="131" spans="1:21" ht="16">
      <c r="A131" s="82" t="s">
        <v>276</v>
      </c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</row>
    <row r="132" spans="1:21">
      <c r="A132" s="10" t="s">
        <v>349</v>
      </c>
      <c r="B132" s="9" t="s">
        <v>1067</v>
      </c>
      <c r="C132" s="9" t="s">
        <v>1068</v>
      </c>
      <c r="D132" s="9" t="s">
        <v>1069</v>
      </c>
      <c r="E132" s="9" t="s">
        <v>2689</v>
      </c>
      <c r="F132" s="9" t="s">
        <v>1070</v>
      </c>
      <c r="G132" s="22" t="s">
        <v>87</v>
      </c>
      <c r="H132" s="22" t="s">
        <v>94</v>
      </c>
      <c r="I132" s="23" t="s">
        <v>126</v>
      </c>
      <c r="J132" s="10"/>
      <c r="K132" s="22" t="s">
        <v>59</v>
      </c>
      <c r="L132" s="22" t="s">
        <v>148</v>
      </c>
      <c r="M132" s="23" t="s">
        <v>127</v>
      </c>
      <c r="N132" s="10"/>
      <c r="O132" s="22" t="s">
        <v>211</v>
      </c>
      <c r="P132" s="22" t="s">
        <v>196</v>
      </c>
      <c r="Q132" s="23" t="s">
        <v>197</v>
      </c>
      <c r="R132" s="10"/>
      <c r="S132" s="29" t="str">
        <f>"757,5"</f>
        <v>757,5</v>
      </c>
      <c r="T132" s="10" t="str">
        <f>"442,1528"</f>
        <v>442,1528</v>
      </c>
      <c r="U132" s="9" t="s">
        <v>985</v>
      </c>
    </row>
    <row r="133" spans="1:21">
      <c r="A133" s="14" t="s">
        <v>351</v>
      </c>
      <c r="B133" s="13" t="s">
        <v>1071</v>
      </c>
      <c r="C133" s="13" t="s">
        <v>1072</v>
      </c>
      <c r="D133" s="13" t="s">
        <v>1073</v>
      </c>
      <c r="E133" s="13" t="s">
        <v>2689</v>
      </c>
      <c r="F133" s="13" t="s">
        <v>147</v>
      </c>
      <c r="G133" s="26" t="s">
        <v>31</v>
      </c>
      <c r="H133" s="26" t="s">
        <v>696</v>
      </c>
      <c r="I133" s="26" t="s">
        <v>33</v>
      </c>
      <c r="J133" s="14"/>
      <c r="K133" s="26" t="s">
        <v>84</v>
      </c>
      <c r="L133" s="26" t="s">
        <v>51</v>
      </c>
      <c r="M133" s="26" t="s">
        <v>376</v>
      </c>
      <c r="N133" s="14"/>
      <c r="O133" s="26" t="s">
        <v>32</v>
      </c>
      <c r="P133" s="26" t="s">
        <v>592</v>
      </c>
      <c r="Q133" s="26" t="s">
        <v>100</v>
      </c>
      <c r="R133" s="14"/>
      <c r="S133" s="30" t="str">
        <f>"602,5"</f>
        <v>602,5</v>
      </c>
      <c r="T133" s="14" t="str">
        <f>"344,8108"</f>
        <v>344,8108</v>
      </c>
      <c r="U133" s="13" t="s">
        <v>945</v>
      </c>
    </row>
    <row r="134" spans="1:21">
      <c r="B134" s="5" t="s">
        <v>350</v>
      </c>
    </row>
    <row r="135" spans="1:21" ht="16">
      <c r="A135" s="82" t="s">
        <v>299</v>
      </c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</row>
    <row r="136" spans="1:21">
      <c r="A136" s="8" t="s">
        <v>349</v>
      </c>
      <c r="B136" s="7" t="s">
        <v>1074</v>
      </c>
      <c r="C136" s="7" t="s">
        <v>1075</v>
      </c>
      <c r="D136" s="7" t="s">
        <v>1076</v>
      </c>
      <c r="E136" s="7" t="s">
        <v>2689</v>
      </c>
      <c r="F136" s="7" t="s">
        <v>221</v>
      </c>
      <c r="G136" s="20" t="s">
        <v>85</v>
      </c>
      <c r="H136" s="20" t="s">
        <v>87</v>
      </c>
      <c r="I136" s="20" t="s">
        <v>94</v>
      </c>
      <c r="J136" s="8"/>
      <c r="K136" s="20" t="s">
        <v>166</v>
      </c>
      <c r="L136" s="20" t="s">
        <v>116</v>
      </c>
      <c r="M136" s="20" t="s">
        <v>60</v>
      </c>
      <c r="N136" s="8"/>
      <c r="O136" s="20" t="s">
        <v>126</v>
      </c>
      <c r="P136" s="21" t="s">
        <v>209</v>
      </c>
      <c r="Q136" s="21" t="s">
        <v>209</v>
      </c>
      <c r="R136" s="8"/>
      <c r="S136" s="32" t="str">
        <f>"710,0"</f>
        <v>710,0</v>
      </c>
      <c r="T136" s="8" t="str">
        <f>"400,1560"</f>
        <v>400,1560</v>
      </c>
      <c r="U136" s="7" t="s">
        <v>1077</v>
      </c>
    </row>
    <row r="137" spans="1:21">
      <c r="B137" s="5" t="s">
        <v>350</v>
      </c>
    </row>
    <row r="138" spans="1:21" ht="16">
      <c r="A138" s="82" t="s">
        <v>309</v>
      </c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</row>
    <row r="139" spans="1:21">
      <c r="A139" s="8" t="s">
        <v>349</v>
      </c>
      <c r="B139" s="7" t="s">
        <v>1078</v>
      </c>
      <c r="C139" s="7" t="s">
        <v>1079</v>
      </c>
      <c r="D139" s="7" t="s">
        <v>1080</v>
      </c>
      <c r="E139" s="7" t="s">
        <v>2690</v>
      </c>
      <c r="F139" s="7" t="s">
        <v>221</v>
      </c>
      <c r="G139" s="20" t="s">
        <v>60</v>
      </c>
      <c r="H139" s="20" t="s">
        <v>37</v>
      </c>
      <c r="I139" s="20" t="s">
        <v>38</v>
      </c>
      <c r="J139" s="8"/>
      <c r="K139" s="20" t="s">
        <v>45</v>
      </c>
      <c r="L139" s="20" t="s">
        <v>47</v>
      </c>
      <c r="M139" s="20" t="s">
        <v>59</v>
      </c>
      <c r="N139" s="8"/>
      <c r="O139" s="20" t="s">
        <v>60</v>
      </c>
      <c r="P139" s="20" t="s">
        <v>38</v>
      </c>
      <c r="Q139" s="20" t="s">
        <v>32</v>
      </c>
      <c r="R139" s="8"/>
      <c r="S139" s="32" t="str">
        <f>"575,0"</f>
        <v>575,0</v>
      </c>
      <c r="T139" s="8" t="str">
        <f>"321,1375"</f>
        <v>321,1375</v>
      </c>
      <c r="U139" s="7"/>
    </row>
    <row r="140" spans="1:21">
      <c r="B140" s="5" t="s">
        <v>350</v>
      </c>
    </row>
    <row r="141" spans="1:21">
      <c r="B141" s="5" t="s">
        <v>350</v>
      </c>
    </row>
    <row r="142" spans="1:21">
      <c r="B142" s="5" t="s">
        <v>350</v>
      </c>
    </row>
    <row r="143" spans="1:21" ht="18">
      <c r="B143" s="15" t="s">
        <v>316</v>
      </c>
      <c r="C143" s="15"/>
      <c r="F143" s="3"/>
    </row>
    <row r="144" spans="1:21" ht="16">
      <c r="B144" s="16" t="s">
        <v>317</v>
      </c>
      <c r="C144" s="16"/>
      <c r="F144" s="3"/>
    </row>
    <row r="145" spans="2:6" ht="14">
      <c r="B145" s="17"/>
      <c r="C145" s="18" t="s">
        <v>318</v>
      </c>
      <c r="F145" s="3"/>
    </row>
    <row r="146" spans="2:6" ht="14">
      <c r="B146" s="19" t="s">
        <v>319</v>
      </c>
      <c r="C146" s="19" t="s">
        <v>320</v>
      </c>
      <c r="D146" s="19" t="s">
        <v>2593</v>
      </c>
      <c r="E146" s="19" t="s">
        <v>322</v>
      </c>
      <c r="F146" s="19" t="s">
        <v>323</v>
      </c>
    </row>
    <row r="147" spans="2:6">
      <c r="B147" s="5" t="s">
        <v>824</v>
      </c>
      <c r="C147" s="5" t="s">
        <v>318</v>
      </c>
      <c r="D147" s="6" t="s">
        <v>497</v>
      </c>
      <c r="E147" s="6" t="s">
        <v>1082</v>
      </c>
      <c r="F147" s="6" t="s">
        <v>1083</v>
      </c>
    </row>
    <row r="148" spans="2:6">
      <c r="B148" s="5" t="s">
        <v>785</v>
      </c>
      <c r="C148" s="5" t="s">
        <v>318</v>
      </c>
      <c r="D148" s="6" t="s">
        <v>1081</v>
      </c>
      <c r="E148" s="6" t="s">
        <v>1084</v>
      </c>
      <c r="F148" s="6" t="s">
        <v>1085</v>
      </c>
    </row>
    <row r="149" spans="2:6">
      <c r="B149" s="5" t="s">
        <v>855</v>
      </c>
      <c r="C149" s="5" t="s">
        <v>318</v>
      </c>
      <c r="D149" s="6" t="s">
        <v>324</v>
      </c>
      <c r="E149" s="6" t="s">
        <v>1086</v>
      </c>
      <c r="F149" s="6" t="s">
        <v>1087</v>
      </c>
    </row>
    <row r="152" spans="2:6" ht="16">
      <c r="B152" s="16" t="s">
        <v>336</v>
      </c>
      <c r="C152" s="16"/>
    </row>
    <row r="153" spans="2:6" ht="14">
      <c r="B153" s="17"/>
      <c r="C153" s="18" t="s">
        <v>501</v>
      </c>
    </row>
    <row r="154" spans="2:6" ht="14">
      <c r="B154" s="19" t="s">
        <v>319</v>
      </c>
      <c r="C154" s="19" t="s">
        <v>320</v>
      </c>
      <c r="D154" s="19" t="s">
        <v>2593</v>
      </c>
      <c r="E154" s="19" t="s">
        <v>322</v>
      </c>
      <c r="F154" s="19" t="s">
        <v>323</v>
      </c>
    </row>
    <row r="155" spans="2:6">
      <c r="B155" s="5" t="s">
        <v>953</v>
      </c>
      <c r="C155" s="5" t="s">
        <v>492</v>
      </c>
      <c r="D155" s="6" t="s">
        <v>327</v>
      </c>
      <c r="E155" s="6" t="s">
        <v>1088</v>
      </c>
      <c r="F155" s="6" t="s">
        <v>1089</v>
      </c>
    </row>
    <row r="156" spans="2:6">
      <c r="B156" s="5" t="s">
        <v>949</v>
      </c>
      <c r="C156" s="5" t="s">
        <v>502</v>
      </c>
      <c r="D156" s="6" t="s">
        <v>327</v>
      </c>
      <c r="E156" s="6" t="s">
        <v>1090</v>
      </c>
      <c r="F156" s="6" t="s">
        <v>1091</v>
      </c>
    </row>
    <row r="157" spans="2:6">
      <c r="B157" s="5" t="s">
        <v>903</v>
      </c>
      <c r="C157" s="5" t="s">
        <v>492</v>
      </c>
      <c r="D157" s="6" t="s">
        <v>324</v>
      </c>
      <c r="E157" s="6" t="s">
        <v>503</v>
      </c>
      <c r="F157" s="6" t="s">
        <v>1092</v>
      </c>
    </row>
    <row r="159" spans="2:6" ht="14">
      <c r="B159" s="17"/>
      <c r="C159" s="18" t="s">
        <v>337</v>
      </c>
    </row>
    <row r="160" spans="2:6" ht="14">
      <c r="B160" s="19" t="s">
        <v>319</v>
      </c>
      <c r="C160" s="19" t="s">
        <v>320</v>
      </c>
      <c r="D160" s="19" t="s">
        <v>2593</v>
      </c>
      <c r="E160" s="19" t="s">
        <v>322</v>
      </c>
      <c r="F160" s="19" t="s">
        <v>323</v>
      </c>
    </row>
    <row r="161" spans="2:6">
      <c r="B161" s="5" t="s">
        <v>1067</v>
      </c>
      <c r="C161" s="5" t="s">
        <v>337</v>
      </c>
      <c r="D161" s="6" t="s">
        <v>348</v>
      </c>
      <c r="E161" s="6" t="s">
        <v>1093</v>
      </c>
      <c r="F161" s="6" t="s">
        <v>1094</v>
      </c>
    </row>
    <row r="162" spans="2:6">
      <c r="B162" s="5" t="s">
        <v>1074</v>
      </c>
      <c r="C162" s="5" t="s">
        <v>337</v>
      </c>
      <c r="D162" s="6" t="s">
        <v>759</v>
      </c>
      <c r="E162" s="6" t="s">
        <v>1095</v>
      </c>
      <c r="F162" s="6" t="s">
        <v>1096</v>
      </c>
    </row>
    <row r="163" spans="2:6">
      <c r="B163" s="5" t="s">
        <v>924</v>
      </c>
      <c r="C163" s="5" t="s">
        <v>337</v>
      </c>
      <c r="D163" s="6" t="s">
        <v>330</v>
      </c>
      <c r="E163" s="6" t="s">
        <v>1097</v>
      </c>
      <c r="F163" s="6" t="s">
        <v>1098</v>
      </c>
    </row>
    <row r="165" spans="2:6" ht="14">
      <c r="B165" s="17"/>
      <c r="C165" s="18" t="s">
        <v>318</v>
      </c>
    </row>
    <row r="166" spans="2:6" ht="14">
      <c r="B166" s="19" t="s">
        <v>319</v>
      </c>
      <c r="C166" s="19" t="s">
        <v>320</v>
      </c>
      <c r="D166" s="19" t="s">
        <v>2593</v>
      </c>
      <c r="E166" s="19" t="s">
        <v>322</v>
      </c>
      <c r="F166" s="19" t="s">
        <v>323</v>
      </c>
    </row>
    <row r="167" spans="2:6">
      <c r="B167" s="5" t="s">
        <v>995</v>
      </c>
      <c r="C167" s="5" t="s">
        <v>318</v>
      </c>
      <c r="D167" s="6" t="s">
        <v>338</v>
      </c>
      <c r="E167" s="6" t="s">
        <v>1099</v>
      </c>
      <c r="F167" s="6" t="s">
        <v>1100</v>
      </c>
    </row>
    <row r="168" spans="2:6">
      <c r="B168" s="5" t="s">
        <v>999</v>
      </c>
      <c r="C168" s="5" t="s">
        <v>318</v>
      </c>
      <c r="D168" s="6" t="s">
        <v>338</v>
      </c>
      <c r="E168" s="6" t="s">
        <v>339</v>
      </c>
      <c r="F168" s="6" t="s">
        <v>1101</v>
      </c>
    </row>
    <row r="169" spans="2:6">
      <c r="B169" s="5" t="s">
        <v>933</v>
      </c>
      <c r="C169" s="5" t="s">
        <v>318</v>
      </c>
      <c r="D169" s="6" t="s">
        <v>330</v>
      </c>
      <c r="E169" s="6" t="s">
        <v>1102</v>
      </c>
      <c r="F169" s="6" t="s">
        <v>1103</v>
      </c>
    </row>
    <row r="171" spans="2:6" ht="14">
      <c r="B171" s="17"/>
      <c r="C171" s="18" t="s">
        <v>333</v>
      </c>
    </row>
    <row r="172" spans="2:6" ht="14">
      <c r="B172" s="19" t="s">
        <v>319</v>
      </c>
      <c r="C172" s="19" t="s">
        <v>320</v>
      </c>
      <c r="D172" s="19" t="s">
        <v>2593</v>
      </c>
      <c r="E172" s="19" t="s">
        <v>322</v>
      </c>
      <c r="F172" s="19" t="s">
        <v>323</v>
      </c>
    </row>
    <row r="173" spans="2:6">
      <c r="B173" s="5" t="s">
        <v>995</v>
      </c>
      <c r="C173" s="5" t="s">
        <v>334</v>
      </c>
      <c r="D173" s="6" t="s">
        <v>338</v>
      </c>
      <c r="E173" s="6" t="s">
        <v>1099</v>
      </c>
      <c r="F173" s="6" t="s">
        <v>1104</v>
      </c>
    </row>
    <row r="174" spans="2:6">
      <c r="B174" s="5" t="s">
        <v>1051</v>
      </c>
      <c r="C174" s="5" t="s">
        <v>1105</v>
      </c>
      <c r="D174" s="6" t="s">
        <v>343</v>
      </c>
      <c r="E174" s="6" t="s">
        <v>1106</v>
      </c>
      <c r="F174" s="6" t="s">
        <v>1107</v>
      </c>
    </row>
    <row r="175" spans="2:6">
      <c r="B175" s="5" t="s">
        <v>962</v>
      </c>
      <c r="C175" s="5" t="s">
        <v>335</v>
      </c>
      <c r="D175" s="6" t="s">
        <v>327</v>
      </c>
      <c r="E175" s="6" t="s">
        <v>1108</v>
      </c>
      <c r="F175" s="6" t="s">
        <v>1109</v>
      </c>
    </row>
    <row r="176" spans="2:6">
      <c r="B176" s="5" t="s">
        <v>350</v>
      </c>
    </row>
  </sheetData>
  <mergeCells count="33">
    <mergeCell ref="A138:R138"/>
    <mergeCell ref="B3:B4"/>
    <mergeCell ref="A85:R85"/>
    <mergeCell ref="A100:R100"/>
    <mergeCell ref="A115:R115"/>
    <mergeCell ref="A126:R126"/>
    <mergeCell ref="A131:R131"/>
    <mergeCell ref="A135:R135"/>
    <mergeCell ref="A52:R52"/>
    <mergeCell ref="A55:R55"/>
    <mergeCell ref="A58:R58"/>
    <mergeCell ref="A61:R61"/>
    <mergeCell ref="A64:R64"/>
    <mergeCell ref="A74:R74"/>
    <mergeCell ref="A9:R9"/>
    <mergeCell ref="A16:R16"/>
    <mergeCell ref="A25:R25"/>
    <mergeCell ref="A32:R32"/>
    <mergeCell ref="A37:R37"/>
    <mergeCell ref="A46:R46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232"/>
  <sheetViews>
    <sheetView topLeftCell="A167" workbookViewId="0">
      <selection activeCell="E204" sqref="E204"/>
    </sheetView>
  </sheetViews>
  <sheetFormatPr baseColWidth="10" defaultColWidth="9.1640625" defaultRowHeight="13"/>
  <cols>
    <col min="1" max="1" width="7.5" style="5" bestFit="1" customWidth="1"/>
    <col min="2" max="2" width="22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29" style="5" bestFit="1" customWidth="1"/>
    <col min="14" max="16384" width="9.1640625" style="3"/>
  </cols>
  <sheetData>
    <row r="1" spans="1:13" s="2" customFormat="1" ht="29" customHeight="1">
      <c r="A1" s="71" t="s">
        <v>2637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83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84"/>
      <c r="L4" s="66"/>
      <c r="M4" s="68"/>
    </row>
    <row r="5" spans="1:13" ht="16">
      <c r="A5" s="69" t="s">
        <v>763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1543</v>
      </c>
      <c r="C6" s="7" t="s">
        <v>1544</v>
      </c>
      <c r="D6" s="7" t="s">
        <v>766</v>
      </c>
      <c r="E6" s="7" t="s">
        <v>2690</v>
      </c>
      <c r="F6" s="7" t="s">
        <v>1545</v>
      </c>
      <c r="G6" s="21" t="s">
        <v>779</v>
      </c>
      <c r="H6" s="21" t="s">
        <v>779</v>
      </c>
      <c r="I6" s="20" t="s">
        <v>779</v>
      </c>
      <c r="J6" s="8"/>
      <c r="K6" s="32" t="str">
        <f>"40,0"</f>
        <v>40,0</v>
      </c>
      <c r="L6" s="8" t="str">
        <f>"57,6080"</f>
        <v>57,6080</v>
      </c>
      <c r="M6" s="7"/>
    </row>
    <row r="7" spans="1:13">
      <c r="B7" s="5" t="s">
        <v>350</v>
      </c>
    </row>
    <row r="8" spans="1:13" ht="16">
      <c r="A8" s="82" t="s">
        <v>774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8" t="s">
        <v>349</v>
      </c>
      <c r="B9" s="7" t="s">
        <v>1546</v>
      </c>
      <c r="C9" s="7" t="s">
        <v>1547</v>
      </c>
      <c r="D9" s="7" t="s">
        <v>792</v>
      </c>
      <c r="E9" s="7" t="s">
        <v>2690</v>
      </c>
      <c r="F9" s="7" t="s">
        <v>1548</v>
      </c>
      <c r="G9" s="21" t="s">
        <v>543</v>
      </c>
      <c r="H9" s="20" t="s">
        <v>543</v>
      </c>
      <c r="I9" s="21" t="s">
        <v>409</v>
      </c>
      <c r="J9" s="8"/>
      <c r="K9" s="32" t="str">
        <f>"50,0"</f>
        <v>50,0</v>
      </c>
      <c r="L9" s="8" t="str">
        <f>"67,9700"</f>
        <v>67,9700</v>
      </c>
      <c r="M9" s="7" t="s">
        <v>1549</v>
      </c>
    </row>
    <row r="10" spans="1:13">
      <c r="B10" s="5" t="s">
        <v>350</v>
      </c>
    </row>
    <row r="11" spans="1:13" ht="16">
      <c r="A11" s="82" t="s">
        <v>359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3">
      <c r="A12" s="10" t="s">
        <v>349</v>
      </c>
      <c r="B12" s="9" t="s">
        <v>1550</v>
      </c>
      <c r="C12" s="9" t="s">
        <v>1551</v>
      </c>
      <c r="D12" s="9" t="s">
        <v>1552</v>
      </c>
      <c r="E12" s="9" t="s">
        <v>2690</v>
      </c>
      <c r="F12" s="9" t="s">
        <v>221</v>
      </c>
      <c r="G12" s="23" t="s">
        <v>375</v>
      </c>
      <c r="H12" s="22" t="s">
        <v>375</v>
      </c>
      <c r="I12" s="23" t="s">
        <v>17</v>
      </c>
      <c r="J12" s="10"/>
      <c r="K12" s="29" t="str">
        <f>"57,5"</f>
        <v>57,5</v>
      </c>
      <c r="L12" s="10" t="str">
        <f>"72,4327"</f>
        <v>72,4327</v>
      </c>
      <c r="M12" s="9" t="s">
        <v>1553</v>
      </c>
    </row>
    <row r="13" spans="1:13">
      <c r="A13" s="12" t="s">
        <v>351</v>
      </c>
      <c r="B13" s="11" t="s">
        <v>820</v>
      </c>
      <c r="C13" s="11" t="s">
        <v>821</v>
      </c>
      <c r="D13" s="11" t="s">
        <v>362</v>
      </c>
      <c r="E13" s="9" t="s">
        <v>2690</v>
      </c>
      <c r="F13" s="11" t="s">
        <v>822</v>
      </c>
      <c r="G13" s="25" t="s">
        <v>409</v>
      </c>
      <c r="H13" s="24" t="s">
        <v>409</v>
      </c>
      <c r="I13" s="25" t="s">
        <v>16</v>
      </c>
      <c r="J13" s="12"/>
      <c r="K13" s="31" t="str">
        <f>"52,5"</f>
        <v>52,5</v>
      </c>
      <c r="L13" s="12" t="str">
        <f>"65,4465"</f>
        <v>65,4465</v>
      </c>
      <c r="M13" s="11" t="s">
        <v>823</v>
      </c>
    </row>
    <row r="14" spans="1:13">
      <c r="A14" s="12" t="s">
        <v>353</v>
      </c>
      <c r="B14" s="11" t="s">
        <v>1554</v>
      </c>
      <c r="C14" s="11" t="s">
        <v>1555</v>
      </c>
      <c r="D14" s="11" t="s">
        <v>1556</v>
      </c>
      <c r="E14" s="9" t="s">
        <v>2690</v>
      </c>
      <c r="F14" s="11" t="s">
        <v>221</v>
      </c>
      <c r="G14" s="24" t="s">
        <v>69</v>
      </c>
      <c r="H14" s="25" t="s">
        <v>409</v>
      </c>
      <c r="I14" s="25" t="s">
        <v>409</v>
      </c>
      <c r="J14" s="12"/>
      <c r="K14" s="31" t="str">
        <f>"47,5"</f>
        <v>47,5</v>
      </c>
      <c r="L14" s="12" t="str">
        <f>"59,3037"</f>
        <v>59,3037</v>
      </c>
      <c r="M14" s="11" t="s">
        <v>1557</v>
      </c>
    </row>
    <row r="15" spans="1:13">
      <c r="A15" s="12" t="s">
        <v>354</v>
      </c>
      <c r="B15" s="11" t="s">
        <v>1558</v>
      </c>
      <c r="C15" s="11" t="s">
        <v>1559</v>
      </c>
      <c r="D15" s="11" t="s">
        <v>1560</v>
      </c>
      <c r="E15" s="9" t="s">
        <v>2690</v>
      </c>
      <c r="F15" s="11" t="s">
        <v>667</v>
      </c>
      <c r="G15" s="25" t="s">
        <v>779</v>
      </c>
      <c r="H15" s="24" t="s">
        <v>779</v>
      </c>
      <c r="I15" s="25" t="s">
        <v>68</v>
      </c>
      <c r="J15" s="12"/>
      <c r="K15" s="31" t="str">
        <f>"40,0"</f>
        <v>40,0</v>
      </c>
      <c r="L15" s="12" t="str">
        <f>"50,4640"</f>
        <v>50,4640</v>
      </c>
      <c r="M15" s="11" t="s">
        <v>1561</v>
      </c>
    </row>
    <row r="16" spans="1:13">
      <c r="A16" s="12" t="s">
        <v>352</v>
      </c>
      <c r="B16" s="11" t="s">
        <v>1562</v>
      </c>
      <c r="C16" s="11" t="s">
        <v>1563</v>
      </c>
      <c r="D16" s="11" t="s">
        <v>1564</v>
      </c>
      <c r="E16" s="9" t="s">
        <v>2690</v>
      </c>
      <c r="F16" s="11" t="s">
        <v>221</v>
      </c>
      <c r="G16" s="25" t="s">
        <v>375</v>
      </c>
      <c r="H16" s="25" t="s">
        <v>375</v>
      </c>
      <c r="I16" s="25" t="s">
        <v>375</v>
      </c>
      <c r="J16" s="12"/>
      <c r="K16" s="31">
        <v>0</v>
      </c>
      <c r="L16" s="12" t="str">
        <f>"0,0000"</f>
        <v>0,0000</v>
      </c>
      <c r="M16" s="11"/>
    </row>
    <row r="17" spans="1:13">
      <c r="A17" s="12" t="s">
        <v>349</v>
      </c>
      <c r="B17" s="11" t="s">
        <v>1565</v>
      </c>
      <c r="C17" s="11" t="s">
        <v>1566</v>
      </c>
      <c r="D17" s="11" t="s">
        <v>818</v>
      </c>
      <c r="E17" s="11" t="s">
        <v>2693</v>
      </c>
      <c r="F17" s="11" t="s">
        <v>1170</v>
      </c>
      <c r="G17" s="24" t="s">
        <v>18</v>
      </c>
      <c r="H17" s="25" t="s">
        <v>49</v>
      </c>
      <c r="I17" s="25" t="s">
        <v>49</v>
      </c>
      <c r="J17" s="12"/>
      <c r="K17" s="31" t="str">
        <f>"65,0"</f>
        <v>65,0</v>
      </c>
      <c r="L17" s="12" t="str">
        <f>"83,5277"</f>
        <v>83,5277</v>
      </c>
      <c r="M17" s="11"/>
    </row>
    <row r="18" spans="1:13">
      <c r="A18" s="14" t="s">
        <v>352</v>
      </c>
      <c r="B18" s="13" t="s">
        <v>1567</v>
      </c>
      <c r="C18" s="13" t="s">
        <v>1568</v>
      </c>
      <c r="D18" s="13" t="s">
        <v>1265</v>
      </c>
      <c r="E18" s="13" t="s">
        <v>2693</v>
      </c>
      <c r="F18" s="13" t="s">
        <v>221</v>
      </c>
      <c r="G18" s="27" t="s">
        <v>21</v>
      </c>
      <c r="H18" s="27" t="s">
        <v>21</v>
      </c>
      <c r="I18" s="27" t="s">
        <v>21</v>
      </c>
      <c r="J18" s="14"/>
      <c r="K18" s="30">
        <v>0</v>
      </c>
      <c r="L18" s="14" t="str">
        <f>"0,0000"</f>
        <v>0,0000</v>
      </c>
      <c r="M18" s="13" t="s">
        <v>1569</v>
      </c>
    </row>
    <row r="19" spans="1:13">
      <c r="B19" s="5" t="s">
        <v>350</v>
      </c>
    </row>
    <row r="20" spans="1:13" ht="16">
      <c r="A20" s="82" t="s">
        <v>11</v>
      </c>
      <c r="B20" s="82"/>
      <c r="C20" s="82"/>
      <c r="D20" s="82"/>
      <c r="E20" s="82"/>
      <c r="F20" s="82"/>
      <c r="G20" s="82"/>
      <c r="H20" s="82"/>
      <c r="I20" s="82"/>
      <c r="J20" s="82"/>
    </row>
    <row r="21" spans="1:13">
      <c r="A21" s="10" t="s">
        <v>349</v>
      </c>
      <c r="B21" s="9" t="s">
        <v>1570</v>
      </c>
      <c r="C21" s="9" t="s">
        <v>1571</v>
      </c>
      <c r="D21" s="9" t="s">
        <v>374</v>
      </c>
      <c r="E21" s="9" t="s">
        <v>2689</v>
      </c>
      <c r="F21" s="9" t="s">
        <v>147</v>
      </c>
      <c r="G21" s="22" t="s">
        <v>375</v>
      </c>
      <c r="H21" s="22" t="s">
        <v>48</v>
      </c>
      <c r="I21" s="23" t="s">
        <v>18</v>
      </c>
      <c r="J21" s="10"/>
      <c r="K21" s="29" t="str">
        <f>"62,5"</f>
        <v>62,5</v>
      </c>
      <c r="L21" s="10" t="str">
        <f>"75,1188"</f>
        <v>75,1188</v>
      </c>
      <c r="M21" s="9" t="s">
        <v>430</v>
      </c>
    </row>
    <row r="22" spans="1:13">
      <c r="A22" s="12" t="s">
        <v>349</v>
      </c>
      <c r="B22" s="11" t="s">
        <v>824</v>
      </c>
      <c r="C22" s="11" t="s">
        <v>825</v>
      </c>
      <c r="D22" s="11" t="s">
        <v>521</v>
      </c>
      <c r="E22" s="11" t="s">
        <v>2690</v>
      </c>
      <c r="F22" s="11" t="s">
        <v>221</v>
      </c>
      <c r="G22" s="24" t="s">
        <v>62</v>
      </c>
      <c r="H22" s="24" t="s">
        <v>767</v>
      </c>
      <c r="I22" s="24" t="s">
        <v>458</v>
      </c>
      <c r="J22" s="12"/>
      <c r="K22" s="31" t="str">
        <f>"92,5"</f>
        <v>92,5</v>
      </c>
      <c r="L22" s="12" t="str">
        <f>"109,6033"</f>
        <v>109,6033</v>
      </c>
      <c r="M22" s="11"/>
    </row>
    <row r="23" spans="1:13">
      <c r="A23" s="12" t="s">
        <v>351</v>
      </c>
      <c r="B23" s="11" t="s">
        <v>1572</v>
      </c>
      <c r="C23" s="11" t="s">
        <v>1573</v>
      </c>
      <c r="D23" s="11" t="s">
        <v>1574</v>
      </c>
      <c r="E23" s="11" t="s">
        <v>2690</v>
      </c>
      <c r="F23" s="11" t="s">
        <v>1575</v>
      </c>
      <c r="G23" s="24" t="s">
        <v>18</v>
      </c>
      <c r="H23" s="25" t="s">
        <v>398</v>
      </c>
      <c r="I23" s="24" t="s">
        <v>398</v>
      </c>
      <c r="J23" s="12"/>
      <c r="K23" s="31" t="str">
        <f>"72,5"</f>
        <v>72,5</v>
      </c>
      <c r="L23" s="12" t="str">
        <f>"88,4065"</f>
        <v>88,4065</v>
      </c>
      <c r="M23" s="11" t="s">
        <v>1576</v>
      </c>
    </row>
    <row r="24" spans="1:13">
      <c r="A24" s="12" t="s">
        <v>353</v>
      </c>
      <c r="B24" s="11" t="s">
        <v>1577</v>
      </c>
      <c r="C24" s="11" t="s">
        <v>1578</v>
      </c>
      <c r="D24" s="11" t="s">
        <v>1579</v>
      </c>
      <c r="E24" s="11" t="s">
        <v>2690</v>
      </c>
      <c r="F24" s="11" t="s">
        <v>626</v>
      </c>
      <c r="G24" s="24" t="s">
        <v>16</v>
      </c>
      <c r="H24" s="24" t="s">
        <v>17</v>
      </c>
      <c r="I24" s="24" t="s">
        <v>18</v>
      </c>
      <c r="J24" s="12"/>
      <c r="K24" s="31" t="str">
        <f>"65,0"</f>
        <v>65,0</v>
      </c>
      <c r="L24" s="12" t="str">
        <f>"79,8460"</f>
        <v>79,8460</v>
      </c>
      <c r="M24" s="11" t="s">
        <v>2611</v>
      </c>
    </row>
    <row r="25" spans="1:13">
      <c r="A25" s="12" t="s">
        <v>354</v>
      </c>
      <c r="B25" s="11" t="s">
        <v>1580</v>
      </c>
      <c r="C25" s="11" t="s">
        <v>1581</v>
      </c>
      <c r="D25" s="11" t="s">
        <v>1582</v>
      </c>
      <c r="E25" s="11" t="s">
        <v>2690</v>
      </c>
      <c r="F25" s="11" t="s">
        <v>221</v>
      </c>
      <c r="G25" s="24" t="s">
        <v>18</v>
      </c>
      <c r="H25" s="25" t="s">
        <v>398</v>
      </c>
      <c r="I25" s="25" t="s">
        <v>398</v>
      </c>
      <c r="J25" s="12"/>
      <c r="K25" s="31" t="str">
        <f>"65,0"</f>
        <v>65,0</v>
      </c>
      <c r="L25" s="12" t="str">
        <f>"77,3500"</f>
        <v>77,3500</v>
      </c>
      <c r="M25" s="11" t="s">
        <v>1583</v>
      </c>
    </row>
    <row r="26" spans="1:13">
      <c r="A26" s="12" t="s">
        <v>355</v>
      </c>
      <c r="B26" s="11" t="s">
        <v>1584</v>
      </c>
      <c r="C26" s="11" t="s">
        <v>1585</v>
      </c>
      <c r="D26" s="11" t="s">
        <v>896</v>
      </c>
      <c r="E26" s="11" t="s">
        <v>2690</v>
      </c>
      <c r="F26" s="11" t="s">
        <v>221</v>
      </c>
      <c r="G26" s="24" t="s">
        <v>48</v>
      </c>
      <c r="H26" s="24" t="s">
        <v>18</v>
      </c>
      <c r="I26" s="25" t="s">
        <v>49</v>
      </c>
      <c r="J26" s="12"/>
      <c r="K26" s="31" t="str">
        <f>"65,0"</f>
        <v>65,0</v>
      </c>
      <c r="L26" s="12" t="str">
        <f>"76,6935"</f>
        <v>76,6935</v>
      </c>
      <c r="M26" s="11"/>
    </row>
    <row r="27" spans="1:13">
      <c r="A27" s="14" t="s">
        <v>356</v>
      </c>
      <c r="B27" s="13" t="s">
        <v>1586</v>
      </c>
      <c r="C27" s="13" t="s">
        <v>1587</v>
      </c>
      <c r="D27" s="13" t="s">
        <v>828</v>
      </c>
      <c r="E27" s="11" t="s">
        <v>2690</v>
      </c>
      <c r="F27" s="13" t="s">
        <v>1126</v>
      </c>
      <c r="G27" s="26" t="s">
        <v>408</v>
      </c>
      <c r="H27" s="26" t="s">
        <v>69</v>
      </c>
      <c r="I27" s="27" t="s">
        <v>543</v>
      </c>
      <c r="J27" s="14"/>
      <c r="K27" s="30" t="str">
        <f>"47,5"</f>
        <v>47,5</v>
      </c>
      <c r="L27" s="14" t="str">
        <f>"56,1260"</f>
        <v>56,1260</v>
      </c>
      <c r="M27" s="13"/>
    </row>
    <row r="28" spans="1:13">
      <c r="B28" s="5" t="s">
        <v>350</v>
      </c>
    </row>
    <row r="29" spans="1:13" ht="16">
      <c r="A29" s="82" t="s">
        <v>378</v>
      </c>
      <c r="B29" s="82"/>
      <c r="C29" s="82"/>
      <c r="D29" s="82"/>
      <c r="E29" s="82"/>
      <c r="F29" s="82"/>
      <c r="G29" s="82"/>
      <c r="H29" s="82"/>
      <c r="I29" s="82"/>
      <c r="J29" s="82"/>
    </row>
    <row r="30" spans="1:13">
      <c r="A30" s="10" t="s">
        <v>349</v>
      </c>
      <c r="B30" s="9" t="s">
        <v>1588</v>
      </c>
      <c r="C30" s="9" t="s">
        <v>1589</v>
      </c>
      <c r="D30" s="9" t="s">
        <v>390</v>
      </c>
      <c r="E30" s="9" t="s">
        <v>2690</v>
      </c>
      <c r="F30" s="9" t="s">
        <v>1266</v>
      </c>
      <c r="G30" s="23" t="s">
        <v>48</v>
      </c>
      <c r="H30" s="22" t="s">
        <v>18</v>
      </c>
      <c r="I30" s="23" t="s">
        <v>49</v>
      </c>
      <c r="J30" s="10"/>
      <c r="K30" s="29" t="str">
        <f>"65,0"</f>
        <v>65,0</v>
      </c>
      <c r="L30" s="10" t="str">
        <f>"73,3265"</f>
        <v>73,3265</v>
      </c>
      <c r="M30" s="9" t="s">
        <v>1590</v>
      </c>
    </row>
    <row r="31" spans="1:13">
      <c r="A31" s="12" t="s">
        <v>351</v>
      </c>
      <c r="B31" s="11" t="s">
        <v>1591</v>
      </c>
      <c r="C31" s="11" t="s">
        <v>1592</v>
      </c>
      <c r="D31" s="11" t="s">
        <v>1593</v>
      </c>
      <c r="E31" s="11" t="s">
        <v>2690</v>
      </c>
      <c r="F31" s="11" t="s">
        <v>221</v>
      </c>
      <c r="G31" s="24" t="s">
        <v>543</v>
      </c>
      <c r="H31" s="24" t="s">
        <v>375</v>
      </c>
      <c r="I31" s="25" t="s">
        <v>48</v>
      </c>
      <c r="J31" s="12"/>
      <c r="K31" s="31" t="str">
        <f>"57,5"</f>
        <v>57,5</v>
      </c>
      <c r="L31" s="12" t="str">
        <f>"64,3540"</f>
        <v>64,3540</v>
      </c>
      <c r="M31" s="11" t="s">
        <v>1594</v>
      </c>
    </row>
    <row r="32" spans="1:13">
      <c r="A32" s="12" t="s">
        <v>349</v>
      </c>
      <c r="B32" s="11" t="s">
        <v>1595</v>
      </c>
      <c r="C32" s="11" t="s">
        <v>1596</v>
      </c>
      <c r="D32" s="11" t="s">
        <v>1597</v>
      </c>
      <c r="E32" s="11" t="s">
        <v>2693</v>
      </c>
      <c r="F32" s="11" t="s">
        <v>715</v>
      </c>
      <c r="G32" s="25" t="s">
        <v>408</v>
      </c>
      <c r="H32" s="24" t="s">
        <v>408</v>
      </c>
      <c r="I32" s="24" t="s">
        <v>543</v>
      </c>
      <c r="J32" s="12"/>
      <c r="K32" s="31" t="str">
        <f>"50,0"</f>
        <v>50,0</v>
      </c>
      <c r="L32" s="12" t="str">
        <f>"57,6759"</f>
        <v>57,6759</v>
      </c>
      <c r="M32" s="11"/>
    </row>
    <row r="33" spans="1:13">
      <c r="A33" s="14" t="s">
        <v>349</v>
      </c>
      <c r="B33" s="13" t="s">
        <v>1598</v>
      </c>
      <c r="C33" s="13" t="s">
        <v>1599</v>
      </c>
      <c r="D33" s="13" t="s">
        <v>1600</v>
      </c>
      <c r="E33" s="13" t="s">
        <v>2695</v>
      </c>
      <c r="F33" s="13" t="s">
        <v>1601</v>
      </c>
      <c r="G33" s="26" t="s">
        <v>543</v>
      </c>
      <c r="H33" s="26" t="s">
        <v>409</v>
      </c>
      <c r="I33" s="27" t="s">
        <v>16</v>
      </c>
      <c r="J33" s="14"/>
      <c r="K33" s="30" t="str">
        <f>"52,5"</f>
        <v>52,5</v>
      </c>
      <c r="L33" s="14" t="str">
        <f>"77,5809"</f>
        <v>77,5809</v>
      </c>
      <c r="M33" s="13" t="s">
        <v>1602</v>
      </c>
    </row>
    <row r="34" spans="1:13">
      <c r="B34" s="5" t="s">
        <v>350</v>
      </c>
    </row>
    <row r="35" spans="1:13" ht="16">
      <c r="A35" s="82" t="s">
        <v>26</v>
      </c>
      <c r="B35" s="82"/>
      <c r="C35" s="82"/>
      <c r="D35" s="82"/>
      <c r="E35" s="82"/>
      <c r="F35" s="82"/>
      <c r="G35" s="82"/>
      <c r="H35" s="82"/>
      <c r="I35" s="82"/>
      <c r="J35" s="82"/>
    </row>
    <row r="36" spans="1:13">
      <c r="A36" s="10" t="s">
        <v>349</v>
      </c>
      <c r="B36" s="9" t="s">
        <v>1603</v>
      </c>
      <c r="C36" s="9" t="s">
        <v>1604</v>
      </c>
      <c r="D36" s="9" t="s">
        <v>1605</v>
      </c>
      <c r="E36" s="9" t="s">
        <v>2689</v>
      </c>
      <c r="F36" s="9" t="s">
        <v>1606</v>
      </c>
      <c r="G36" s="22" t="s">
        <v>408</v>
      </c>
      <c r="H36" s="22" t="s">
        <v>69</v>
      </c>
      <c r="I36" s="23" t="s">
        <v>543</v>
      </c>
      <c r="J36" s="10"/>
      <c r="K36" s="29" t="str">
        <f>"47,5"</f>
        <v>47,5</v>
      </c>
      <c r="L36" s="10" t="str">
        <f>"51,0767"</f>
        <v>51,0767</v>
      </c>
      <c r="M36" s="9" t="s">
        <v>1607</v>
      </c>
    </row>
    <row r="37" spans="1:13">
      <c r="A37" s="12" t="s">
        <v>349</v>
      </c>
      <c r="B37" s="11" t="s">
        <v>870</v>
      </c>
      <c r="C37" s="11" t="s">
        <v>871</v>
      </c>
      <c r="D37" s="11" t="s">
        <v>872</v>
      </c>
      <c r="E37" s="11" t="s">
        <v>2690</v>
      </c>
      <c r="F37" s="11" t="s">
        <v>221</v>
      </c>
      <c r="G37" s="24" t="s">
        <v>188</v>
      </c>
      <c r="H37" s="24" t="s">
        <v>83</v>
      </c>
      <c r="I37" s="24" t="s">
        <v>34</v>
      </c>
      <c r="J37" s="12"/>
      <c r="K37" s="31" t="str">
        <f>"112,5"</f>
        <v>112,5</v>
      </c>
      <c r="L37" s="12" t="str">
        <f>"118,0238"</f>
        <v>118,0238</v>
      </c>
      <c r="M37" s="11" t="s">
        <v>873</v>
      </c>
    </row>
    <row r="38" spans="1:13">
      <c r="A38" s="12" t="s">
        <v>351</v>
      </c>
      <c r="B38" s="11" t="s">
        <v>1608</v>
      </c>
      <c r="C38" s="11" t="s">
        <v>1609</v>
      </c>
      <c r="D38" s="11" t="s">
        <v>1610</v>
      </c>
      <c r="E38" s="11" t="s">
        <v>2690</v>
      </c>
      <c r="F38" s="11" t="s">
        <v>1121</v>
      </c>
      <c r="G38" s="25" t="s">
        <v>778</v>
      </c>
      <c r="H38" s="24" t="s">
        <v>778</v>
      </c>
      <c r="I38" s="25" t="s">
        <v>23</v>
      </c>
      <c r="J38" s="12"/>
      <c r="K38" s="31" t="str">
        <f>"77,5"</f>
        <v>77,5</v>
      </c>
      <c r="L38" s="12" t="str">
        <f>"84,7772"</f>
        <v>84,7772</v>
      </c>
      <c r="M38" s="11" t="s">
        <v>1611</v>
      </c>
    </row>
    <row r="39" spans="1:13">
      <c r="A39" s="12" t="s">
        <v>353</v>
      </c>
      <c r="B39" s="11" t="s">
        <v>1612</v>
      </c>
      <c r="C39" s="11" t="s">
        <v>1613</v>
      </c>
      <c r="D39" s="11" t="s">
        <v>1614</v>
      </c>
      <c r="E39" s="11" t="s">
        <v>2690</v>
      </c>
      <c r="F39" s="11" t="s">
        <v>221</v>
      </c>
      <c r="G39" s="24" t="s">
        <v>18</v>
      </c>
      <c r="H39" s="25" t="s">
        <v>49</v>
      </c>
      <c r="I39" s="25" t="s">
        <v>49</v>
      </c>
      <c r="J39" s="12"/>
      <c r="K39" s="31" t="str">
        <f>"65,0"</f>
        <v>65,0</v>
      </c>
      <c r="L39" s="12" t="str">
        <f>"67,8080"</f>
        <v>67,8080</v>
      </c>
      <c r="M39" s="11"/>
    </row>
    <row r="40" spans="1:13">
      <c r="A40" s="12" t="s">
        <v>354</v>
      </c>
      <c r="B40" s="11" t="s">
        <v>392</v>
      </c>
      <c r="C40" s="11" t="s">
        <v>393</v>
      </c>
      <c r="D40" s="11" t="s">
        <v>394</v>
      </c>
      <c r="E40" s="11" t="s">
        <v>2690</v>
      </c>
      <c r="F40" s="11" t="s">
        <v>92</v>
      </c>
      <c r="G40" s="24" t="s">
        <v>16</v>
      </c>
      <c r="H40" s="24" t="s">
        <v>17</v>
      </c>
      <c r="I40" s="24" t="s">
        <v>48</v>
      </c>
      <c r="J40" s="12"/>
      <c r="K40" s="31" t="str">
        <f>"62,5"</f>
        <v>62,5</v>
      </c>
      <c r="L40" s="12" t="str">
        <f>"64,9062"</f>
        <v>64,9062</v>
      </c>
      <c r="M40" s="11" t="s">
        <v>95</v>
      </c>
    </row>
    <row r="41" spans="1:13">
      <c r="A41" s="12" t="s">
        <v>355</v>
      </c>
      <c r="B41" s="11" t="s">
        <v>1615</v>
      </c>
      <c r="C41" s="11" t="s">
        <v>1616</v>
      </c>
      <c r="D41" s="11" t="s">
        <v>1617</v>
      </c>
      <c r="E41" s="11" t="s">
        <v>2690</v>
      </c>
      <c r="F41" s="11" t="s">
        <v>865</v>
      </c>
      <c r="G41" s="24" t="s">
        <v>17</v>
      </c>
      <c r="H41" s="25" t="s">
        <v>49</v>
      </c>
      <c r="I41" s="25" t="s">
        <v>49</v>
      </c>
      <c r="J41" s="12"/>
      <c r="K41" s="31" t="str">
        <f>"60,0"</f>
        <v>60,0</v>
      </c>
      <c r="L41" s="12" t="str">
        <f>"62,2440"</f>
        <v>62,2440</v>
      </c>
      <c r="M41" s="11" t="s">
        <v>1344</v>
      </c>
    </row>
    <row r="42" spans="1:13">
      <c r="A42" s="12" t="s">
        <v>356</v>
      </c>
      <c r="B42" s="11" t="s">
        <v>1618</v>
      </c>
      <c r="C42" s="11" t="s">
        <v>1619</v>
      </c>
      <c r="D42" s="11" t="s">
        <v>1614</v>
      </c>
      <c r="E42" s="11" t="s">
        <v>2690</v>
      </c>
      <c r="F42" s="11" t="s">
        <v>1620</v>
      </c>
      <c r="G42" s="24" t="s">
        <v>69</v>
      </c>
      <c r="H42" s="24" t="s">
        <v>543</v>
      </c>
      <c r="I42" s="25" t="s">
        <v>16</v>
      </c>
      <c r="J42" s="12"/>
      <c r="K42" s="31" t="str">
        <f>"50,0"</f>
        <v>50,0</v>
      </c>
      <c r="L42" s="12" t="str">
        <f>"52,1600"</f>
        <v>52,1600</v>
      </c>
      <c r="M42" s="11" t="s">
        <v>1621</v>
      </c>
    </row>
    <row r="43" spans="1:13">
      <c r="A43" s="12" t="s">
        <v>349</v>
      </c>
      <c r="B43" s="11" t="s">
        <v>1622</v>
      </c>
      <c r="C43" s="11" t="s">
        <v>1623</v>
      </c>
      <c r="D43" s="11" t="s">
        <v>542</v>
      </c>
      <c r="E43" s="11" t="s">
        <v>2693</v>
      </c>
      <c r="F43" s="11" t="s">
        <v>370</v>
      </c>
      <c r="G43" s="24" t="s">
        <v>22</v>
      </c>
      <c r="H43" s="24" t="s">
        <v>61</v>
      </c>
      <c r="I43" s="24" t="s">
        <v>778</v>
      </c>
      <c r="J43" s="12"/>
      <c r="K43" s="31" t="str">
        <f>"77,5"</f>
        <v>77,5</v>
      </c>
      <c r="L43" s="12" t="str">
        <f>"84,9798"</f>
        <v>84,9798</v>
      </c>
      <c r="M43" s="11" t="s">
        <v>371</v>
      </c>
    </row>
    <row r="44" spans="1:13">
      <c r="A44" s="14" t="s">
        <v>351</v>
      </c>
      <c r="B44" s="13" t="s">
        <v>1624</v>
      </c>
      <c r="C44" s="13" t="s">
        <v>1625</v>
      </c>
      <c r="D44" s="13" t="s">
        <v>1626</v>
      </c>
      <c r="E44" s="13" t="s">
        <v>2693</v>
      </c>
      <c r="F44" s="13" t="s">
        <v>221</v>
      </c>
      <c r="G44" s="26" t="s">
        <v>398</v>
      </c>
      <c r="H44" s="27" t="s">
        <v>61</v>
      </c>
      <c r="I44" s="27" t="s">
        <v>61</v>
      </c>
      <c r="J44" s="14"/>
      <c r="K44" s="30" t="str">
        <f>"72,5"</f>
        <v>72,5</v>
      </c>
      <c r="L44" s="14" t="str">
        <f>"78,9403"</f>
        <v>78,9403</v>
      </c>
      <c r="M44" s="13" t="s">
        <v>1627</v>
      </c>
    </row>
    <row r="45" spans="1:13">
      <c r="B45" s="5" t="s">
        <v>350</v>
      </c>
    </row>
    <row r="46" spans="1:13" ht="16">
      <c r="A46" s="82" t="s">
        <v>55</v>
      </c>
      <c r="B46" s="82"/>
      <c r="C46" s="82"/>
      <c r="D46" s="82"/>
      <c r="E46" s="82"/>
      <c r="F46" s="82"/>
      <c r="G46" s="82"/>
      <c r="H46" s="82"/>
      <c r="I46" s="82"/>
      <c r="J46" s="82"/>
    </row>
    <row r="47" spans="1:13">
      <c r="A47" s="10" t="s">
        <v>349</v>
      </c>
      <c r="B47" s="9" t="s">
        <v>1628</v>
      </c>
      <c r="C47" s="9" t="s">
        <v>1629</v>
      </c>
      <c r="D47" s="9" t="s">
        <v>556</v>
      </c>
      <c r="E47" s="9" t="s">
        <v>2689</v>
      </c>
      <c r="F47" s="9" t="s">
        <v>92</v>
      </c>
      <c r="G47" s="22" t="s">
        <v>188</v>
      </c>
      <c r="H47" s="23" t="s">
        <v>66</v>
      </c>
      <c r="I47" s="22" t="s">
        <v>66</v>
      </c>
      <c r="J47" s="10"/>
      <c r="K47" s="29" t="str">
        <f>"105,0"</f>
        <v>105,0</v>
      </c>
      <c r="L47" s="10" t="str">
        <f>"102,0180"</f>
        <v>102,0180</v>
      </c>
      <c r="M47" s="9" t="s">
        <v>95</v>
      </c>
    </row>
    <row r="48" spans="1:13">
      <c r="A48" s="12" t="s">
        <v>349</v>
      </c>
      <c r="B48" s="11" t="s">
        <v>1628</v>
      </c>
      <c r="C48" s="11" t="s">
        <v>1630</v>
      </c>
      <c r="D48" s="11" t="s">
        <v>556</v>
      </c>
      <c r="E48" s="11" t="s">
        <v>2690</v>
      </c>
      <c r="F48" s="11" t="s">
        <v>92</v>
      </c>
      <c r="G48" s="24" t="s">
        <v>188</v>
      </c>
      <c r="H48" s="25" t="s">
        <v>66</v>
      </c>
      <c r="I48" s="24" t="s">
        <v>66</v>
      </c>
      <c r="J48" s="12"/>
      <c r="K48" s="31" t="str">
        <f>"105,0"</f>
        <v>105,0</v>
      </c>
      <c r="L48" s="12" t="str">
        <f>"102,0180"</f>
        <v>102,0180</v>
      </c>
      <c r="M48" s="11" t="s">
        <v>95</v>
      </c>
    </row>
    <row r="49" spans="1:13">
      <c r="A49" s="14" t="s">
        <v>351</v>
      </c>
      <c r="B49" s="13" t="s">
        <v>874</v>
      </c>
      <c r="C49" s="13" t="s">
        <v>875</v>
      </c>
      <c r="D49" s="13" t="s">
        <v>876</v>
      </c>
      <c r="E49" s="13" t="s">
        <v>2690</v>
      </c>
      <c r="F49" s="13" t="s">
        <v>877</v>
      </c>
      <c r="G49" s="26" t="s">
        <v>61</v>
      </c>
      <c r="H49" s="26" t="s">
        <v>23</v>
      </c>
      <c r="I49" s="27" t="s">
        <v>62</v>
      </c>
      <c r="J49" s="14"/>
      <c r="K49" s="30" t="str">
        <f>"80,0"</f>
        <v>80,0</v>
      </c>
      <c r="L49" s="14" t="str">
        <f>"79,0480"</f>
        <v>79,0480</v>
      </c>
      <c r="M49" s="13" t="s">
        <v>878</v>
      </c>
    </row>
    <row r="50" spans="1:13">
      <c r="B50" s="5" t="s">
        <v>350</v>
      </c>
    </row>
    <row r="51" spans="1:13" ht="16">
      <c r="A51" s="82" t="s">
        <v>359</v>
      </c>
      <c r="B51" s="82"/>
      <c r="C51" s="82"/>
      <c r="D51" s="82"/>
      <c r="E51" s="82"/>
      <c r="F51" s="82"/>
      <c r="G51" s="82"/>
      <c r="H51" s="82"/>
      <c r="I51" s="82"/>
      <c r="J51" s="82"/>
    </row>
    <row r="52" spans="1:13">
      <c r="A52" s="8" t="s">
        <v>349</v>
      </c>
      <c r="B52" s="7" t="s">
        <v>1631</v>
      </c>
      <c r="C52" s="7" t="s">
        <v>1632</v>
      </c>
      <c r="D52" s="7" t="s">
        <v>1633</v>
      </c>
      <c r="E52" s="7" t="s">
        <v>2692</v>
      </c>
      <c r="F52" s="7" t="s">
        <v>370</v>
      </c>
      <c r="G52" s="21" t="s">
        <v>409</v>
      </c>
      <c r="H52" s="20" t="s">
        <v>409</v>
      </c>
      <c r="I52" s="20" t="s">
        <v>375</v>
      </c>
      <c r="J52" s="8"/>
      <c r="K52" s="32" t="str">
        <f>"57,5"</f>
        <v>57,5</v>
      </c>
      <c r="L52" s="8" t="str">
        <f>"58,5810"</f>
        <v>58,5810</v>
      </c>
      <c r="M52" s="7" t="s">
        <v>371</v>
      </c>
    </row>
    <row r="53" spans="1:13">
      <c r="B53" s="5" t="s">
        <v>350</v>
      </c>
    </row>
    <row r="54" spans="1:13" ht="16">
      <c r="A54" s="82" t="s">
        <v>11</v>
      </c>
      <c r="B54" s="82"/>
      <c r="C54" s="82"/>
      <c r="D54" s="82"/>
      <c r="E54" s="82"/>
      <c r="F54" s="82"/>
      <c r="G54" s="82"/>
      <c r="H54" s="82"/>
      <c r="I54" s="82"/>
      <c r="J54" s="82"/>
    </row>
    <row r="55" spans="1:13">
      <c r="A55" s="8" t="s">
        <v>349</v>
      </c>
      <c r="B55" s="7" t="s">
        <v>1634</v>
      </c>
      <c r="C55" s="7" t="s">
        <v>1635</v>
      </c>
      <c r="D55" s="7" t="s">
        <v>1636</v>
      </c>
      <c r="E55" s="7" t="s">
        <v>2692</v>
      </c>
      <c r="F55" s="7" t="s">
        <v>221</v>
      </c>
      <c r="G55" s="20" t="s">
        <v>17</v>
      </c>
      <c r="H55" s="20" t="s">
        <v>18</v>
      </c>
      <c r="I55" s="21" t="s">
        <v>398</v>
      </c>
      <c r="J55" s="8"/>
      <c r="K55" s="32" t="str">
        <f>"65,0"</f>
        <v>65,0</v>
      </c>
      <c r="L55" s="8" t="str">
        <f>"61,3535"</f>
        <v>61,3535</v>
      </c>
      <c r="M55" s="7" t="s">
        <v>1637</v>
      </c>
    </row>
    <row r="56" spans="1:13">
      <c r="B56" s="5" t="s">
        <v>350</v>
      </c>
    </row>
    <row r="57" spans="1:13" ht="16">
      <c r="A57" s="82" t="s">
        <v>378</v>
      </c>
      <c r="B57" s="82"/>
      <c r="C57" s="82"/>
      <c r="D57" s="82"/>
      <c r="E57" s="82"/>
      <c r="F57" s="82"/>
      <c r="G57" s="82"/>
      <c r="H57" s="82"/>
      <c r="I57" s="82"/>
      <c r="J57" s="82"/>
    </row>
    <row r="58" spans="1:13">
      <c r="A58" s="8" t="s">
        <v>349</v>
      </c>
      <c r="B58" s="7" t="s">
        <v>1638</v>
      </c>
      <c r="C58" s="7" t="s">
        <v>1639</v>
      </c>
      <c r="D58" s="7" t="s">
        <v>1640</v>
      </c>
      <c r="E58" s="7" t="s">
        <v>2690</v>
      </c>
      <c r="F58" s="7" t="s">
        <v>221</v>
      </c>
      <c r="G58" s="20" t="s">
        <v>778</v>
      </c>
      <c r="H58" s="21" t="s">
        <v>62</v>
      </c>
      <c r="I58" s="21" t="s">
        <v>62</v>
      </c>
      <c r="J58" s="8"/>
      <c r="K58" s="32" t="str">
        <f>"77,5"</f>
        <v>77,5</v>
      </c>
      <c r="L58" s="8" t="str">
        <f>"68,0993"</f>
        <v>68,0993</v>
      </c>
      <c r="M58" s="7" t="s">
        <v>1641</v>
      </c>
    </row>
    <row r="59" spans="1:13">
      <c r="B59" s="5" t="s">
        <v>350</v>
      </c>
    </row>
    <row r="60" spans="1:13" ht="16">
      <c r="A60" s="82" t="s">
        <v>26</v>
      </c>
      <c r="B60" s="82"/>
      <c r="C60" s="82"/>
      <c r="D60" s="82"/>
      <c r="E60" s="82"/>
      <c r="F60" s="82"/>
      <c r="G60" s="82"/>
      <c r="H60" s="82"/>
      <c r="I60" s="82"/>
      <c r="J60" s="82"/>
    </row>
    <row r="61" spans="1:13">
      <c r="A61" s="10" t="s">
        <v>349</v>
      </c>
      <c r="B61" s="9" t="s">
        <v>1642</v>
      </c>
      <c r="C61" s="9" t="s">
        <v>1643</v>
      </c>
      <c r="D61" s="9" t="s">
        <v>1614</v>
      </c>
      <c r="E61" s="9" t="s">
        <v>2692</v>
      </c>
      <c r="F61" s="9" t="s">
        <v>1606</v>
      </c>
      <c r="G61" s="22" t="s">
        <v>67</v>
      </c>
      <c r="H61" s="23" t="s">
        <v>50</v>
      </c>
      <c r="I61" s="23" t="s">
        <v>50</v>
      </c>
      <c r="J61" s="10"/>
      <c r="K61" s="29" t="str">
        <f>"115,0"</f>
        <v>115,0</v>
      </c>
      <c r="L61" s="10" t="str">
        <f>"90,8615"</f>
        <v>90,8615</v>
      </c>
      <c r="M61" s="9" t="s">
        <v>1607</v>
      </c>
    </row>
    <row r="62" spans="1:13">
      <c r="A62" s="12" t="s">
        <v>351</v>
      </c>
      <c r="B62" s="11" t="s">
        <v>1644</v>
      </c>
      <c r="C62" s="11" t="s">
        <v>1645</v>
      </c>
      <c r="D62" s="11" t="s">
        <v>1646</v>
      </c>
      <c r="E62" s="11" t="s">
        <v>2692</v>
      </c>
      <c r="F62" s="11" t="s">
        <v>406</v>
      </c>
      <c r="G62" s="25" t="s">
        <v>407</v>
      </c>
      <c r="H62" s="24" t="s">
        <v>407</v>
      </c>
      <c r="I62" s="25" t="s">
        <v>627</v>
      </c>
      <c r="J62" s="12"/>
      <c r="K62" s="31" t="str">
        <f>"90,0"</f>
        <v>90,0</v>
      </c>
      <c r="L62" s="12" t="str">
        <f>"69,4710"</f>
        <v>69,4710</v>
      </c>
      <c r="M62" s="11" t="s">
        <v>410</v>
      </c>
    </row>
    <row r="63" spans="1:13">
      <c r="A63" s="12" t="s">
        <v>353</v>
      </c>
      <c r="B63" s="11" t="s">
        <v>1647</v>
      </c>
      <c r="C63" s="11" t="s">
        <v>1648</v>
      </c>
      <c r="D63" s="11" t="s">
        <v>1649</v>
      </c>
      <c r="E63" s="11" t="s">
        <v>2692</v>
      </c>
      <c r="F63" s="11" t="s">
        <v>221</v>
      </c>
      <c r="G63" s="25" t="s">
        <v>22</v>
      </c>
      <c r="H63" s="24" t="s">
        <v>61</v>
      </c>
      <c r="I63" s="24" t="s">
        <v>778</v>
      </c>
      <c r="J63" s="12"/>
      <c r="K63" s="31" t="str">
        <f>"77,5"</f>
        <v>77,5</v>
      </c>
      <c r="L63" s="12" t="str">
        <f>"65,3093"</f>
        <v>65,3093</v>
      </c>
      <c r="M63" s="11" t="s">
        <v>1650</v>
      </c>
    </row>
    <row r="64" spans="1:13">
      <c r="A64" s="12" t="s">
        <v>349</v>
      </c>
      <c r="B64" s="11" t="s">
        <v>1651</v>
      </c>
      <c r="C64" s="11" t="s">
        <v>1652</v>
      </c>
      <c r="D64" s="11" t="s">
        <v>1653</v>
      </c>
      <c r="E64" s="11" t="s">
        <v>2691</v>
      </c>
      <c r="F64" s="11" t="s">
        <v>363</v>
      </c>
      <c r="G64" s="24" t="s">
        <v>50</v>
      </c>
      <c r="H64" s="24" t="s">
        <v>84</v>
      </c>
      <c r="I64" s="24" t="s">
        <v>391</v>
      </c>
      <c r="J64" s="12"/>
      <c r="K64" s="31" t="str">
        <f>"127,5"</f>
        <v>127,5</v>
      </c>
      <c r="L64" s="12" t="str">
        <f>"100,4828"</f>
        <v>100,4828</v>
      </c>
      <c r="M64" s="11" t="s">
        <v>1654</v>
      </c>
    </row>
    <row r="65" spans="1:13">
      <c r="A65" s="12" t="s">
        <v>351</v>
      </c>
      <c r="B65" s="11" t="s">
        <v>1655</v>
      </c>
      <c r="C65" s="11" t="s">
        <v>1656</v>
      </c>
      <c r="D65" s="11" t="s">
        <v>1649</v>
      </c>
      <c r="E65" s="11" t="s">
        <v>2691</v>
      </c>
      <c r="F65" s="11" t="s">
        <v>1657</v>
      </c>
      <c r="G65" s="25" t="s">
        <v>83</v>
      </c>
      <c r="H65" s="24" t="s">
        <v>83</v>
      </c>
      <c r="I65" s="24" t="s">
        <v>34</v>
      </c>
      <c r="J65" s="12"/>
      <c r="K65" s="31" t="str">
        <f>"112,5"</f>
        <v>112,5</v>
      </c>
      <c r="L65" s="12" t="str">
        <f>"94,8038"</f>
        <v>94,8038</v>
      </c>
      <c r="M65" s="11" t="s">
        <v>1658</v>
      </c>
    </row>
    <row r="66" spans="1:13">
      <c r="A66" s="12" t="s">
        <v>353</v>
      </c>
      <c r="B66" s="11" t="s">
        <v>1659</v>
      </c>
      <c r="C66" s="11" t="s">
        <v>1660</v>
      </c>
      <c r="D66" s="11" t="s">
        <v>1661</v>
      </c>
      <c r="E66" s="11" t="s">
        <v>2691</v>
      </c>
      <c r="F66" s="11" t="s">
        <v>2615</v>
      </c>
      <c r="G66" s="24" t="s">
        <v>62</v>
      </c>
      <c r="H66" s="25" t="s">
        <v>767</v>
      </c>
      <c r="I66" s="24" t="s">
        <v>767</v>
      </c>
      <c r="J66" s="12"/>
      <c r="K66" s="31" t="str">
        <f>"87,5"</f>
        <v>87,5</v>
      </c>
      <c r="L66" s="12" t="str">
        <f>"69,0462"</f>
        <v>69,0462</v>
      </c>
      <c r="M66" s="11" t="s">
        <v>1662</v>
      </c>
    </row>
    <row r="67" spans="1:13">
      <c r="A67" s="12" t="s">
        <v>349</v>
      </c>
      <c r="B67" s="11" t="s">
        <v>1663</v>
      </c>
      <c r="C67" s="11" t="s">
        <v>1664</v>
      </c>
      <c r="D67" s="11" t="s">
        <v>908</v>
      </c>
      <c r="E67" s="11" t="s">
        <v>2689</v>
      </c>
      <c r="F67" s="11" t="s">
        <v>1665</v>
      </c>
      <c r="G67" s="24" t="s">
        <v>853</v>
      </c>
      <c r="H67" s="25" t="s">
        <v>67</v>
      </c>
      <c r="I67" s="25" t="s">
        <v>67</v>
      </c>
      <c r="J67" s="12"/>
      <c r="K67" s="31" t="str">
        <f>"107,5"</f>
        <v>107,5</v>
      </c>
      <c r="L67" s="12" t="str">
        <f>"83,7855"</f>
        <v>83,7855</v>
      </c>
      <c r="M67" s="11"/>
    </row>
    <row r="68" spans="1:13">
      <c r="A68" s="12" t="s">
        <v>349</v>
      </c>
      <c r="B68" s="11" t="s">
        <v>1666</v>
      </c>
      <c r="C68" s="11" t="s">
        <v>1667</v>
      </c>
      <c r="D68" s="11" t="s">
        <v>547</v>
      </c>
      <c r="E68" s="11" t="s">
        <v>2690</v>
      </c>
      <c r="F68" s="11" t="s">
        <v>221</v>
      </c>
      <c r="G68" s="24" t="s">
        <v>67</v>
      </c>
      <c r="H68" s="25" t="s">
        <v>35</v>
      </c>
      <c r="I68" s="25" t="s">
        <v>35</v>
      </c>
      <c r="J68" s="12"/>
      <c r="K68" s="31" t="str">
        <f>"115,0"</f>
        <v>115,0</v>
      </c>
      <c r="L68" s="12" t="str">
        <f>"90,0680"</f>
        <v>90,0680</v>
      </c>
      <c r="M68" s="11" t="s">
        <v>1668</v>
      </c>
    </row>
    <row r="69" spans="1:13">
      <c r="A69" s="12" t="s">
        <v>351</v>
      </c>
      <c r="B69" s="11" t="s">
        <v>1663</v>
      </c>
      <c r="C69" s="11" t="s">
        <v>1669</v>
      </c>
      <c r="D69" s="11" t="s">
        <v>908</v>
      </c>
      <c r="E69" s="11" t="s">
        <v>2690</v>
      </c>
      <c r="F69" s="11" t="s">
        <v>1665</v>
      </c>
      <c r="G69" s="24" t="s">
        <v>853</v>
      </c>
      <c r="H69" s="25" t="s">
        <v>67</v>
      </c>
      <c r="I69" s="25" t="s">
        <v>67</v>
      </c>
      <c r="J69" s="12"/>
      <c r="K69" s="31" t="str">
        <f>"107,5"</f>
        <v>107,5</v>
      </c>
      <c r="L69" s="12" t="str">
        <f>"83,7855"</f>
        <v>83,7855</v>
      </c>
      <c r="M69" s="11"/>
    </row>
    <row r="70" spans="1:13">
      <c r="A70" s="12" t="s">
        <v>353</v>
      </c>
      <c r="B70" s="11" t="s">
        <v>1670</v>
      </c>
      <c r="C70" s="11" t="s">
        <v>1671</v>
      </c>
      <c r="D70" s="11" t="s">
        <v>908</v>
      </c>
      <c r="E70" s="11" t="s">
        <v>2690</v>
      </c>
      <c r="F70" s="11" t="s">
        <v>1672</v>
      </c>
      <c r="G70" s="25" t="s">
        <v>188</v>
      </c>
      <c r="H70" s="24" t="s">
        <v>188</v>
      </c>
      <c r="I70" s="25" t="s">
        <v>66</v>
      </c>
      <c r="J70" s="12"/>
      <c r="K70" s="31" t="str">
        <f>"100,0"</f>
        <v>100,0</v>
      </c>
      <c r="L70" s="12" t="str">
        <f>"77,9400"</f>
        <v>77,9400</v>
      </c>
      <c r="M70" s="11"/>
    </row>
    <row r="71" spans="1:13">
      <c r="A71" s="14" t="s">
        <v>349</v>
      </c>
      <c r="B71" s="13" t="s">
        <v>1673</v>
      </c>
      <c r="C71" s="13" t="s">
        <v>1674</v>
      </c>
      <c r="D71" s="13" t="s">
        <v>1675</v>
      </c>
      <c r="E71" s="13" t="s">
        <v>2696</v>
      </c>
      <c r="F71" s="13" t="s">
        <v>221</v>
      </c>
      <c r="G71" s="26" t="s">
        <v>22</v>
      </c>
      <c r="H71" s="26" t="s">
        <v>61</v>
      </c>
      <c r="I71" s="27" t="s">
        <v>23</v>
      </c>
      <c r="J71" s="14"/>
      <c r="K71" s="30" t="str">
        <f>"75,0"</f>
        <v>75,0</v>
      </c>
      <c r="L71" s="14" t="str">
        <f>"118,8594"</f>
        <v>118,8594</v>
      </c>
      <c r="M71" s="13"/>
    </row>
    <row r="72" spans="1:13">
      <c r="B72" s="5" t="s">
        <v>350</v>
      </c>
    </row>
    <row r="73" spans="1:13" ht="16">
      <c r="A73" s="82" t="s">
        <v>55</v>
      </c>
      <c r="B73" s="82"/>
      <c r="C73" s="82"/>
      <c r="D73" s="82"/>
      <c r="E73" s="82"/>
      <c r="F73" s="82"/>
      <c r="G73" s="82"/>
      <c r="H73" s="82"/>
      <c r="I73" s="82"/>
      <c r="J73" s="82"/>
    </row>
    <row r="74" spans="1:13">
      <c r="A74" s="10" t="s">
        <v>349</v>
      </c>
      <c r="B74" s="9" t="s">
        <v>1676</v>
      </c>
      <c r="C74" s="9" t="s">
        <v>1677</v>
      </c>
      <c r="D74" s="9" t="s">
        <v>560</v>
      </c>
      <c r="E74" s="9" t="s">
        <v>2691</v>
      </c>
      <c r="F74" s="9" t="s">
        <v>462</v>
      </c>
      <c r="G74" s="22" t="s">
        <v>66</v>
      </c>
      <c r="H74" s="23" t="s">
        <v>83</v>
      </c>
      <c r="I74" s="22" t="s">
        <v>34</v>
      </c>
      <c r="J74" s="10"/>
      <c r="K74" s="29" t="str">
        <f>"112,5"</f>
        <v>112,5</v>
      </c>
      <c r="L74" s="10" t="str">
        <f>"81,0000"</f>
        <v>81,0000</v>
      </c>
      <c r="M74" s="9"/>
    </row>
    <row r="75" spans="1:13">
      <c r="A75" s="12" t="s">
        <v>349</v>
      </c>
      <c r="B75" s="11" t="s">
        <v>1678</v>
      </c>
      <c r="C75" s="11" t="s">
        <v>1679</v>
      </c>
      <c r="D75" s="11" t="s">
        <v>930</v>
      </c>
      <c r="E75" s="11" t="s">
        <v>2689</v>
      </c>
      <c r="F75" s="11" t="s">
        <v>1545</v>
      </c>
      <c r="G75" s="25" t="s">
        <v>391</v>
      </c>
      <c r="H75" s="25" t="s">
        <v>391</v>
      </c>
      <c r="I75" s="24" t="s">
        <v>51</v>
      </c>
      <c r="J75" s="12"/>
      <c r="K75" s="31" t="str">
        <f>"135,0"</f>
        <v>135,0</v>
      </c>
      <c r="L75" s="12" t="str">
        <f>"97,3890"</f>
        <v>97,3890</v>
      </c>
      <c r="M75" s="11"/>
    </row>
    <row r="76" spans="1:13">
      <c r="A76" s="12" t="s">
        <v>351</v>
      </c>
      <c r="B76" s="11" t="s">
        <v>1680</v>
      </c>
      <c r="C76" s="11" t="s">
        <v>1681</v>
      </c>
      <c r="D76" s="11" t="s">
        <v>560</v>
      </c>
      <c r="E76" s="11" t="s">
        <v>2689</v>
      </c>
      <c r="F76" s="11" t="s">
        <v>221</v>
      </c>
      <c r="G76" s="24" t="s">
        <v>50</v>
      </c>
      <c r="H76" s="24" t="s">
        <v>70</v>
      </c>
      <c r="I76" s="25" t="s">
        <v>51</v>
      </c>
      <c r="J76" s="12"/>
      <c r="K76" s="31" t="str">
        <f>"130,0"</f>
        <v>130,0</v>
      </c>
      <c r="L76" s="12" t="str">
        <f>"93,6000"</f>
        <v>93,6000</v>
      </c>
      <c r="M76" s="11"/>
    </row>
    <row r="77" spans="1:13">
      <c r="A77" s="12" t="s">
        <v>349</v>
      </c>
      <c r="B77" s="11" t="s">
        <v>1682</v>
      </c>
      <c r="C77" s="11" t="s">
        <v>1683</v>
      </c>
      <c r="D77" s="11" t="s">
        <v>401</v>
      </c>
      <c r="E77" s="11" t="s">
        <v>2690</v>
      </c>
      <c r="F77" s="11" t="s">
        <v>243</v>
      </c>
      <c r="G77" s="24" t="s">
        <v>45</v>
      </c>
      <c r="H77" s="25" t="s">
        <v>46</v>
      </c>
      <c r="I77" s="24" t="s">
        <v>46</v>
      </c>
      <c r="J77" s="12"/>
      <c r="K77" s="31" t="str">
        <f>"152,5"</f>
        <v>152,5</v>
      </c>
      <c r="L77" s="12" t="str">
        <f>"109,2815"</f>
        <v>109,2815</v>
      </c>
      <c r="M77" s="11" t="s">
        <v>1684</v>
      </c>
    </row>
    <row r="78" spans="1:13">
      <c r="A78" s="12" t="s">
        <v>351</v>
      </c>
      <c r="B78" s="11" t="s">
        <v>1685</v>
      </c>
      <c r="C78" s="11" t="s">
        <v>1686</v>
      </c>
      <c r="D78" s="11" t="s">
        <v>98</v>
      </c>
      <c r="E78" s="11" t="s">
        <v>2690</v>
      </c>
      <c r="F78" s="11" t="s">
        <v>1687</v>
      </c>
      <c r="G78" s="24" t="s">
        <v>51</v>
      </c>
      <c r="H78" s="24" t="s">
        <v>93</v>
      </c>
      <c r="I78" s="24" t="s">
        <v>45</v>
      </c>
      <c r="J78" s="12"/>
      <c r="K78" s="31" t="str">
        <f>"145,0"</f>
        <v>145,0</v>
      </c>
      <c r="L78" s="12" t="str">
        <f>"103,3270"</f>
        <v>103,3270</v>
      </c>
      <c r="M78" s="11" t="s">
        <v>2612</v>
      </c>
    </row>
    <row r="79" spans="1:13">
      <c r="A79" s="12" t="s">
        <v>353</v>
      </c>
      <c r="B79" s="11" t="s">
        <v>1688</v>
      </c>
      <c r="C79" s="11" t="s">
        <v>1689</v>
      </c>
      <c r="D79" s="11" t="s">
        <v>1690</v>
      </c>
      <c r="E79" s="11" t="s">
        <v>2690</v>
      </c>
      <c r="F79" s="11" t="s">
        <v>221</v>
      </c>
      <c r="G79" s="24" t="s">
        <v>70</v>
      </c>
      <c r="H79" s="24" t="s">
        <v>51</v>
      </c>
      <c r="I79" s="24" t="s">
        <v>154</v>
      </c>
      <c r="J79" s="12"/>
      <c r="K79" s="31" t="str">
        <f>"140,0"</f>
        <v>140,0</v>
      </c>
      <c r="L79" s="12" t="str">
        <f>"101,3880"</f>
        <v>101,3880</v>
      </c>
      <c r="M79" s="11"/>
    </row>
    <row r="80" spans="1:13">
      <c r="A80" s="12" t="s">
        <v>354</v>
      </c>
      <c r="B80" s="11" t="s">
        <v>1691</v>
      </c>
      <c r="C80" s="11" t="s">
        <v>1692</v>
      </c>
      <c r="D80" s="11" t="s">
        <v>1693</v>
      </c>
      <c r="E80" s="11" t="s">
        <v>2690</v>
      </c>
      <c r="F80" s="11" t="s">
        <v>221</v>
      </c>
      <c r="G80" s="24" t="s">
        <v>51</v>
      </c>
      <c r="H80" s="24" t="s">
        <v>154</v>
      </c>
      <c r="I80" s="25" t="s">
        <v>93</v>
      </c>
      <c r="J80" s="12"/>
      <c r="K80" s="31" t="str">
        <f>"140,0"</f>
        <v>140,0</v>
      </c>
      <c r="L80" s="12" t="str">
        <f>"101,1920"</f>
        <v>101,1920</v>
      </c>
      <c r="M80" s="11" t="s">
        <v>1694</v>
      </c>
    </row>
    <row r="81" spans="1:13">
      <c r="A81" s="12" t="s">
        <v>355</v>
      </c>
      <c r="B81" s="11" t="s">
        <v>1695</v>
      </c>
      <c r="C81" s="11" t="s">
        <v>1696</v>
      </c>
      <c r="D81" s="11" t="s">
        <v>1697</v>
      </c>
      <c r="E81" s="11" t="s">
        <v>2690</v>
      </c>
      <c r="F81" s="11" t="s">
        <v>1698</v>
      </c>
      <c r="G81" s="24" t="s">
        <v>51</v>
      </c>
      <c r="H81" s="24" t="s">
        <v>376</v>
      </c>
      <c r="I81" s="25" t="s">
        <v>154</v>
      </c>
      <c r="J81" s="12"/>
      <c r="K81" s="31" t="str">
        <f>"137,5"</f>
        <v>137,5</v>
      </c>
      <c r="L81" s="12" t="str">
        <f>"99,6738"</f>
        <v>99,6738</v>
      </c>
      <c r="M81" s="11"/>
    </row>
    <row r="82" spans="1:13">
      <c r="A82" s="12" t="s">
        <v>356</v>
      </c>
      <c r="B82" s="11" t="s">
        <v>1699</v>
      </c>
      <c r="C82" s="11" t="s">
        <v>1700</v>
      </c>
      <c r="D82" s="11" t="s">
        <v>1701</v>
      </c>
      <c r="E82" s="11" t="s">
        <v>2690</v>
      </c>
      <c r="F82" s="11" t="s">
        <v>221</v>
      </c>
      <c r="G82" s="24" t="s">
        <v>853</v>
      </c>
      <c r="H82" s="25" t="s">
        <v>35</v>
      </c>
      <c r="I82" s="25" t="s">
        <v>35</v>
      </c>
      <c r="J82" s="12"/>
      <c r="K82" s="31" t="str">
        <f>"107,5"</f>
        <v>107,5</v>
      </c>
      <c r="L82" s="12" t="str">
        <f>"77,7763"</f>
        <v>77,7763</v>
      </c>
      <c r="M82" s="11" t="s">
        <v>1702</v>
      </c>
    </row>
    <row r="83" spans="1:13">
      <c r="A83" s="12" t="s">
        <v>352</v>
      </c>
      <c r="B83" s="11" t="s">
        <v>1703</v>
      </c>
      <c r="C83" s="11" t="s">
        <v>1704</v>
      </c>
      <c r="D83" s="11" t="s">
        <v>882</v>
      </c>
      <c r="E83" s="11" t="s">
        <v>2690</v>
      </c>
      <c r="F83" s="11" t="s">
        <v>743</v>
      </c>
      <c r="G83" s="25" t="s">
        <v>51</v>
      </c>
      <c r="H83" s="25" t="s">
        <v>51</v>
      </c>
      <c r="I83" s="25" t="s">
        <v>51</v>
      </c>
      <c r="J83" s="12"/>
      <c r="K83" s="31">
        <v>0</v>
      </c>
      <c r="L83" s="12" t="str">
        <f>"0,0000"</f>
        <v>0,0000</v>
      </c>
      <c r="M83" s="11"/>
    </row>
    <row r="84" spans="1:13">
      <c r="A84" s="12" t="s">
        <v>352</v>
      </c>
      <c r="B84" s="11" t="s">
        <v>1705</v>
      </c>
      <c r="C84" s="11" t="s">
        <v>1706</v>
      </c>
      <c r="D84" s="11" t="s">
        <v>930</v>
      </c>
      <c r="E84" s="11" t="s">
        <v>2690</v>
      </c>
      <c r="F84" s="11" t="s">
        <v>1707</v>
      </c>
      <c r="G84" s="25" t="s">
        <v>51</v>
      </c>
      <c r="H84" s="25" t="s">
        <v>51</v>
      </c>
      <c r="I84" s="25" t="s">
        <v>51</v>
      </c>
      <c r="J84" s="12"/>
      <c r="K84" s="31">
        <v>0</v>
      </c>
      <c r="L84" s="12" t="str">
        <f>"0,0000"</f>
        <v>0,0000</v>
      </c>
      <c r="M84" s="11"/>
    </row>
    <row r="85" spans="1:13">
      <c r="A85" s="12" t="s">
        <v>352</v>
      </c>
      <c r="B85" s="11" t="s">
        <v>1708</v>
      </c>
      <c r="C85" s="11" t="s">
        <v>1709</v>
      </c>
      <c r="D85" s="11" t="s">
        <v>930</v>
      </c>
      <c r="E85" s="11" t="s">
        <v>2690</v>
      </c>
      <c r="F85" s="11" t="s">
        <v>221</v>
      </c>
      <c r="G85" s="25" t="s">
        <v>83</v>
      </c>
      <c r="H85" s="25" t="s">
        <v>83</v>
      </c>
      <c r="I85" s="25" t="s">
        <v>83</v>
      </c>
      <c r="J85" s="12"/>
      <c r="K85" s="31">
        <v>0</v>
      </c>
      <c r="L85" s="12" t="str">
        <f>"0,0000"</f>
        <v>0,0000</v>
      </c>
      <c r="M85" s="11" t="s">
        <v>1442</v>
      </c>
    </row>
    <row r="86" spans="1:13">
      <c r="A86" s="12" t="s">
        <v>352</v>
      </c>
      <c r="B86" s="11" t="s">
        <v>1710</v>
      </c>
      <c r="C86" s="11" t="s">
        <v>1711</v>
      </c>
      <c r="D86" s="11" t="s">
        <v>98</v>
      </c>
      <c r="E86" s="11" t="s">
        <v>2690</v>
      </c>
      <c r="F86" s="11" t="s">
        <v>1065</v>
      </c>
      <c r="G86" s="25" t="s">
        <v>51</v>
      </c>
      <c r="H86" s="25" t="s">
        <v>51</v>
      </c>
      <c r="I86" s="25" t="s">
        <v>51</v>
      </c>
      <c r="J86" s="12"/>
      <c r="K86" s="31">
        <v>0</v>
      </c>
      <c r="L86" s="12" t="str">
        <f>"0,0000"</f>
        <v>0,0000</v>
      </c>
      <c r="M86" s="11"/>
    </row>
    <row r="87" spans="1:13">
      <c r="A87" s="12" t="s">
        <v>349</v>
      </c>
      <c r="B87" s="11" t="s">
        <v>1688</v>
      </c>
      <c r="C87" s="11" t="s">
        <v>1712</v>
      </c>
      <c r="D87" s="11" t="s">
        <v>1690</v>
      </c>
      <c r="E87" s="11" t="s">
        <v>2693</v>
      </c>
      <c r="F87" s="11" t="s">
        <v>221</v>
      </c>
      <c r="G87" s="24" t="s">
        <v>70</v>
      </c>
      <c r="H87" s="24" t="s">
        <v>51</v>
      </c>
      <c r="I87" s="24" t="s">
        <v>154</v>
      </c>
      <c r="J87" s="12"/>
      <c r="K87" s="31" t="str">
        <f>"140,0"</f>
        <v>140,0</v>
      </c>
      <c r="L87" s="12" t="str">
        <f>"114,7712"</f>
        <v>114,7712</v>
      </c>
      <c r="M87" s="11"/>
    </row>
    <row r="88" spans="1:13">
      <c r="A88" s="12" t="s">
        <v>351</v>
      </c>
      <c r="B88" s="11" t="s">
        <v>943</v>
      </c>
      <c r="C88" s="11" t="s">
        <v>944</v>
      </c>
      <c r="D88" s="11" t="s">
        <v>564</v>
      </c>
      <c r="E88" s="11" t="s">
        <v>2693</v>
      </c>
      <c r="F88" s="11" t="s">
        <v>147</v>
      </c>
      <c r="G88" s="25" t="s">
        <v>83</v>
      </c>
      <c r="H88" s="24" t="s">
        <v>83</v>
      </c>
      <c r="I88" s="25" t="s">
        <v>35</v>
      </c>
      <c r="J88" s="12"/>
      <c r="K88" s="31" t="str">
        <f>"110,0"</f>
        <v>110,0</v>
      </c>
      <c r="L88" s="12" t="str">
        <f>"78,7490"</f>
        <v>78,7490</v>
      </c>
      <c r="M88" s="11" t="s">
        <v>945</v>
      </c>
    </row>
    <row r="89" spans="1:13">
      <c r="A89" s="12" t="s">
        <v>352</v>
      </c>
      <c r="B89" s="11" t="s">
        <v>1713</v>
      </c>
      <c r="C89" s="11" t="s">
        <v>1714</v>
      </c>
      <c r="D89" s="11" t="s">
        <v>1715</v>
      </c>
      <c r="E89" s="11" t="s">
        <v>2695</v>
      </c>
      <c r="F89" s="11" t="s">
        <v>626</v>
      </c>
      <c r="G89" s="25" t="s">
        <v>34</v>
      </c>
      <c r="H89" s="25" t="s">
        <v>34</v>
      </c>
      <c r="I89" s="12"/>
      <c r="J89" s="12"/>
      <c r="K89" s="31">
        <v>0</v>
      </c>
      <c r="L89" s="12" t="str">
        <f>"0,0000"</f>
        <v>0,0000</v>
      </c>
      <c r="M89" s="11"/>
    </row>
    <row r="90" spans="1:13">
      <c r="A90" s="14" t="s">
        <v>349</v>
      </c>
      <c r="B90" s="13" t="s">
        <v>1293</v>
      </c>
      <c r="C90" s="13" t="s">
        <v>1294</v>
      </c>
      <c r="D90" s="13" t="s">
        <v>556</v>
      </c>
      <c r="E90" s="13" t="s">
        <v>2694</v>
      </c>
      <c r="F90" s="13" t="s">
        <v>1295</v>
      </c>
      <c r="G90" s="26" t="s">
        <v>24</v>
      </c>
      <c r="H90" s="26" t="s">
        <v>407</v>
      </c>
      <c r="I90" s="26" t="s">
        <v>466</v>
      </c>
      <c r="J90" s="14"/>
      <c r="K90" s="30" t="str">
        <f>"95,0"</f>
        <v>95,0</v>
      </c>
      <c r="L90" s="14" t="str">
        <f>"108,5328"</f>
        <v>108,5328</v>
      </c>
      <c r="M90" s="13" t="s">
        <v>1296</v>
      </c>
    </row>
    <row r="91" spans="1:13">
      <c r="B91" s="5" t="s">
        <v>350</v>
      </c>
    </row>
    <row r="92" spans="1:13" ht="16">
      <c r="A92" s="82" t="s">
        <v>72</v>
      </c>
      <c r="B92" s="82"/>
      <c r="C92" s="82"/>
      <c r="D92" s="82"/>
      <c r="E92" s="82"/>
      <c r="F92" s="82"/>
      <c r="G92" s="82"/>
      <c r="H92" s="82"/>
      <c r="I92" s="82"/>
      <c r="J92" s="82"/>
    </row>
    <row r="93" spans="1:13">
      <c r="A93" s="10" t="s">
        <v>349</v>
      </c>
      <c r="B93" s="9" t="s">
        <v>1716</v>
      </c>
      <c r="C93" s="9" t="s">
        <v>1717</v>
      </c>
      <c r="D93" s="9" t="s">
        <v>124</v>
      </c>
      <c r="E93" s="9" t="s">
        <v>2691</v>
      </c>
      <c r="F93" s="9" t="s">
        <v>1718</v>
      </c>
      <c r="G93" s="22" t="s">
        <v>166</v>
      </c>
      <c r="H93" s="22" t="s">
        <v>109</v>
      </c>
      <c r="I93" s="23" t="s">
        <v>116</v>
      </c>
      <c r="J93" s="10"/>
      <c r="K93" s="29" t="str">
        <f>"170,0"</f>
        <v>170,0</v>
      </c>
      <c r="L93" s="10" t="str">
        <f>"113,8830"</f>
        <v>113,8830</v>
      </c>
      <c r="M93" s="9" t="s">
        <v>1719</v>
      </c>
    </row>
    <row r="94" spans="1:13">
      <c r="A94" s="12" t="s">
        <v>351</v>
      </c>
      <c r="B94" s="11" t="s">
        <v>1720</v>
      </c>
      <c r="C94" s="11" t="s">
        <v>1721</v>
      </c>
      <c r="D94" s="11" t="s">
        <v>1330</v>
      </c>
      <c r="E94" s="11" t="s">
        <v>2691</v>
      </c>
      <c r="F94" s="11" t="s">
        <v>772</v>
      </c>
      <c r="G94" s="24" t="s">
        <v>50</v>
      </c>
      <c r="H94" s="24" t="s">
        <v>391</v>
      </c>
      <c r="I94" s="24" t="s">
        <v>365</v>
      </c>
      <c r="J94" s="12"/>
      <c r="K94" s="31" t="str">
        <f>"132,5"</f>
        <v>132,5</v>
      </c>
      <c r="L94" s="12" t="str">
        <f>"90,3915"</f>
        <v>90,3915</v>
      </c>
      <c r="M94" s="11" t="s">
        <v>773</v>
      </c>
    </row>
    <row r="95" spans="1:13">
      <c r="A95" s="12" t="s">
        <v>353</v>
      </c>
      <c r="B95" s="11" t="s">
        <v>1722</v>
      </c>
      <c r="C95" s="11" t="s">
        <v>1723</v>
      </c>
      <c r="D95" s="11" t="s">
        <v>1724</v>
      </c>
      <c r="E95" s="11" t="s">
        <v>2691</v>
      </c>
      <c r="F95" s="11" t="s">
        <v>221</v>
      </c>
      <c r="G95" s="24" t="s">
        <v>50</v>
      </c>
      <c r="H95" s="24" t="s">
        <v>391</v>
      </c>
      <c r="I95" s="24" t="s">
        <v>70</v>
      </c>
      <c r="J95" s="12"/>
      <c r="K95" s="31" t="str">
        <f>"130,0"</f>
        <v>130,0</v>
      </c>
      <c r="L95" s="12" t="str">
        <f>"87,8020"</f>
        <v>87,8020</v>
      </c>
      <c r="M95" s="11" t="s">
        <v>2613</v>
      </c>
    </row>
    <row r="96" spans="1:13">
      <c r="A96" s="12" t="s">
        <v>354</v>
      </c>
      <c r="B96" s="11" t="s">
        <v>1725</v>
      </c>
      <c r="C96" s="11" t="s">
        <v>1726</v>
      </c>
      <c r="D96" s="11" t="s">
        <v>1727</v>
      </c>
      <c r="E96" s="11" t="s">
        <v>2691</v>
      </c>
      <c r="F96" s="11" t="s">
        <v>1728</v>
      </c>
      <c r="G96" s="24" t="s">
        <v>66</v>
      </c>
      <c r="H96" s="24" t="s">
        <v>853</v>
      </c>
      <c r="I96" s="25" t="s">
        <v>83</v>
      </c>
      <c r="J96" s="12"/>
      <c r="K96" s="31" t="str">
        <f>"107,5"</f>
        <v>107,5</v>
      </c>
      <c r="L96" s="12" t="str">
        <f>"76,2497"</f>
        <v>76,2497</v>
      </c>
      <c r="M96" s="11" t="s">
        <v>1729</v>
      </c>
    </row>
    <row r="97" spans="1:13">
      <c r="A97" s="12" t="s">
        <v>349</v>
      </c>
      <c r="B97" s="11" t="s">
        <v>1730</v>
      </c>
      <c r="C97" s="11" t="s">
        <v>1731</v>
      </c>
      <c r="D97" s="11" t="s">
        <v>955</v>
      </c>
      <c r="E97" s="11" t="s">
        <v>2689</v>
      </c>
      <c r="F97" s="11" t="s">
        <v>667</v>
      </c>
      <c r="G97" s="24" t="s">
        <v>50</v>
      </c>
      <c r="H97" s="25" t="s">
        <v>365</v>
      </c>
      <c r="I97" s="25" t="s">
        <v>365</v>
      </c>
      <c r="J97" s="12"/>
      <c r="K97" s="31" t="str">
        <f>"120,0"</f>
        <v>120,0</v>
      </c>
      <c r="L97" s="12" t="str">
        <f>"81,4200"</f>
        <v>81,4200</v>
      </c>
      <c r="M97" s="11" t="s">
        <v>1077</v>
      </c>
    </row>
    <row r="98" spans="1:13">
      <c r="A98" s="12" t="s">
        <v>349</v>
      </c>
      <c r="B98" s="11" t="s">
        <v>962</v>
      </c>
      <c r="C98" s="11" t="s">
        <v>963</v>
      </c>
      <c r="D98" s="11" t="s">
        <v>590</v>
      </c>
      <c r="E98" s="11" t="s">
        <v>2690</v>
      </c>
      <c r="F98" s="11" t="s">
        <v>187</v>
      </c>
      <c r="G98" s="24" t="s">
        <v>109</v>
      </c>
      <c r="H98" s="24" t="s">
        <v>116</v>
      </c>
      <c r="I98" s="25" t="s">
        <v>128</v>
      </c>
      <c r="J98" s="12"/>
      <c r="K98" s="31" t="str">
        <f>"175,0"</f>
        <v>175,0</v>
      </c>
      <c r="L98" s="12" t="str">
        <f>"119,0000"</f>
        <v>119,0000</v>
      </c>
      <c r="M98" s="11"/>
    </row>
    <row r="99" spans="1:13">
      <c r="A99" s="12" t="s">
        <v>351</v>
      </c>
      <c r="B99" s="11" t="s">
        <v>1732</v>
      </c>
      <c r="C99" s="11" t="s">
        <v>1733</v>
      </c>
      <c r="D99" s="11" t="s">
        <v>107</v>
      </c>
      <c r="E99" s="11" t="s">
        <v>2690</v>
      </c>
      <c r="F99" s="11" t="s">
        <v>1734</v>
      </c>
      <c r="G99" s="24" t="s">
        <v>166</v>
      </c>
      <c r="H99" s="25" t="s">
        <v>109</v>
      </c>
      <c r="I99" s="25" t="s">
        <v>109</v>
      </c>
      <c r="J99" s="12"/>
      <c r="K99" s="31" t="str">
        <f>"165,0"</f>
        <v>165,0</v>
      </c>
      <c r="L99" s="12" t="str">
        <f>"111,7710"</f>
        <v>111,7710</v>
      </c>
      <c r="M99" s="11"/>
    </row>
    <row r="100" spans="1:13">
      <c r="A100" s="12" t="s">
        <v>353</v>
      </c>
      <c r="B100" s="11" t="s">
        <v>1735</v>
      </c>
      <c r="C100" s="11" t="s">
        <v>1736</v>
      </c>
      <c r="D100" s="11" t="s">
        <v>134</v>
      </c>
      <c r="E100" s="11" t="s">
        <v>2690</v>
      </c>
      <c r="F100" s="11" t="s">
        <v>1343</v>
      </c>
      <c r="G100" s="25" t="s">
        <v>47</v>
      </c>
      <c r="H100" s="25" t="s">
        <v>47</v>
      </c>
      <c r="I100" s="24" t="s">
        <v>47</v>
      </c>
      <c r="J100" s="12"/>
      <c r="K100" s="31" t="str">
        <f>"155,0"</f>
        <v>155,0</v>
      </c>
      <c r="L100" s="12" t="str">
        <f>"104,2220"</f>
        <v>104,2220</v>
      </c>
      <c r="M100" s="11"/>
    </row>
    <row r="101" spans="1:13">
      <c r="A101" s="12" t="s">
        <v>354</v>
      </c>
      <c r="B101" s="11" t="s">
        <v>1737</v>
      </c>
      <c r="C101" s="11" t="s">
        <v>1738</v>
      </c>
      <c r="D101" s="11" t="s">
        <v>1138</v>
      </c>
      <c r="E101" s="11" t="s">
        <v>2690</v>
      </c>
      <c r="F101" s="11" t="s">
        <v>363</v>
      </c>
      <c r="G101" s="24" t="s">
        <v>154</v>
      </c>
      <c r="H101" s="24" t="s">
        <v>45</v>
      </c>
      <c r="I101" s="25" t="s">
        <v>414</v>
      </c>
      <c r="J101" s="12"/>
      <c r="K101" s="31" t="str">
        <f>"145,0"</f>
        <v>145,0</v>
      </c>
      <c r="L101" s="12" t="str">
        <f>"98,8320"</f>
        <v>98,8320</v>
      </c>
      <c r="M101" s="11"/>
    </row>
    <row r="102" spans="1:13">
      <c r="A102" s="12" t="s">
        <v>355</v>
      </c>
      <c r="B102" s="11" t="s">
        <v>1739</v>
      </c>
      <c r="C102" s="11" t="s">
        <v>1740</v>
      </c>
      <c r="D102" s="11" t="s">
        <v>1741</v>
      </c>
      <c r="E102" s="11" t="s">
        <v>2690</v>
      </c>
      <c r="F102" s="11" t="s">
        <v>221</v>
      </c>
      <c r="G102" s="24" t="s">
        <v>376</v>
      </c>
      <c r="H102" s="25" t="s">
        <v>45</v>
      </c>
      <c r="I102" s="25" t="s">
        <v>45</v>
      </c>
      <c r="J102" s="12"/>
      <c r="K102" s="31" t="str">
        <f>"137,5"</f>
        <v>137,5</v>
      </c>
      <c r="L102" s="12" t="str">
        <f>"95,6587"</f>
        <v>95,6587</v>
      </c>
      <c r="M102" s="11" t="s">
        <v>1442</v>
      </c>
    </row>
    <row r="103" spans="1:13">
      <c r="A103" s="12" t="s">
        <v>356</v>
      </c>
      <c r="B103" s="11" t="s">
        <v>1742</v>
      </c>
      <c r="C103" s="11" t="s">
        <v>1743</v>
      </c>
      <c r="D103" s="11" t="s">
        <v>1744</v>
      </c>
      <c r="E103" s="11" t="s">
        <v>2690</v>
      </c>
      <c r="F103" s="11" t="s">
        <v>221</v>
      </c>
      <c r="G103" s="24" t="s">
        <v>51</v>
      </c>
      <c r="H103" s="25" t="s">
        <v>45</v>
      </c>
      <c r="I103" s="25" t="s">
        <v>45</v>
      </c>
      <c r="J103" s="12"/>
      <c r="K103" s="31" t="str">
        <f>"135,0"</f>
        <v>135,0</v>
      </c>
      <c r="L103" s="12" t="str">
        <f>"91,6650"</f>
        <v>91,6650</v>
      </c>
      <c r="M103" s="11" t="s">
        <v>1745</v>
      </c>
    </row>
    <row r="104" spans="1:13">
      <c r="A104" s="12" t="s">
        <v>357</v>
      </c>
      <c r="B104" s="11" t="s">
        <v>1746</v>
      </c>
      <c r="C104" s="11" t="s">
        <v>1747</v>
      </c>
      <c r="D104" s="11" t="s">
        <v>966</v>
      </c>
      <c r="E104" s="11" t="s">
        <v>2690</v>
      </c>
      <c r="F104" s="11" t="s">
        <v>221</v>
      </c>
      <c r="G104" s="24" t="s">
        <v>51</v>
      </c>
      <c r="H104" s="25" t="s">
        <v>154</v>
      </c>
      <c r="I104" s="25" t="s">
        <v>154</v>
      </c>
      <c r="J104" s="12"/>
      <c r="K104" s="31" t="str">
        <f>"135,0"</f>
        <v>135,0</v>
      </c>
      <c r="L104" s="12" t="str">
        <f>"91,0440"</f>
        <v>91,0440</v>
      </c>
      <c r="M104" s="11"/>
    </row>
    <row r="105" spans="1:13">
      <c r="A105" s="12" t="s">
        <v>358</v>
      </c>
      <c r="B105" s="11" t="s">
        <v>1748</v>
      </c>
      <c r="C105" s="11" t="s">
        <v>1749</v>
      </c>
      <c r="D105" s="11" t="s">
        <v>1750</v>
      </c>
      <c r="E105" s="11" t="s">
        <v>2690</v>
      </c>
      <c r="F105" s="11" t="s">
        <v>865</v>
      </c>
      <c r="G105" s="24" t="s">
        <v>84</v>
      </c>
      <c r="H105" s="24" t="s">
        <v>70</v>
      </c>
      <c r="I105" s="24" t="s">
        <v>365</v>
      </c>
      <c r="J105" s="12"/>
      <c r="K105" s="31" t="str">
        <f>"132,5"</f>
        <v>132,5</v>
      </c>
      <c r="L105" s="12" t="str">
        <f>"89,2918"</f>
        <v>89,2918</v>
      </c>
      <c r="M105" s="11" t="s">
        <v>2614</v>
      </c>
    </row>
    <row r="106" spans="1:13">
      <c r="A106" s="12" t="s">
        <v>761</v>
      </c>
      <c r="B106" s="11" t="s">
        <v>1751</v>
      </c>
      <c r="C106" s="11" t="s">
        <v>1752</v>
      </c>
      <c r="D106" s="11" t="s">
        <v>75</v>
      </c>
      <c r="E106" s="11" t="s">
        <v>2690</v>
      </c>
      <c r="F106" s="11" t="s">
        <v>221</v>
      </c>
      <c r="G106" s="24" t="s">
        <v>70</v>
      </c>
      <c r="H106" s="25" t="s">
        <v>51</v>
      </c>
      <c r="I106" s="25" t="s">
        <v>51</v>
      </c>
      <c r="J106" s="12"/>
      <c r="K106" s="31" t="str">
        <f>"130,0"</f>
        <v>130,0</v>
      </c>
      <c r="L106" s="12" t="str">
        <f>"87,1520"</f>
        <v>87,1520</v>
      </c>
      <c r="M106" s="11"/>
    </row>
    <row r="107" spans="1:13">
      <c r="A107" s="12" t="s">
        <v>762</v>
      </c>
      <c r="B107" s="11" t="s">
        <v>1753</v>
      </c>
      <c r="C107" s="11" t="s">
        <v>1754</v>
      </c>
      <c r="D107" s="11" t="s">
        <v>581</v>
      </c>
      <c r="E107" s="11" t="s">
        <v>2690</v>
      </c>
      <c r="F107" s="11" t="s">
        <v>1755</v>
      </c>
      <c r="G107" s="25" t="s">
        <v>66</v>
      </c>
      <c r="H107" s="24" t="s">
        <v>66</v>
      </c>
      <c r="I107" s="25" t="s">
        <v>34</v>
      </c>
      <c r="J107" s="12"/>
      <c r="K107" s="31" t="str">
        <f>"105,0"</f>
        <v>105,0</v>
      </c>
      <c r="L107" s="12" t="str">
        <f>"70,4445"</f>
        <v>70,4445</v>
      </c>
      <c r="M107" s="11" t="s">
        <v>1756</v>
      </c>
    </row>
    <row r="108" spans="1:13">
      <c r="A108" s="12" t="s">
        <v>352</v>
      </c>
      <c r="B108" s="11" t="s">
        <v>1757</v>
      </c>
      <c r="C108" s="11" t="s">
        <v>1758</v>
      </c>
      <c r="D108" s="11" t="s">
        <v>1759</v>
      </c>
      <c r="E108" s="11" t="s">
        <v>2690</v>
      </c>
      <c r="F108" s="11" t="s">
        <v>221</v>
      </c>
      <c r="G108" s="25" t="s">
        <v>36</v>
      </c>
      <c r="H108" s="25" t="s">
        <v>391</v>
      </c>
      <c r="I108" s="25" t="s">
        <v>391</v>
      </c>
      <c r="J108" s="12"/>
      <c r="K108" s="31">
        <v>0</v>
      </c>
      <c r="L108" s="12" t="str">
        <f>"0,0000"</f>
        <v>0,0000</v>
      </c>
      <c r="M108" s="11"/>
    </row>
    <row r="109" spans="1:13">
      <c r="A109" s="12" t="s">
        <v>352</v>
      </c>
      <c r="B109" s="11" t="s">
        <v>1760</v>
      </c>
      <c r="C109" s="11" t="s">
        <v>1761</v>
      </c>
      <c r="D109" s="11" t="s">
        <v>1150</v>
      </c>
      <c r="E109" s="11" t="s">
        <v>2690</v>
      </c>
      <c r="F109" s="11" t="s">
        <v>667</v>
      </c>
      <c r="G109" s="25" t="s">
        <v>376</v>
      </c>
      <c r="H109" s="25" t="s">
        <v>45</v>
      </c>
      <c r="I109" s="25" t="s">
        <v>45</v>
      </c>
      <c r="J109" s="12"/>
      <c r="K109" s="31">
        <v>0</v>
      </c>
      <c r="L109" s="12" t="str">
        <f>"0,0000"</f>
        <v>0,0000</v>
      </c>
      <c r="M109" s="11" t="s">
        <v>1442</v>
      </c>
    </row>
    <row r="110" spans="1:13">
      <c r="A110" s="12" t="s">
        <v>352</v>
      </c>
      <c r="B110" s="11" t="s">
        <v>1762</v>
      </c>
      <c r="C110" s="11" t="s">
        <v>1763</v>
      </c>
      <c r="D110" s="11" t="s">
        <v>124</v>
      </c>
      <c r="E110" s="11" t="s">
        <v>2690</v>
      </c>
      <c r="F110" s="11" t="s">
        <v>674</v>
      </c>
      <c r="G110" s="25" t="s">
        <v>47</v>
      </c>
      <c r="H110" s="25" t="s">
        <v>47</v>
      </c>
      <c r="I110" s="25" t="s">
        <v>47</v>
      </c>
      <c r="J110" s="12"/>
      <c r="K110" s="31">
        <v>0</v>
      </c>
      <c r="L110" s="12" t="str">
        <f>"0,0000"</f>
        <v>0,0000</v>
      </c>
      <c r="M110" s="11"/>
    </row>
    <row r="111" spans="1:13">
      <c r="A111" s="12" t="s">
        <v>352</v>
      </c>
      <c r="B111" s="11" t="s">
        <v>1764</v>
      </c>
      <c r="C111" s="11" t="s">
        <v>1765</v>
      </c>
      <c r="D111" s="11" t="s">
        <v>124</v>
      </c>
      <c r="E111" s="11" t="s">
        <v>2690</v>
      </c>
      <c r="F111" s="11" t="s">
        <v>261</v>
      </c>
      <c r="G111" s="25" t="s">
        <v>52</v>
      </c>
      <c r="H111" s="25" t="s">
        <v>52</v>
      </c>
      <c r="I111" s="25" t="s">
        <v>59</v>
      </c>
      <c r="J111" s="12"/>
      <c r="K111" s="31">
        <v>0</v>
      </c>
      <c r="L111" s="12" t="str">
        <f>"0,0000"</f>
        <v>0,0000</v>
      </c>
      <c r="M111" s="11" t="s">
        <v>1766</v>
      </c>
    </row>
    <row r="112" spans="1:13">
      <c r="A112" s="12" t="s">
        <v>349</v>
      </c>
      <c r="B112" s="11" t="s">
        <v>962</v>
      </c>
      <c r="C112" s="11" t="s">
        <v>986</v>
      </c>
      <c r="D112" s="11" t="s">
        <v>590</v>
      </c>
      <c r="E112" s="11" t="s">
        <v>2693</v>
      </c>
      <c r="F112" s="11" t="s">
        <v>187</v>
      </c>
      <c r="G112" s="24" t="s">
        <v>109</v>
      </c>
      <c r="H112" s="24" t="s">
        <v>116</v>
      </c>
      <c r="I112" s="25" t="s">
        <v>128</v>
      </c>
      <c r="J112" s="12"/>
      <c r="K112" s="31" t="str">
        <f>"175,0"</f>
        <v>175,0</v>
      </c>
      <c r="L112" s="12" t="str">
        <f>"119,0000"</f>
        <v>119,0000</v>
      </c>
      <c r="M112" s="11"/>
    </row>
    <row r="113" spans="1:13">
      <c r="A113" s="12" t="s">
        <v>351</v>
      </c>
      <c r="B113" s="11" t="s">
        <v>1328</v>
      </c>
      <c r="C113" s="11" t="s">
        <v>1329</v>
      </c>
      <c r="D113" s="11" t="s">
        <v>1330</v>
      </c>
      <c r="E113" s="11" t="s">
        <v>2693</v>
      </c>
      <c r="F113" s="11" t="s">
        <v>626</v>
      </c>
      <c r="G113" s="24" t="s">
        <v>59</v>
      </c>
      <c r="H113" s="25" t="s">
        <v>166</v>
      </c>
      <c r="I113" s="25" t="s">
        <v>166</v>
      </c>
      <c r="J113" s="12"/>
      <c r="K113" s="31" t="str">
        <f>"160,0"</f>
        <v>160,0</v>
      </c>
      <c r="L113" s="12" t="str">
        <f>"123,5601"</f>
        <v>123,5601</v>
      </c>
      <c r="M113" s="11"/>
    </row>
    <row r="114" spans="1:13">
      <c r="A114" s="12" t="s">
        <v>353</v>
      </c>
      <c r="B114" s="11" t="s">
        <v>1767</v>
      </c>
      <c r="C114" s="11" t="s">
        <v>1768</v>
      </c>
      <c r="D114" s="11" t="s">
        <v>124</v>
      </c>
      <c r="E114" s="11" t="s">
        <v>2693</v>
      </c>
      <c r="F114" s="11" t="s">
        <v>1769</v>
      </c>
      <c r="G114" s="25" t="s">
        <v>51</v>
      </c>
      <c r="H114" s="24" t="s">
        <v>51</v>
      </c>
      <c r="I114" s="24" t="s">
        <v>154</v>
      </c>
      <c r="J114" s="12"/>
      <c r="K114" s="31" t="str">
        <f>"140,0"</f>
        <v>140,0</v>
      </c>
      <c r="L114" s="12" t="str">
        <f>"99,4132"</f>
        <v>99,4132</v>
      </c>
      <c r="M114" s="11"/>
    </row>
    <row r="115" spans="1:13">
      <c r="A115" s="12" t="s">
        <v>354</v>
      </c>
      <c r="B115" s="11" t="s">
        <v>1770</v>
      </c>
      <c r="C115" s="11" t="s">
        <v>1771</v>
      </c>
      <c r="D115" s="11" t="s">
        <v>955</v>
      </c>
      <c r="E115" s="11" t="s">
        <v>2693</v>
      </c>
      <c r="F115" s="11" t="s">
        <v>221</v>
      </c>
      <c r="G115" s="24" t="s">
        <v>50</v>
      </c>
      <c r="H115" s="24" t="s">
        <v>36</v>
      </c>
      <c r="I115" s="24" t="s">
        <v>391</v>
      </c>
      <c r="J115" s="12"/>
      <c r="K115" s="31" t="str">
        <f>"127,5"</f>
        <v>127,5</v>
      </c>
      <c r="L115" s="12" t="str">
        <f>"86,5087"</f>
        <v>86,5087</v>
      </c>
      <c r="M115" s="11"/>
    </row>
    <row r="116" spans="1:13">
      <c r="A116" s="12" t="s">
        <v>349</v>
      </c>
      <c r="B116" s="11" t="s">
        <v>1331</v>
      </c>
      <c r="C116" s="11" t="s">
        <v>1332</v>
      </c>
      <c r="D116" s="11" t="s">
        <v>1333</v>
      </c>
      <c r="E116" s="11" t="s">
        <v>2695</v>
      </c>
      <c r="F116" s="11" t="s">
        <v>931</v>
      </c>
      <c r="G116" s="24" t="s">
        <v>391</v>
      </c>
      <c r="H116" s="24" t="s">
        <v>70</v>
      </c>
      <c r="I116" s="25" t="s">
        <v>365</v>
      </c>
      <c r="J116" s="12"/>
      <c r="K116" s="31" t="str">
        <f>"130,0"</f>
        <v>130,0</v>
      </c>
      <c r="L116" s="12" t="str">
        <f>"119,3759"</f>
        <v>119,3759</v>
      </c>
      <c r="M116" s="11" t="s">
        <v>1334</v>
      </c>
    </row>
    <row r="117" spans="1:13">
      <c r="A117" s="14" t="s">
        <v>349</v>
      </c>
      <c r="B117" s="13" t="s">
        <v>1772</v>
      </c>
      <c r="C117" s="13" t="s">
        <v>1773</v>
      </c>
      <c r="D117" s="13" t="s">
        <v>955</v>
      </c>
      <c r="E117" s="13" t="s">
        <v>2696</v>
      </c>
      <c r="F117" s="13" t="s">
        <v>187</v>
      </c>
      <c r="G117" s="26" t="s">
        <v>1774</v>
      </c>
      <c r="H117" s="26" t="s">
        <v>67</v>
      </c>
      <c r="I117" s="26" t="s">
        <v>50</v>
      </c>
      <c r="J117" s="14"/>
      <c r="K117" s="30" t="str">
        <f>"120,0"</f>
        <v>120,0</v>
      </c>
      <c r="L117" s="14" t="str">
        <f>"157,9548"</f>
        <v>157,9548</v>
      </c>
      <c r="M117" s="13"/>
    </row>
    <row r="118" spans="1:13">
      <c r="B118" s="5" t="s">
        <v>350</v>
      </c>
    </row>
    <row r="119" spans="1:13" ht="16">
      <c r="A119" s="82" t="s">
        <v>143</v>
      </c>
      <c r="B119" s="82"/>
      <c r="C119" s="82"/>
      <c r="D119" s="82"/>
      <c r="E119" s="82"/>
      <c r="F119" s="82"/>
      <c r="G119" s="82"/>
      <c r="H119" s="82"/>
      <c r="I119" s="82"/>
      <c r="J119" s="82"/>
    </row>
    <row r="120" spans="1:13">
      <c r="A120" s="10" t="s">
        <v>352</v>
      </c>
      <c r="B120" s="9" t="s">
        <v>1775</v>
      </c>
      <c r="C120" s="9" t="s">
        <v>1776</v>
      </c>
      <c r="D120" s="9" t="s">
        <v>1008</v>
      </c>
      <c r="E120" s="9" t="s">
        <v>2692</v>
      </c>
      <c r="F120" s="9" t="s">
        <v>406</v>
      </c>
      <c r="G120" s="23" t="s">
        <v>128</v>
      </c>
      <c r="H120" s="23" t="s">
        <v>128</v>
      </c>
      <c r="I120" s="23" t="s">
        <v>128</v>
      </c>
      <c r="J120" s="10"/>
      <c r="K120" s="29">
        <v>0</v>
      </c>
      <c r="L120" s="10" t="str">
        <f>"0,0000"</f>
        <v>0,0000</v>
      </c>
      <c r="M120" s="9" t="s">
        <v>1777</v>
      </c>
    </row>
    <row r="121" spans="1:13">
      <c r="A121" s="12" t="s">
        <v>349</v>
      </c>
      <c r="B121" s="11" t="s">
        <v>1778</v>
      </c>
      <c r="C121" s="11" t="s">
        <v>1779</v>
      </c>
      <c r="D121" s="11" t="s">
        <v>1350</v>
      </c>
      <c r="E121" s="11" t="s">
        <v>2691</v>
      </c>
      <c r="F121" s="11" t="s">
        <v>1780</v>
      </c>
      <c r="G121" s="24" t="s">
        <v>51</v>
      </c>
      <c r="H121" s="24" t="s">
        <v>45</v>
      </c>
      <c r="I121" s="25" t="s">
        <v>46</v>
      </c>
      <c r="J121" s="12"/>
      <c r="K121" s="31" t="str">
        <f>"145,0"</f>
        <v>145,0</v>
      </c>
      <c r="L121" s="12" t="str">
        <f>"92,6260"</f>
        <v>92,6260</v>
      </c>
      <c r="M121" s="11" t="s">
        <v>1781</v>
      </c>
    </row>
    <row r="122" spans="1:13">
      <c r="A122" s="12" t="s">
        <v>351</v>
      </c>
      <c r="B122" s="11" t="s">
        <v>1782</v>
      </c>
      <c r="C122" s="11" t="s">
        <v>1783</v>
      </c>
      <c r="D122" s="11" t="s">
        <v>1784</v>
      </c>
      <c r="E122" s="11" t="s">
        <v>2691</v>
      </c>
      <c r="F122" s="11" t="s">
        <v>221</v>
      </c>
      <c r="G122" s="24" t="s">
        <v>154</v>
      </c>
      <c r="H122" s="25" t="s">
        <v>414</v>
      </c>
      <c r="I122" s="25" t="s">
        <v>46</v>
      </c>
      <c r="J122" s="12"/>
      <c r="K122" s="31" t="str">
        <f>"140,0"</f>
        <v>140,0</v>
      </c>
      <c r="L122" s="12" t="str">
        <f>"91,3920"</f>
        <v>91,3920</v>
      </c>
      <c r="M122" s="11" t="s">
        <v>1785</v>
      </c>
    </row>
    <row r="123" spans="1:13">
      <c r="A123" s="12" t="s">
        <v>349</v>
      </c>
      <c r="B123" s="11" t="s">
        <v>1786</v>
      </c>
      <c r="C123" s="11" t="s">
        <v>1787</v>
      </c>
      <c r="D123" s="11" t="s">
        <v>1788</v>
      </c>
      <c r="E123" s="11" t="s">
        <v>2689</v>
      </c>
      <c r="F123" s="11" t="s">
        <v>221</v>
      </c>
      <c r="G123" s="24" t="s">
        <v>365</v>
      </c>
      <c r="H123" s="25" t="s">
        <v>376</v>
      </c>
      <c r="I123" s="24" t="s">
        <v>376</v>
      </c>
      <c r="J123" s="12"/>
      <c r="K123" s="31" t="str">
        <f>"137,5"</f>
        <v>137,5</v>
      </c>
      <c r="L123" s="12" t="str">
        <f>"88,6462"</f>
        <v>88,6462</v>
      </c>
      <c r="M123" s="11"/>
    </row>
    <row r="124" spans="1:13">
      <c r="A124" s="12" t="s">
        <v>352</v>
      </c>
      <c r="B124" s="11" t="s">
        <v>1789</v>
      </c>
      <c r="C124" s="11" t="s">
        <v>1790</v>
      </c>
      <c r="D124" s="11" t="s">
        <v>1791</v>
      </c>
      <c r="E124" s="11" t="s">
        <v>2689</v>
      </c>
      <c r="F124" s="11" t="s">
        <v>1792</v>
      </c>
      <c r="G124" s="25" t="s">
        <v>70</v>
      </c>
      <c r="H124" s="25" t="s">
        <v>70</v>
      </c>
      <c r="I124" s="25" t="s">
        <v>70</v>
      </c>
      <c r="J124" s="12"/>
      <c r="K124" s="31">
        <v>0</v>
      </c>
      <c r="L124" s="12" t="str">
        <f>"0,0000"</f>
        <v>0,0000</v>
      </c>
      <c r="M124" s="11"/>
    </row>
    <row r="125" spans="1:13">
      <c r="A125" s="12" t="s">
        <v>349</v>
      </c>
      <c r="B125" s="11" t="s">
        <v>1793</v>
      </c>
      <c r="C125" s="11" t="s">
        <v>1794</v>
      </c>
      <c r="D125" s="11" t="s">
        <v>1350</v>
      </c>
      <c r="E125" s="11" t="s">
        <v>2690</v>
      </c>
      <c r="F125" s="11" t="s">
        <v>221</v>
      </c>
      <c r="G125" s="24" t="s">
        <v>109</v>
      </c>
      <c r="H125" s="24" t="s">
        <v>60</v>
      </c>
      <c r="I125" s="24" t="s">
        <v>210</v>
      </c>
      <c r="J125" s="12"/>
      <c r="K125" s="31" t="str">
        <f>"187,5"</f>
        <v>187,5</v>
      </c>
      <c r="L125" s="12" t="str">
        <f>"119,7750"</f>
        <v>119,7750</v>
      </c>
      <c r="M125" s="11"/>
    </row>
    <row r="126" spans="1:13">
      <c r="A126" s="12" t="s">
        <v>351</v>
      </c>
      <c r="B126" s="11" t="s">
        <v>1795</v>
      </c>
      <c r="C126" s="11" t="s">
        <v>1796</v>
      </c>
      <c r="D126" s="11" t="s">
        <v>1153</v>
      </c>
      <c r="E126" s="11" t="s">
        <v>2690</v>
      </c>
      <c r="F126" s="11" t="s">
        <v>221</v>
      </c>
      <c r="G126" s="24" t="s">
        <v>118</v>
      </c>
      <c r="H126" s="25" t="s">
        <v>210</v>
      </c>
      <c r="I126" s="25" t="s">
        <v>210</v>
      </c>
      <c r="J126" s="12"/>
      <c r="K126" s="31" t="str">
        <f>"185,0"</f>
        <v>185,0</v>
      </c>
      <c r="L126" s="12" t="str">
        <f>"119,1400"</f>
        <v>119,1400</v>
      </c>
      <c r="M126" s="11" t="s">
        <v>1797</v>
      </c>
    </row>
    <row r="127" spans="1:13">
      <c r="A127" s="12" t="s">
        <v>353</v>
      </c>
      <c r="B127" s="11" t="s">
        <v>1798</v>
      </c>
      <c r="C127" s="11" t="s">
        <v>1799</v>
      </c>
      <c r="D127" s="11" t="s">
        <v>1800</v>
      </c>
      <c r="E127" s="11" t="s">
        <v>2690</v>
      </c>
      <c r="F127" s="11" t="s">
        <v>2616</v>
      </c>
      <c r="G127" s="24" t="s">
        <v>46</v>
      </c>
      <c r="H127" s="25" t="s">
        <v>116</v>
      </c>
      <c r="I127" s="24" t="s">
        <v>116</v>
      </c>
      <c r="J127" s="12"/>
      <c r="K127" s="31" t="str">
        <f>"175,0"</f>
        <v>175,0</v>
      </c>
      <c r="L127" s="12" t="str">
        <f>"113,5925"</f>
        <v>113,5925</v>
      </c>
      <c r="M127" s="11"/>
    </row>
    <row r="128" spans="1:13">
      <c r="A128" s="12" t="s">
        <v>354</v>
      </c>
      <c r="B128" s="11" t="s">
        <v>1801</v>
      </c>
      <c r="C128" s="11" t="s">
        <v>1802</v>
      </c>
      <c r="D128" s="11" t="s">
        <v>169</v>
      </c>
      <c r="E128" s="11" t="s">
        <v>2690</v>
      </c>
      <c r="F128" s="11" t="s">
        <v>1734</v>
      </c>
      <c r="G128" s="24" t="s">
        <v>47</v>
      </c>
      <c r="H128" s="24" t="s">
        <v>59</v>
      </c>
      <c r="I128" s="25" t="s">
        <v>166</v>
      </c>
      <c r="J128" s="12"/>
      <c r="K128" s="31" t="str">
        <f>"160,0"</f>
        <v>160,0</v>
      </c>
      <c r="L128" s="12" t="str">
        <f>"103,2800"</f>
        <v>103,2800</v>
      </c>
      <c r="M128" s="11"/>
    </row>
    <row r="129" spans="1:13">
      <c r="A129" s="12" t="s">
        <v>355</v>
      </c>
      <c r="B129" s="11" t="s">
        <v>1803</v>
      </c>
      <c r="C129" s="11" t="s">
        <v>1804</v>
      </c>
      <c r="D129" s="11" t="s">
        <v>1805</v>
      </c>
      <c r="E129" s="11" t="s">
        <v>2690</v>
      </c>
      <c r="F129" s="11" t="s">
        <v>221</v>
      </c>
      <c r="G129" s="24" t="s">
        <v>51</v>
      </c>
      <c r="H129" s="24" t="s">
        <v>46</v>
      </c>
      <c r="I129" s="25" t="s">
        <v>59</v>
      </c>
      <c r="J129" s="12"/>
      <c r="K129" s="31" t="str">
        <f>"152,5"</f>
        <v>152,5</v>
      </c>
      <c r="L129" s="12" t="str">
        <f>"98,7437"</f>
        <v>98,7437</v>
      </c>
      <c r="M129" s="11"/>
    </row>
    <row r="130" spans="1:13">
      <c r="A130" s="12" t="s">
        <v>356</v>
      </c>
      <c r="B130" s="11" t="s">
        <v>1806</v>
      </c>
      <c r="C130" s="11" t="s">
        <v>1807</v>
      </c>
      <c r="D130" s="11" t="s">
        <v>1369</v>
      </c>
      <c r="E130" s="11" t="s">
        <v>2690</v>
      </c>
      <c r="F130" s="11" t="s">
        <v>221</v>
      </c>
      <c r="G130" s="25" t="s">
        <v>45</v>
      </c>
      <c r="H130" s="24" t="s">
        <v>52</v>
      </c>
      <c r="I130" s="25" t="s">
        <v>47</v>
      </c>
      <c r="J130" s="12"/>
      <c r="K130" s="31" t="str">
        <f>"150,0"</f>
        <v>150,0</v>
      </c>
      <c r="L130" s="12" t="str">
        <f>"96,9450"</f>
        <v>96,9450</v>
      </c>
      <c r="M130" s="11"/>
    </row>
    <row r="131" spans="1:13">
      <c r="A131" s="12" t="s">
        <v>357</v>
      </c>
      <c r="B131" s="11" t="s">
        <v>1808</v>
      </c>
      <c r="C131" s="11" t="s">
        <v>1809</v>
      </c>
      <c r="D131" s="11" t="s">
        <v>1810</v>
      </c>
      <c r="E131" s="11" t="s">
        <v>2690</v>
      </c>
      <c r="F131" s="11" t="s">
        <v>370</v>
      </c>
      <c r="G131" s="24" t="s">
        <v>93</v>
      </c>
      <c r="H131" s="25" t="s">
        <v>414</v>
      </c>
      <c r="I131" s="25" t="s">
        <v>414</v>
      </c>
      <c r="J131" s="12"/>
      <c r="K131" s="31" t="str">
        <f>"142,5"</f>
        <v>142,5</v>
      </c>
      <c r="L131" s="12" t="str">
        <f>"92,7247"</f>
        <v>92,7247</v>
      </c>
      <c r="M131" s="11" t="s">
        <v>371</v>
      </c>
    </row>
    <row r="132" spans="1:13">
      <c r="A132" s="12" t="s">
        <v>358</v>
      </c>
      <c r="B132" s="11" t="s">
        <v>1811</v>
      </c>
      <c r="C132" s="11" t="s">
        <v>1812</v>
      </c>
      <c r="D132" s="11" t="s">
        <v>447</v>
      </c>
      <c r="E132" s="11" t="s">
        <v>2690</v>
      </c>
      <c r="F132" s="11" t="s">
        <v>1290</v>
      </c>
      <c r="G132" s="24" t="s">
        <v>93</v>
      </c>
      <c r="H132" s="25" t="s">
        <v>414</v>
      </c>
      <c r="I132" s="25" t="s">
        <v>46</v>
      </c>
      <c r="J132" s="12"/>
      <c r="K132" s="31" t="str">
        <f>"142,5"</f>
        <v>142,5</v>
      </c>
      <c r="L132" s="12" t="str">
        <f>"91,5990"</f>
        <v>91,5990</v>
      </c>
      <c r="M132" s="11"/>
    </row>
    <row r="133" spans="1:13">
      <c r="A133" s="12" t="s">
        <v>761</v>
      </c>
      <c r="B133" s="11" t="s">
        <v>1813</v>
      </c>
      <c r="C133" s="11" t="s">
        <v>1814</v>
      </c>
      <c r="D133" s="11" t="s">
        <v>1815</v>
      </c>
      <c r="E133" s="11" t="s">
        <v>2690</v>
      </c>
      <c r="F133" s="11" t="s">
        <v>221</v>
      </c>
      <c r="G133" s="24" t="s">
        <v>154</v>
      </c>
      <c r="H133" s="25" t="s">
        <v>46</v>
      </c>
      <c r="I133" s="25" t="s">
        <v>46</v>
      </c>
      <c r="J133" s="12"/>
      <c r="K133" s="31" t="str">
        <f>"140,0"</f>
        <v>140,0</v>
      </c>
      <c r="L133" s="12" t="str">
        <f>"90,2160"</f>
        <v>90,2160</v>
      </c>
      <c r="M133" s="11" t="s">
        <v>1816</v>
      </c>
    </row>
    <row r="134" spans="1:13">
      <c r="A134" s="12" t="s">
        <v>762</v>
      </c>
      <c r="B134" s="11" t="s">
        <v>1817</v>
      </c>
      <c r="C134" s="11" t="s">
        <v>1818</v>
      </c>
      <c r="D134" s="11" t="s">
        <v>615</v>
      </c>
      <c r="E134" s="11" t="s">
        <v>2690</v>
      </c>
      <c r="F134" s="11" t="s">
        <v>221</v>
      </c>
      <c r="G134" s="24" t="s">
        <v>51</v>
      </c>
      <c r="H134" s="25" t="s">
        <v>45</v>
      </c>
      <c r="I134" s="25" t="s">
        <v>45</v>
      </c>
      <c r="J134" s="12"/>
      <c r="K134" s="31" t="str">
        <f>"135,0"</f>
        <v>135,0</v>
      </c>
      <c r="L134" s="12" t="str">
        <f>"86,5350"</f>
        <v>86,5350</v>
      </c>
      <c r="M134" s="11" t="s">
        <v>1344</v>
      </c>
    </row>
    <row r="135" spans="1:13">
      <c r="A135" s="12" t="s">
        <v>1541</v>
      </c>
      <c r="B135" s="11" t="s">
        <v>1819</v>
      </c>
      <c r="C135" s="11" t="s">
        <v>1820</v>
      </c>
      <c r="D135" s="11" t="s">
        <v>1821</v>
      </c>
      <c r="E135" s="11" t="s">
        <v>2690</v>
      </c>
      <c r="F135" s="11" t="s">
        <v>931</v>
      </c>
      <c r="G135" s="24" t="s">
        <v>365</v>
      </c>
      <c r="H135" s="25" t="s">
        <v>376</v>
      </c>
      <c r="I135" s="25" t="s">
        <v>376</v>
      </c>
      <c r="J135" s="12"/>
      <c r="K135" s="31" t="str">
        <f>"132,5"</f>
        <v>132,5</v>
      </c>
      <c r="L135" s="12" t="str">
        <f>"86,4298"</f>
        <v>86,4298</v>
      </c>
      <c r="M135" s="11"/>
    </row>
    <row r="136" spans="1:13">
      <c r="A136" s="12" t="s">
        <v>1542</v>
      </c>
      <c r="B136" s="11" t="s">
        <v>1822</v>
      </c>
      <c r="C136" s="11" t="s">
        <v>1823</v>
      </c>
      <c r="D136" s="11" t="s">
        <v>1369</v>
      </c>
      <c r="E136" s="11" t="s">
        <v>2690</v>
      </c>
      <c r="F136" s="11" t="s">
        <v>1824</v>
      </c>
      <c r="G136" s="25" t="s">
        <v>84</v>
      </c>
      <c r="H136" s="24" t="s">
        <v>84</v>
      </c>
      <c r="I136" s="24" t="s">
        <v>365</v>
      </c>
      <c r="J136" s="12"/>
      <c r="K136" s="31" t="str">
        <f>"132,5"</f>
        <v>132,5</v>
      </c>
      <c r="L136" s="12" t="str">
        <f>"85,6348"</f>
        <v>85,6348</v>
      </c>
      <c r="M136" s="11"/>
    </row>
    <row r="137" spans="1:13">
      <c r="A137" s="12" t="s">
        <v>1992</v>
      </c>
      <c r="B137" s="11" t="s">
        <v>1825</v>
      </c>
      <c r="C137" s="11" t="s">
        <v>1826</v>
      </c>
      <c r="D137" s="11" t="s">
        <v>447</v>
      </c>
      <c r="E137" s="11" t="s">
        <v>2690</v>
      </c>
      <c r="F137" s="11" t="s">
        <v>1827</v>
      </c>
      <c r="G137" s="24" t="s">
        <v>365</v>
      </c>
      <c r="H137" s="25" t="s">
        <v>154</v>
      </c>
      <c r="I137" s="25" t="s">
        <v>154</v>
      </c>
      <c r="J137" s="12"/>
      <c r="K137" s="31" t="str">
        <f>"132,5"</f>
        <v>132,5</v>
      </c>
      <c r="L137" s="12" t="str">
        <f>"85,1710"</f>
        <v>85,1710</v>
      </c>
      <c r="M137" s="11"/>
    </row>
    <row r="138" spans="1:13">
      <c r="A138" s="12" t="s">
        <v>352</v>
      </c>
      <c r="B138" s="11" t="s">
        <v>1828</v>
      </c>
      <c r="C138" s="11" t="s">
        <v>1829</v>
      </c>
      <c r="D138" s="11" t="s">
        <v>1028</v>
      </c>
      <c r="E138" s="11" t="s">
        <v>2690</v>
      </c>
      <c r="F138" s="11" t="s">
        <v>221</v>
      </c>
      <c r="G138" s="25" t="s">
        <v>116</v>
      </c>
      <c r="H138" s="25" t="s">
        <v>116</v>
      </c>
      <c r="I138" s="25" t="s">
        <v>116</v>
      </c>
      <c r="J138" s="12"/>
      <c r="K138" s="31">
        <v>0</v>
      </c>
      <c r="L138" s="12" t="str">
        <f>"0,0000"</f>
        <v>0,0000</v>
      </c>
      <c r="M138" s="11"/>
    </row>
    <row r="139" spans="1:13">
      <c r="A139" s="12" t="s">
        <v>349</v>
      </c>
      <c r="B139" s="11" t="s">
        <v>1830</v>
      </c>
      <c r="C139" s="11" t="s">
        <v>1831</v>
      </c>
      <c r="D139" s="11" t="s">
        <v>157</v>
      </c>
      <c r="E139" s="11" t="s">
        <v>2693</v>
      </c>
      <c r="F139" s="11" t="s">
        <v>147</v>
      </c>
      <c r="G139" s="24" t="s">
        <v>109</v>
      </c>
      <c r="H139" s="24" t="s">
        <v>116</v>
      </c>
      <c r="I139" s="24" t="s">
        <v>60</v>
      </c>
      <c r="J139" s="12"/>
      <c r="K139" s="31" t="str">
        <f>"180,0"</f>
        <v>180,0</v>
      </c>
      <c r="L139" s="12" t="str">
        <f>"123,8751"</f>
        <v>123,8751</v>
      </c>
      <c r="M139" s="11"/>
    </row>
    <row r="140" spans="1:13">
      <c r="A140" s="12" t="s">
        <v>351</v>
      </c>
      <c r="B140" s="11" t="s">
        <v>1832</v>
      </c>
      <c r="C140" s="11" t="s">
        <v>1833</v>
      </c>
      <c r="D140" s="11" t="s">
        <v>1834</v>
      </c>
      <c r="E140" s="11" t="s">
        <v>2693</v>
      </c>
      <c r="F140" s="11" t="s">
        <v>1343</v>
      </c>
      <c r="G140" s="24" t="s">
        <v>52</v>
      </c>
      <c r="H140" s="24" t="s">
        <v>59</v>
      </c>
      <c r="I140" s="24" t="s">
        <v>166</v>
      </c>
      <c r="J140" s="12"/>
      <c r="K140" s="31" t="str">
        <f>"165,0"</f>
        <v>165,0</v>
      </c>
      <c r="L140" s="12" t="str">
        <f>"105,8145"</f>
        <v>105,8145</v>
      </c>
      <c r="M140" s="11"/>
    </row>
    <row r="141" spans="1:13">
      <c r="A141" s="12" t="s">
        <v>349</v>
      </c>
      <c r="B141" s="11" t="s">
        <v>1835</v>
      </c>
      <c r="C141" s="11" t="s">
        <v>1836</v>
      </c>
      <c r="D141" s="11" t="s">
        <v>1837</v>
      </c>
      <c r="E141" s="11" t="s">
        <v>2695</v>
      </c>
      <c r="F141" s="11" t="s">
        <v>221</v>
      </c>
      <c r="G141" s="24" t="s">
        <v>46</v>
      </c>
      <c r="H141" s="24" t="s">
        <v>47</v>
      </c>
      <c r="I141" s="25" t="s">
        <v>136</v>
      </c>
      <c r="J141" s="12"/>
      <c r="K141" s="31" t="str">
        <f>"155,0"</f>
        <v>155,0</v>
      </c>
      <c r="L141" s="12" t="str">
        <f>"120,9879"</f>
        <v>120,9879</v>
      </c>
      <c r="M141" s="11"/>
    </row>
    <row r="142" spans="1:13">
      <c r="A142" s="12" t="s">
        <v>349</v>
      </c>
      <c r="B142" s="11" t="s">
        <v>1838</v>
      </c>
      <c r="C142" s="11" t="s">
        <v>1839</v>
      </c>
      <c r="D142" s="11" t="s">
        <v>1840</v>
      </c>
      <c r="E142" s="11" t="s">
        <v>2694</v>
      </c>
      <c r="F142" s="11" t="s">
        <v>1601</v>
      </c>
      <c r="G142" s="24" t="s">
        <v>414</v>
      </c>
      <c r="H142" s="24" t="s">
        <v>47</v>
      </c>
      <c r="I142" s="25" t="s">
        <v>136</v>
      </c>
      <c r="J142" s="12"/>
      <c r="K142" s="31" t="str">
        <f>"155,0"</f>
        <v>155,0</v>
      </c>
      <c r="L142" s="12" t="str">
        <f>"139,6753"</f>
        <v>139,6753</v>
      </c>
      <c r="M142" s="11"/>
    </row>
    <row r="143" spans="1:13">
      <c r="A143" s="14" t="s">
        <v>349</v>
      </c>
      <c r="B143" s="13" t="s">
        <v>1841</v>
      </c>
      <c r="C143" s="13" t="s">
        <v>1842</v>
      </c>
      <c r="D143" s="13" t="s">
        <v>1843</v>
      </c>
      <c r="E143" s="13" t="s">
        <v>2696</v>
      </c>
      <c r="F143" s="13" t="s">
        <v>1005</v>
      </c>
      <c r="G143" s="27" t="s">
        <v>66</v>
      </c>
      <c r="H143" s="26" t="s">
        <v>853</v>
      </c>
      <c r="I143" s="26" t="s">
        <v>83</v>
      </c>
      <c r="J143" s="14"/>
      <c r="K143" s="30" t="str">
        <f>"110,0"</f>
        <v>110,0</v>
      </c>
      <c r="L143" s="14" t="str">
        <f>"135,5783"</f>
        <v>135,5783</v>
      </c>
      <c r="M143" s="13" t="s">
        <v>1844</v>
      </c>
    </row>
    <row r="144" spans="1:13">
      <c r="B144" s="5" t="s">
        <v>350</v>
      </c>
    </row>
    <row r="145" spans="1:13" ht="16">
      <c r="A145" s="82" t="s">
        <v>183</v>
      </c>
      <c r="B145" s="82"/>
      <c r="C145" s="82"/>
      <c r="D145" s="82"/>
      <c r="E145" s="82"/>
      <c r="F145" s="82"/>
      <c r="G145" s="82"/>
      <c r="H145" s="82"/>
      <c r="I145" s="82"/>
      <c r="J145" s="82"/>
    </row>
    <row r="146" spans="1:13">
      <c r="A146" s="10" t="s">
        <v>349</v>
      </c>
      <c r="B146" s="9" t="s">
        <v>1845</v>
      </c>
      <c r="C146" s="9" t="s">
        <v>1846</v>
      </c>
      <c r="D146" s="9" t="s">
        <v>1426</v>
      </c>
      <c r="E146" s="9" t="s">
        <v>2692</v>
      </c>
      <c r="F146" s="9" t="s">
        <v>1347</v>
      </c>
      <c r="G146" s="22" t="s">
        <v>17</v>
      </c>
      <c r="H146" s="22" t="s">
        <v>18</v>
      </c>
      <c r="I146" s="22" t="s">
        <v>22</v>
      </c>
      <c r="J146" s="10"/>
      <c r="K146" s="29" t="str">
        <f>"70,0"</f>
        <v>70,0</v>
      </c>
      <c r="L146" s="10" t="str">
        <f>"44,3170"</f>
        <v>44,3170</v>
      </c>
      <c r="M146" s="9" t="s">
        <v>371</v>
      </c>
    </row>
    <row r="147" spans="1:13">
      <c r="A147" s="12" t="s">
        <v>349</v>
      </c>
      <c r="B147" s="11" t="s">
        <v>1847</v>
      </c>
      <c r="C147" s="11" t="s">
        <v>1848</v>
      </c>
      <c r="D147" s="11" t="s">
        <v>200</v>
      </c>
      <c r="E147" s="11" t="s">
        <v>2689</v>
      </c>
      <c r="F147" s="11" t="s">
        <v>434</v>
      </c>
      <c r="G147" s="24" t="s">
        <v>284</v>
      </c>
      <c r="H147" s="25" t="s">
        <v>31</v>
      </c>
      <c r="I147" s="24" t="s">
        <v>31</v>
      </c>
      <c r="J147" s="25" t="s">
        <v>195</v>
      </c>
      <c r="K147" s="31" t="str">
        <f>"205,0"</f>
        <v>205,0</v>
      </c>
      <c r="L147" s="12" t="str">
        <f>"125,8495"</f>
        <v>125,8495</v>
      </c>
      <c r="M147" s="11"/>
    </row>
    <row r="148" spans="1:13">
      <c r="A148" s="12" t="s">
        <v>349</v>
      </c>
      <c r="B148" s="11" t="s">
        <v>1849</v>
      </c>
      <c r="C148" s="11" t="s">
        <v>1850</v>
      </c>
      <c r="D148" s="11" t="s">
        <v>633</v>
      </c>
      <c r="E148" s="11" t="s">
        <v>2690</v>
      </c>
      <c r="F148" s="11" t="s">
        <v>538</v>
      </c>
      <c r="G148" s="24" t="s">
        <v>284</v>
      </c>
      <c r="H148" s="25" t="s">
        <v>31</v>
      </c>
      <c r="I148" s="24" t="s">
        <v>31</v>
      </c>
      <c r="J148" s="12"/>
      <c r="K148" s="31" t="str">
        <f>"205,0"</f>
        <v>205,0</v>
      </c>
      <c r="L148" s="12" t="str">
        <f>"126,0750"</f>
        <v>126,0750</v>
      </c>
      <c r="M148" s="11"/>
    </row>
    <row r="149" spans="1:13">
      <c r="A149" s="12" t="s">
        <v>351</v>
      </c>
      <c r="B149" s="11" t="s">
        <v>1847</v>
      </c>
      <c r="C149" s="11" t="s">
        <v>1851</v>
      </c>
      <c r="D149" s="11" t="s">
        <v>200</v>
      </c>
      <c r="E149" s="11" t="s">
        <v>2690</v>
      </c>
      <c r="F149" s="11" t="s">
        <v>434</v>
      </c>
      <c r="G149" s="24" t="s">
        <v>284</v>
      </c>
      <c r="H149" s="25" t="s">
        <v>31</v>
      </c>
      <c r="I149" s="24" t="s">
        <v>31</v>
      </c>
      <c r="J149" s="25" t="s">
        <v>195</v>
      </c>
      <c r="K149" s="31" t="str">
        <f>"205,0"</f>
        <v>205,0</v>
      </c>
      <c r="L149" s="12" t="str">
        <f>"125,8495"</f>
        <v>125,8495</v>
      </c>
      <c r="M149" s="11"/>
    </row>
    <row r="150" spans="1:13">
      <c r="A150" s="12" t="s">
        <v>353</v>
      </c>
      <c r="B150" s="11" t="s">
        <v>1852</v>
      </c>
      <c r="C150" s="11" t="s">
        <v>1853</v>
      </c>
      <c r="D150" s="11" t="s">
        <v>1053</v>
      </c>
      <c r="E150" s="11" t="s">
        <v>2690</v>
      </c>
      <c r="F150" s="11" t="s">
        <v>1687</v>
      </c>
      <c r="G150" s="24" t="s">
        <v>118</v>
      </c>
      <c r="H150" s="24" t="s">
        <v>284</v>
      </c>
      <c r="I150" s="24" t="s">
        <v>38</v>
      </c>
      <c r="J150" s="12"/>
      <c r="K150" s="31" t="str">
        <f>"200,0"</f>
        <v>200,0</v>
      </c>
      <c r="L150" s="12" t="str">
        <f>"123,4800"</f>
        <v>123,4800</v>
      </c>
      <c r="M150" s="11" t="s">
        <v>1854</v>
      </c>
    </row>
    <row r="151" spans="1:13">
      <c r="A151" s="12" t="s">
        <v>354</v>
      </c>
      <c r="B151" s="11" t="s">
        <v>1855</v>
      </c>
      <c r="C151" s="11" t="s">
        <v>1856</v>
      </c>
      <c r="D151" s="11" t="s">
        <v>1857</v>
      </c>
      <c r="E151" s="11" t="s">
        <v>2690</v>
      </c>
      <c r="F151" s="11" t="s">
        <v>1858</v>
      </c>
      <c r="G151" s="25" t="s">
        <v>284</v>
      </c>
      <c r="H151" s="24" t="s">
        <v>38</v>
      </c>
      <c r="I151" s="25" t="s">
        <v>195</v>
      </c>
      <c r="J151" s="12"/>
      <c r="K151" s="31" t="str">
        <f>"200,0"</f>
        <v>200,0</v>
      </c>
      <c r="L151" s="12" t="str">
        <f>"122,8400"</f>
        <v>122,8400</v>
      </c>
      <c r="M151" s="11" t="s">
        <v>837</v>
      </c>
    </row>
    <row r="152" spans="1:13">
      <c r="A152" s="12" t="s">
        <v>355</v>
      </c>
      <c r="B152" s="11" t="s">
        <v>1859</v>
      </c>
      <c r="C152" s="11" t="s">
        <v>1860</v>
      </c>
      <c r="D152" s="11" t="s">
        <v>200</v>
      </c>
      <c r="E152" s="11" t="s">
        <v>2690</v>
      </c>
      <c r="F152" s="11" t="s">
        <v>1861</v>
      </c>
      <c r="G152" s="24" t="s">
        <v>116</v>
      </c>
      <c r="H152" s="24" t="s">
        <v>118</v>
      </c>
      <c r="I152" s="24" t="s">
        <v>37</v>
      </c>
      <c r="J152" s="12"/>
      <c r="K152" s="31" t="str">
        <f>"190,0"</f>
        <v>190,0</v>
      </c>
      <c r="L152" s="12" t="str">
        <f>"116,6410"</f>
        <v>116,6410</v>
      </c>
      <c r="M152" s="11"/>
    </row>
    <row r="153" spans="1:13">
      <c r="A153" s="12" t="s">
        <v>356</v>
      </c>
      <c r="B153" s="11" t="s">
        <v>1862</v>
      </c>
      <c r="C153" s="11" t="s">
        <v>1863</v>
      </c>
      <c r="D153" s="11" t="s">
        <v>1864</v>
      </c>
      <c r="E153" s="11" t="s">
        <v>2690</v>
      </c>
      <c r="F153" s="11" t="s">
        <v>221</v>
      </c>
      <c r="G153" s="24" t="s">
        <v>116</v>
      </c>
      <c r="H153" s="25" t="s">
        <v>118</v>
      </c>
      <c r="I153" s="24" t="s">
        <v>118</v>
      </c>
      <c r="J153" s="12"/>
      <c r="K153" s="31" t="str">
        <f>"185,0"</f>
        <v>185,0</v>
      </c>
      <c r="L153" s="12" t="str">
        <f>"113,0905"</f>
        <v>113,0905</v>
      </c>
      <c r="M153" s="11"/>
    </row>
    <row r="154" spans="1:13">
      <c r="A154" s="12" t="s">
        <v>357</v>
      </c>
      <c r="B154" s="11" t="s">
        <v>1865</v>
      </c>
      <c r="C154" s="11" t="s">
        <v>1866</v>
      </c>
      <c r="D154" s="11" t="s">
        <v>1867</v>
      </c>
      <c r="E154" s="11" t="s">
        <v>2690</v>
      </c>
      <c r="F154" s="11" t="s">
        <v>730</v>
      </c>
      <c r="G154" s="24" t="s">
        <v>47</v>
      </c>
      <c r="H154" s="24" t="s">
        <v>59</v>
      </c>
      <c r="I154" s="24" t="s">
        <v>166</v>
      </c>
      <c r="J154" s="12"/>
      <c r="K154" s="31" t="str">
        <f>"165,0"</f>
        <v>165,0</v>
      </c>
      <c r="L154" s="12" t="str">
        <f>"100,5840"</f>
        <v>100,5840</v>
      </c>
      <c r="M154" s="11"/>
    </row>
    <row r="155" spans="1:13">
      <c r="A155" s="12" t="s">
        <v>358</v>
      </c>
      <c r="B155" s="11" t="s">
        <v>470</v>
      </c>
      <c r="C155" s="11" t="s">
        <v>471</v>
      </c>
      <c r="D155" s="11" t="s">
        <v>472</v>
      </c>
      <c r="E155" s="11" t="s">
        <v>2690</v>
      </c>
      <c r="F155" s="11" t="s">
        <v>147</v>
      </c>
      <c r="G155" s="24" t="s">
        <v>52</v>
      </c>
      <c r="H155" s="25" t="s">
        <v>226</v>
      </c>
      <c r="I155" s="25" t="s">
        <v>226</v>
      </c>
      <c r="J155" s="12"/>
      <c r="K155" s="31" t="str">
        <f>"150,0"</f>
        <v>150,0</v>
      </c>
      <c r="L155" s="12" t="str">
        <f>"91,2900"</f>
        <v>91,2900</v>
      </c>
      <c r="M155" s="11" t="s">
        <v>430</v>
      </c>
    </row>
    <row r="156" spans="1:13">
      <c r="A156" s="12" t="s">
        <v>761</v>
      </c>
      <c r="B156" s="11" t="s">
        <v>473</v>
      </c>
      <c r="C156" s="11" t="s">
        <v>474</v>
      </c>
      <c r="D156" s="11" t="s">
        <v>232</v>
      </c>
      <c r="E156" s="11" t="s">
        <v>2690</v>
      </c>
      <c r="F156" s="11" t="s">
        <v>135</v>
      </c>
      <c r="G156" s="24" t="s">
        <v>154</v>
      </c>
      <c r="H156" s="25" t="s">
        <v>45</v>
      </c>
      <c r="I156" s="25" t="s">
        <v>45</v>
      </c>
      <c r="J156" s="12"/>
      <c r="K156" s="31" t="str">
        <f>"140,0"</f>
        <v>140,0</v>
      </c>
      <c r="L156" s="12" t="str">
        <f>"85,7220"</f>
        <v>85,7220</v>
      </c>
      <c r="M156" s="11"/>
    </row>
    <row r="157" spans="1:13">
      <c r="A157" s="12" t="s">
        <v>349</v>
      </c>
      <c r="B157" s="11" t="s">
        <v>1868</v>
      </c>
      <c r="C157" s="11" t="s">
        <v>1869</v>
      </c>
      <c r="D157" s="11" t="s">
        <v>633</v>
      </c>
      <c r="E157" s="11" t="s">
        <v>2693</v>
      </c>
      <c r="F157" s="11" t="s">
        <v>370</v>
      </c>
      <c r="G157" s="24" t="s">
        <v>116</v>
      </c>
      <c r="H157" s="24" t="s">
        <v>60</v>
      </c>
      <c r="I157" s="25" t="s">
        <v>117</v>
      </c>
      <c r="J157" s="12"/>
      <c r="K157" s="31" t="str">
        <f>"180,0"</f>
        <v>180,0</v>
      </c>
      <c r="L157" s="12" t="str">
        <f>"119,3346"</f>
        <v>119,3346</v>
      </c>
      <c r="M157" s="11" t="s">
        <v>371</v>
      </c>
    </row>
    <row r="158" spans="1:13">
      <c r="A158" s="12" t="s">
        <v>351</v>
      </c>
      <c r="B158" s="11" t="s">
        <v>1870</v>
      </c>
      <c r="C158" s="11" t="s">
        <v>1871</v>
      </c>
      <c r="D158" s="11" t="s">
        <v>1872</v>
      </c>
      <c r="E158" s="11" t="s">
        <v>2693</v>
      </c>
      <c r="F158" s="11" t="s">
        <v>1873</v>
      </c>
      <c r="G158" s="25" t="s">
        <v>109</v>
      </c>
      <c r="H158" s="24" t="s">
        <v>127</v>
      </c>
      <c r="I158" s="24" t="s">
        <v>116</v>
      </c>
      <c r="J158" s="12"/>
      <c r="K158" s="31" t="str">
        <f>"175,0"</f>
        <v>175,0</v>
      </c>
      <c r="L158" s="12" t="str">
        <f>"119,7599"</f>
        <v>119,7599</v>
      </c>
      <c r="M158" s="11"/>
    </row>
    <row r="159" spans="1:13">
      <c r="A159" s="12" t="s">
        <v>353</v>
      </c>
      <c r="B159" s="11" t="s">
        <v>1874</v>
      </c>
      <c r="C159" s="11" t="s">
        <v>1875</v>
      </c>
      <c r="D159" s="11" t="s">
        <v>1178</v>
      </c>
      <c r="E159" s="11" t="s">
        <v>2693</v>
      </c>
      <c r="F159" s="11" t="s">
        <v>1876</v>
      </c>
      <c r="G159" s="24" t="s">
        <v>166</v>
      </c>
      <c r="H159" s="25" t="s">
        <v>116</v>
      </c>
      <c r="I159" s="25" t="s">
        <v>116</v>
      </c>
      <c r="J159" s="12"/>
      <c r="K159" s="31" t="str">
        <f>"165,0"</f>
        <v>165,0</v>
      </c>
      <c r="L159" s="12" t="str">
        <f>"113,9918"</f>
        <v>113,9918</v>
      </c>
      <c r="M159" s="11"/>
    </row>
    <row r="160" spans="1:13">
      <c r="A160" s="12" t="s">
        <v>354</v>
      </c>
      <c r="B160" s="11" t="s">
        <v>1865</v>
      </c>
      <c r="C160" s="11" t="s">
        <v>1877</v>
      </c>
      <c r="D160" s="11" t="s">
        <v>1867</v>
      </c>
      <c r="E160" s="11" t="s">
        <v>2693</v>
      </c>
      <c r="F160" s="11" t="s">
        <v>730</v>
      </c>
      <c r="G160" s="24" t="s">
        <v>47</v>
      </c>
      <c r="H160" s="24" t="s">
        <v>59</v>
      </c>
      <c r="I160" s="24" t="s">
        <v>166</v>
      </c>
      <c r="J160" s="12"/>
      <c r="K160" s="31" t="str">
        <f>"165,0"</f>
        <v>165,0</v>
      </c>
      <c r="L160" s="12" t="str">
        <f>"108,4296"</f>
        <v>108,4296</v>
      </c>
      <c r="M160" s="11"/>
    </row>
    <row r="161" spans="1:13">
      <c r="A161" s="12" t="s">
        <v>355</v>
      </c>
      <c r="B161" s="11" t="s">
        <v>1878</v>
      </c>
      <c r="C161" s="11" t="s">
        <v>1879</v>
      </c>
      <c r="D161" s="11" t="s">
        <v>1880</v>
      </c>
      <c r="E161" s="11" t="s">
        <v>2693</v>
      </c>
      <c r="F161" s="11" t="s">
        <v>674</v>
      </c>
      <c r="G161" s="24" t="s">
        <v>45</v>
      </c>
      <c r="H161" s="24" t="s">
        <v>47</v>
      </c>
      <c r="I161" s="25" t="s">
        <v>59</v>
      </c>
      <c r="J161" s="12"/>
      <c r="K161" s="31" t="str">
        <f>"155,0"</f>
        <v>155,0</v>
      </c>
      <c r="L161" s="12" t="str">
        <f>"106,8727"</f>
        <v>106,8727</v>
      </c>
      <c r="M161" s="11"/>
    </row>
    <row r="162" spans="1:13">
      <c r="A162" s="12" t="s">
        <v>349</v>
      </c>
      <c r="B162" s="11" t="s">
        <v>1881</v>
      </c>
      <c r="C162" s="11" t="s">
        <v>1882</v>
      </c>
      <c r="D162" s="11" t="s">
        <v>1032</v>
      </c>
      <c r="E162" s="11" t="s">
        <v>2695</v>
      </c>
      <c r="F162" s="11" t="s">
        <v>1883</v>
      </c>
      <c r="G162" s="24" t="s">
        <v>127</v>
      </c>
      <c r="H162" s="24" t="s">
        <v>117</v>
      </c>
      <c r="I162" s="24" t="s">
        <v>210</v>
      </c>
      <c r="J162" s="25" t="s">
        <v>1884</v>
      </c>
      <c r="K162" s="31" t="str">
        <f>"187,5"</f>
        <v>187,5</v>
      </c>
      <c r="L162" s="12" t="str">
        <f>"138,2317"</f>
        <v>138,2317</v>
      </c>
      <c r="M162" s="11" t="s">
        <v>1885</v>
      </c>
    </row>
    <row r="163" spans="1:13">
      <c r="A163" s="12" t="s">
        <v>351</v>
      </c>
      <c r="B163" s="11" t="s">
        <v>1886</v>
      </c>
      <c r="C163" s="11" t="s">
        <v>1887</v>
      </c>
      <c r="D163" s="11" t="s">
        <v>1888</v>
      </c>
      <c r="E163" s="11" t="s">
        <v>2695</v>
      </c>
      <c r="F163" s="11" t="s">
        <v>419</v>
      </c>
      <c r="G163" s="24" t="s">
        <v>45</v>
      </c>
      <c r="H163" s="24" t="s">
        <v>52</v>
      </c>
      <c r="I163" s="24" t="s">
        <v>47</v>
      </c>
      <c r="J163" s="12"/>
      <c r="K163" s="31" t="str">
        <f>"155,0"</f>
        <v>155,0</v>
      </c>
      <c r="L163" s="12" t="str">
        <f>"124,5814"</f>
        <v>124,5814</v>
      </c>
      <c r="M163" s="11" t="s">
        <v>1179</v>
      </c>
    </row>
    <row r="164" spans="1:13">
      <c r="A164" s="12" t="s">
        <v>353</v>
      </c>
      <c r="B164" s="11" t="s">
        <v>1889</v>
      </c>
      <c r="C164" s="11" t="s">
        <v>1890</v>
      </c>
      <c r="D164" s="11" t="s">
        <v>457</v>
      </c>
      <c r="E164" s="11" t="s">
        <v>2695</v>
      </c>
      <c r="F164" s="11" t="s">
        <v>221</v>
      </c>
      <c r="G164" s="25" t="s">
        <v>45</v>
      </c>
      <c r="H164" s="24" t="s">
        <v>45</v>
      </c>
      <c r="I164" s="25" t="s">
        <v>46</v>
      </c>
      <c r="J164" s="25"/>
      <c r="K164" s="31" t="str">
        <f>"145,0"</f>
        <v>145,0</v>
      </c>
      <c r="L164" s="12" t="str">
        <f>"118,4998"</f>
        <v>118,4998</v>
      </c>
      <c r="M164" s="11"/>
    </row>
    <row r="165" spans="1:13">
      <c r="A165" s="12" t="s">
        <v>354</v>
      </c>
      <c r="B165" s="11" t="s">
        <v>1891</v>
      </c>
      <c r="C165" s="11" t="s">
        <v>1892</v>
      </c>
      <c r="D165" s="11" t="s">
        <v>1893</v>
      </c>
      <c r="E165" s="11" t="s">
        <v>2695</v>
      </c>
      <c r="F165" s="11" t="s">
        <v>641</v>
      </c>
      <c r="G165" s="24" t="s">
        <v>51</v>
      </c>
      <c r="H165" s="24" t="s">
        <v>154</v>
      </c>
      <c r="I165" s="24" t="s">
        <v>45</v>
      </c>
      <c r="J165" s="12"/>
      <c r="K165" s="31" t="str">
        <f>"145,0"</f>
        <v>145,0</v>
      </c>
      <c r="L165" s="12" t="str">
        <f>"113,2269"</f>
        <v>113,2269</v>
      </c>
      <c r="M165" s="11"/>
    </row>
    <row r="166" spans="1:13">
      <c r="A166" s="12" t="s">
        <v>355</v>
      </c>
      <c r="B166" s="11" t="s">
        <v>1894</v>
      </c>
      <c r="C166" s="11" t="s">
        <v>1895</v>
      </c>
      <c r="D166" s="11" t="s">
        <v>1896</v>
      </c>
      <c r="E166" s="11" t="s">
        <v>2695</v>
      </c>
      <c r="F166" s="11" t="s">
        <v>221</v>
      </c>
      <c r="G166" s="25" t="s">
        <v>70</v>
      </c>
      <c r="H166" s="24" t="s">
        <v>154</v>
      </c>
      <c r="I166" s="25" t="s">
        <v>52</v>
      </c>
      <c r="J166" s="12"/>
      <c r="K166" s="31" t="str">
        <f>"140,0"</f>
        <v>140,0</v>
      </c>
      <c r="L166" s="12" t="str">
        <f>"100,5975"</f>
        <v>100,5975</v>
      </c>
      <c r="M166" s="11"/>
    </row>
    <row r="167" spans="1:13">
      <c r="A167" s="12" t="s">
        <v>356</v>
      </c>
      <c r="B167" s="11" t="s">
        <v>1897</v>
      </c>
      <c r="C167" s="11" t="s">
        <v>1898</v>
      </c>
      <c r="D167" s="11" t="s">
        <v>1039</v>
      </c>
      <c r="E167" s="11" t="s">
        <v>2695</v>
      </c>
      <c r="F167" s="11" t="s">
        <v>221</v>
      </c>
      <c r="G167" s="24" t="s">
        <v>84</v>
      </c>
      <c r="H167" s="25" t="s">
        <v>365</v>
      </c>
      <c r="I167" s="24" t="s">
        <v>51</v>
      </c>
      <c r="J167" s="12"/>
      <c r="K167" s="31" t="str">
        <f>"135,0"</f>
        <v>135,0</v>
      </c>
      <c r="L167" s="12" t="str">
        <f>"94,7956"</f>
        <v>94,7956</v>
      </c>
      <c r="M167" s="11"/>
    </row>
    <row r="168" spans="1:13">
      <c r="A168" s="14" t="s">
        <v>349</v>
      </c>
      <c r="B168" s="13" t="s">
        <v>1424</v>
      </c>
      <c r="C168" s="13" t="s">
        <v>1425</v>
      </c>
      <c r="D168" s="13" t="s">
        <v>1426</v>
      </c>
      <c r="E168" s="13" t="s">
        <v>2694</v>
      </c>
      <c r="F168" s="13" t="s">
        <v>1427</v>
      </c>
      <c r="G168" s="26" t="s">
        <v>154</v>
      </c>
      <c r="H168" s="26" t="s">
        <v>93</v>
      </c>
      <c r="I168" s="26" t="s">
        <v>52</v>
      </c>
      <c r="J168" s="14"/>
      <c r="K168" s="30" t="str">
        <f>"150,0"</f>
        <v>150,0</v>
      </c>
      <c r="L168" s="14" t="str">
        <f>"142,5425"</f>
        <v>142,5425</v>
      </c>
      <c r="M168" s="13"/>
    </row>
    <row r="169" spans="1:13">
      <c r="B169" s="5" t="s">
        <v>350</v>
      </c>
    </row>
    <row r="170" spans="1:13" ht="16">
      <c r="A170" s="82" t="s">
        <v>244</v>
      </c>
      <c r="B170" s="82"/>
      <c r="C170" s="82"/>
      <c r="D170" s="82"/>
      <c r="E170" s="82"/>
      <c r="F170" s="82"/>
      <c r="G170" s="82"/>
      <c r="H170" s="82"/>
      <c r="I170" s="82"/>
      <c r="J170" s="82"/>
    </row>
    <row r="171" spans="1:13">
      <c r="A171" s="10" t="s">
        <v>349</v>
      </c>
      <c r="B171" s="9" t="s">
        <v>1055</v>
      </c>
      <c r="C171" s="9" t="s">
        <v>1056</v>
      </c>
      <c r="D171" s="9" t="s">
        <v>1057</v>
      </c>
      <c r="E171" s="9" t="s">
        <v>2689</v>
      </c>
      <c r="F171" s="9" t="s">
        <v>313</v>
      </c>
      <c r="G171" s="22" t="s">
        <v>154</v>
      </c>
      <c r="H171" s="22" t="s">
        <v>45</v>
      </c>
      <c r="I171" s="22" t="s">
        <v>414</v>
      </c>
      <c r="J171" s="10"/>
      <c r="K171" s="29" t="str">
        <f>"147,5"</f>
        <v>147,5</v>
      </c>
      <c r="L171" s="10" t="str">
        <f>"89,0753"</f>
        <v>89,0753</v>
      </c>
      <c r="M171" s="9" t="s">
        <v>2359</v>
      </c>
    </row>
    <row r="172" spans="1:13">
      <c r="A172" s="12" t="s">
        <v>349</v>
      </c>
      <c r="B172" s="11" t="s">
        <v>1899</v>
      </c>
      <c r="C172" s="11" t="s">
        <v>1900</v>
      </c>
      <c r="D172" s="11" t="s">
        <v>512</v>
      </c>
      <c r="E172" s="11" t="s">
        <v>2690</v>
      </c>
      <c r="F172" s="11" t="s">
        <v>1901</v>
      </c>
      <c r="G172" s="24" t="s">
        <v>78</v>
      </c>
      <c r="H172" s="24" t="s">
        <v>85</v>
      </c>
      <c r="I172" s="24" t="s">
        <v>100</v>
      </c>
      <c r="J172" s="24" t="s">
        <v>475</v>
      </c>
      <c r="K172" s="31" t="str">
        <f>"240,0"</f>
        <v>240,0</v>
      </c>
      <c r="L172" s="12" t="str">
        <f>"141,6720"</f>
        <v>141,6720</v>
      </c>
      <c r="M172" s="11" t="s">
        <v>1902</v>
      </c>
    </row>
    <row r="173" spans="1:13">
      <c r="A173" s="12" t="s">
        <v>351</v>
      </c>
      <c r="B173" s="11" t="s">
        <v>1903</v>
      </c>
      <c r="C173" s="11" t="s">
        <v>1904</v>
      </c>
      <c r="D173" s="11" t="s">
        <v>692</v>
      </c>
      <c r="E173" s="11" t="s">
        <v>2690</v>
      </c>
      <c r="F173" s="11" t="s">
        <v>840</v>
      </c>
      <c r="G173" s="25" t="s">
        <v>33</v>
      </c>
      <c r="H173" s="24" t="s">
        <v>33</v>
      </c>
      <c r="I173" s="25" t="s">
        <v>85</v>
      </c>
      <c r="J173" s="12"/>
      <c r="K173" s="31" t="str">
        <f>"225,0"</f>
        <v>225,0</v>
      </c>
      <c r="L173" s="12" t="str">
        <f>"132,7500"</f>
        <v>132,7500</v>
      </c>
      <c r="M173" s="11"/>
    </row>
    <row r="174" spans="1:13">
      <c r="A174" s="12" t="s">
        <v>353</v>
      </c>
      <c r="B174" s="11" t="s">
        <v>1905</v>
      </c>
      <c r="C174" s="11" t="s">
        <v>1906</v>
      </c>
      <c r="D174" s="11" t="s">
        <v>1907</v>
      </c>
      <c r="E174" s="11" t="s">
        <v>2690</v>
      </c>
      <c r="F174" s="11" t="s">
        <v>926</v>
      </c>
      <c r="G174" s="24" t="s">
        <v>60</v>
      </c>
      <c r="H174" s="24" t="s">
        <v>37</v>
      </c>
      <c r="I174" s="25" t="s">
        <v>284</v>
      </c>
      <c r="J174" s="12"/>
      <c r="K174" s="31" t="str">
        <f>"190,0"</f>
        <v>190,0</v>
      </c>
      <c r="L174" s="12" t="str">
        <f>"112,1950"</f>
        <v>112,1950</v>
      </c>
      <c r="M174" s="11"/>
    </row>
    <row r="175" spans="1:13">
      <c r="A175" s="12" t="s">
        <v>354</v>
      </c>
      <c r="B175" s="11" t="s">
        <v>1908</v>
      </c>
      <c r="C175" s="11" t="s">
        <v>1738</v>
      </c>
      <c r="D175" s="11" t="s">
        <v>704</v>
      </c>
      <c r="E175" s="11" t="s">
        <v>2690</v>
      </c>
      <c r="F175" s="11" t="s">
        <v>221</v>
      </c>
      <c r="G175" s="24" t="s">
        <v>118</v>
      </c>
      <c r="H175" s="25" t="s">
        <v>284</v>
      </c>
      <c r="I175" s="25" t="s">
        <v>284</v>
      </c>
      <c r="J175" s="12"/>
      <c r="K175" s="31" t="str">
        <f>"185,0"</f>
        <v>185,0</v>
      </c>
      <c r="L175" s="12" t="str">
        <f>"109,1870"</f>
        <v>109,1870</v>
      </c>
      <c r="M175" s="11" t="s">
        <v>1745</v>
      </c>
    </row>
    <row r="176" spans="1:13">
      <c r="A176" s="12" t="s">
        <v>352</v>
      </c>
      <c r="B176" s="11" t="s">
        <v>1909</v>
      </c>
      <c r="C176" s="11" t="s">
        <v>1910</v>
      </c>
      <c r="D176" s="11" t="s">
        <v>478</v>
      </c>
      <c r="E176" s="11" t="s">
        <v>2690</v>
      </c>
      <c r="F176" s="11" t="s">
        <v>221</v>
      </c>
      <c r="G176" s="25" t="s">
        <v>37</v>
      </c>
      <c r="H176" s="25" t="s">
        <v>31</v>
      </c>
      <c r="I176" s="25" t="s">
        <v>31</v>
      </c>
      <c r="J176" s="12"/>
      <c r="K176" s="31">
        <v>0</v>
      </c>
      <c r="L176" s="12" t="str">
        <f>"0,0000"</f>
        <v>0,0000</v>
      </c>
      <c r="M176" s="11" t="s">
        <v>1911</v>
      </c>
    </row>
    <row r="177" spans="1:13">
      <c r="A177" s="12" t="s">
        <v>349</v>
      </c>
      <c r="B177" s="11" t="s">
        <v>1912</v>
      </c>
      <c r="C177" s="11" t="s">
        <v>1913</v>
      </c>
      <c r="D177" s="11" t="s">
        <v>251</v>
      </c>
      <c r="E177" s="11" t="s">
        <v>2693</v>
      </c>
      <c r="F177" s="11" t="s">
        <v>370</v>
      </c>
      <c r="G177" s="24" t="s">
        <v>60</v>
      </c>
      <c r="H177" s="24" t="s">
        <v>210</v>
      </c>
      <c r="I177" s="25" t="s">
        <v>284</v>
      </c>
      <c r="J177" s="12"/>
      <c r="K177" s="31" t="str">
        <f>"187,5"</f>
        <v>187,5</v>
      </c>
      <c r="L177" s="12" t="str">
        <f>"124,0926"</f>
        <v>124,0926</v>
      </c>
      <c r="M177" s="11"/>
    </row>
    <row r="178" spans="1:13">
      <c r="A178" s="12" t="s">
        <v>351</v>
      </c>
      <c r="B178" s="11" t="s">
        <v>1914</v>
      </c>
      <c r="C178" s="11" t="s">
        <v>1915</v>
      </c>
      <c r="D178" s="11" t="s">
        <v>1916</v>
      </c>
      <c r="E178" s="11" t="s">
        <v>2693</v>
      </c>
      <c r="F178" s="11" t="s">
        <v>104</v>
      </c>
      <c r="G178" s="24" t="s">
        <v>109</v>
      </c>
      <c r="H178" s="25" t="s">
        <v>116</v>
      </c>
      <c r="I178" s="12"/>
      <c r="J178" s="12"/>
      <c r="K178" s="31" t="str">
        <f>"170,0"</f>
        <v>170,0</v>
      </c>
      <c r="L178" s="12" t="str">
        <f>"116,1375"</f>
        <v>116,1375</v>
      </c>
      <c r="M178" s="11" t="s">
        <v>371</v>
      </c>
    </row>
    <row r="179" spans="1:13">
      <c r="A179" s="12" t="s">
        <v>353</v>
      </c>
      <c r="B179" s="11" t="s">
        <v>1917</v>
      </c>
      <c r="C179" s="11" t="s">
        <v>1918</v>
      </c>
      <c r="D179" s="11" t="s">
        <v>1919</v>
      </c>
      <c r="E179" s="11" t="s">
        <v>2693</v>
      </c>
      <c r="F179" s="11" t="s">
        <v>221</v>
      </c>
      <c r="G179" s="24" t="s">
        <v>59</v>
      </c>
      <c r="H179" s="25" t="s">
        <v>148</v>
      </c>
      <c r="I179" s="24" t="s">
        <v>148</v>
      </c>
      <c r="J179" s="12"/>
      <c r="K179" s="31" t="str">
        <f>"167,5"</f>
        <v>167,5</v>
      </c>
      <c r="L179" s="12" t="str">
        <f>"107,4710"</f>
        <v>107,4710</v>
      </c>
      <c r="M179" s="11" t="s">
        <v>234</v>
      </c>
    </row>
    <row r="180" spans="1:13">
      <c r="A180" s="12" t="s">
        <v>349</v>
      </c>
      <c r="B180" s="11" t="s">
        <v>1920</v>
      </c>
      <c r="C180" s="11" t="s">
        <v>1921</v>
      </c>
      <c r="D180" s="11" t="s">
        <v>1453</v>
      </c>
      <c r="E180" s="11" t="s">
        <v>2695</v>
      </c>
      <c r="F180" s="11" t="s">
        <v>221</v>
      </c>
      <c r="G180" s="24" t="s">
        <v>136</v>
      </c>
      <c r="H180" s="25" t="s">
        <v>226</v>
      </c>
      <c r="I180" s="25" t="s">
        <v>226</v>
      </c>
      <c r="J180" s="12"/>
      <c r="K180" s="31" t="str">
        <f>"157,5"</f>
        <v>157,5</v>
      </c>
      <c r="L180" s="12" t="str">
        <f>"109,1803"</f>
        <v>109,1803</v>
      </c>
      <c r="M180" s="11"/>
    </row>
    <row r="181" spans="1:13">
      <c r="A181" s="12" t="s">
        <v>349</v>
      </c>
      <c r="B181" s="11" t="s">
        <v>1922</v>
      </c>
      <c r="C181" s="11" t="s">
        <v>1923</v>
      </c>
      <c r="D181" s="11" t="s">
        <v>1924</v>
      </c>
      <c r="E181" s="11" t="s">
        <v>2694</v>
      </c>
      <c r="F181" s="11" t="s">
        <v>187</v>
      </c>
      <c r="G181" s="24" t="s">
        <v>51</v>
      </c>
      <c r="H181" s="24" t="s">
        <v>154</v>
      </c>
      <c r="I181" s="24" t="s">
        <v>93</v>
      </c>
      <c r="J181" s="12"/>
      <c r="K181" s="31" t="str">
        <f>"142,5"</f>
        <v>142,5</v>
      </c>
      <c r="L181" s="12" t="str">
        <f>"133,9413"</f>
        <v>133,9413</v>
      </c>
      <c r="M181" s="11"/>
    </row>
    <row r="182" spans="1:13">
      <c r="A182" s="14" t="s">
        <v>351</v>
      </c>
      <c r="B182" s="13" t="s">
        <v>1925</v>
      </c>
      <c r="C182" s="13" t="s">
        <v>1926</v>
      </c>
      <c r="D182" s="13" t="s">
        <v>1927</v>
      </c>
      <c r="E182" s="13" t="s">
        <v>2694</v>
      </c>
      <c r="F182" s="13" t="s">
        <v>1928</v>
      </c>
      <c r="G182" s="26" t="s">
        <v>51</v>
      </c>
      <c r="H182" s="26" t="s">
        <v>154</v>
      </c>
      <c r="I182" s="27" t="s">
        <v>45</v>
      </c>
      <c r="J182" s="14"/>
      <c r="K182" s="30" t="str">
        <f>"140,0"</f>
        <v>140,0</v>
      </c>
      <c r="L182" s="14" t="str">
        <f>"125,4536"</f>
        <v>125,4536</v>
      </c>
      <c r="M182" s="13"/>
    </row>
    <row r="183" spans="1:13">
      <c r="B183" s="5" t="s">
        <v>350</v>
      </c>
    </row>
    <row r="184" spans="1:13" ht="16">
      <c r="A184" s="82" t="s">
        <v>276</v>
      </c>
      <c r="B184" s="82"/>
      <c r="C184" s="82"/>
      <c r="D184" s="82"/>
      <c r="E184" s="82"/>
      <c r="F184" s="82"/>
      <c r="G184" s="82"/>
      <c r="H184" s="82"/>
      <c r="I184" s="82"/>
      <c r="J184" s="82"/>
    </row>
    <row r="185" spans="1:13">
      <c r="A185" s="10" t="s">
        <v>349</v>
      </c>
      <c r="B185" s="9" t="s">
        <v>1929</v>
      </c>
      <c r="C185" s="9" t="s">
        <v>1930</v>
      </c>
      <c r="D185" s="9" t="s">
        <v>1931</v>
      </c>
      <c r="E185" s="9" t="s">
        <v>2689</v>
      </c>
      <c r="F185" s="9" t="s">
        <v>221</v>
      </c>
      <c r="G185" s="22" t="s">
        <v>118</v>
      </c>
      <c r="H185" s="22" t="s">
        <v>37</v>
      </c>
      <c r="I185" s="23" t="s">
        <v>284</v>
      </c>
      <c r="J185" s="10"/>
      <c r="K185" s="29" t="str">
        <f>"190,0"</f>
        <v>190,0</v>
      </c>
      <c r="L185" s="10" t="str">
        <f>"109,1550"</f>
        <v>109,1550</v>
      </c>
      <c r="M185" s="9"/>
    </row>
    <row r="186" spans="1:13">
      <c r="A186" s="12" t="s">
        <v>351</v>
      </c>
      <c r="B186" s="11" t="s">
        <v>1932</v>
      </c>
      <c r="C186" s="11" t="s">
        <v>1933</v>
      </c>
      <c r="D186" s="11" t="s">
        <v>1073</v>
      </c>
      <c r="E186" s="11" t="s">
        <v>2689</v>
      </c>
      <c r="F186" s="11" t="s">
        <v>221</v>
      </c>
      <c r="G186" s="25" t="s">
        <v>37</v>
      </c>
      <c r="H186" s="24" t="s">
        <v>37</v>
      </c>
      <c r="I186" s="25" t="s">
        <v>314</v>
      </c>
      <c r="J186" s="12"/>
      <c r="K186" s="31" t="str">
        <f>"190,0"</f>
        <v>190,0</v>
      </c>
      <c r="L186" s="12" t="str">
        <f>"108,7370"</f>
        <v>108,7370</v>
      </c>
      <c r="M186" s="11" t="s">
        <v>1934</v>
      </c>
    </row>
    <row r="187" spans="1:13">
      <c r="A187" s="12" t="s">
        <v>349</v>
      </c>
      <c r="B187" s="11" t="s">
        <v>1935</v>
      </c>
      <c r="C187" s="11" t="s">
        <v>1936</v>
      </c>
      <c r="D187" s="11" t="s">
        <v>1937</v>
      </c>
      <c r="E187" s="11" t="s">
        <v>2690</v>
      </c>
      <c r="F187" s="11" t="s">
        <v>1938</v>
      </c>
      <c r="G187" s="24" t="s">
        <v>314</v>
      </c>
      <c r="H187" s="24" t="s">
        <v>269</v>
      </c>
      <c r="I187" s="24" t="s">
        <v>696</v>
      </c>
      <c r="J187" s="12"/>
      <c r="K187" s="31" t="str">
        <f>"217,5"</f>
        <v>217,5</v>
      </c>
      <c r="L187" s="12" t="str">
        <f>"123,9315"</f>
        <v>123,9315</v>
      </c>
      <c r="M187" s="11"/>
    </row>
    <row r="188" spans="1:13">
      <c r="A188" s="12" t="s">
        <v>351</v>
      </c>
      <c r="B188" s="11" t="s">
        <v>1939</v>
      </c>
      <c r="C188" s="11" t="s">
        <v>1940</v>
      </c>
      <c r="D188" s="11" t="s">
        <v>1941</v>
      </c>
      <c r="E188" s="11" t="s">
        <v>2690</v>
      </c>
      <c r="F188" s="11" t="s">
        <v>313</v>
      </c>
      <c r="G188" s="24" t="s">
        <v>37</v>
      </c>
      <c r="H188" s="24" t="s">
        <v>284</v>
      </c>
      <c r="I188" s="24" t="s">
        <v>38</v>
      </c>
      <c r="J188" s="12"/>
      <c r="K188" s="31" t="str">
        <f>"200,0"</f>
        <v>200,0</v>
      </c>
      <c r="L188" s="12" t="str">
        <f>"117,2000"</f>
        <v>117,2000</v>
      </c>
      <c r="M188" s="11" t="s">
        <v>902</v>
      </c>
    </row>
    <row r="189" spans="1:13">
      <c r="A189" s="12" t="s">
        <v>353</v>
      </c>
      <c r="B189" s="11" t="s">
        <v>1942</v>
      </c>
      <c r="C189" s="11" t="s">
        <v>1943</v>
      </c>
      <c r="D189" s="11" t="s">
        <v>1944</v>
      </c>
      <c r="E189" s="11" t="s">
        <v>2690</v>
      </c>
      <c r="F189" s="11" t="s">
        <v>221</v>
      </c>
      <c r="G189" s="24" t="s">
        <v>188</v>
      </c>
      <c r="H189" s="24" t="s">
        <v>83</v>
      </c>
      <c r="I189" s="24" t="s">
        <v>50</v>
      </c>
      <c r="J189" s="12"/>
      <c r="K189" s="31" t="str">
        <f>"120,0"</f>
        <v>120,0</v>
      </c>
      <c r="L189" s="12" t="str">
        <f>"69,4800"</f>
        <v>69,4800</v>
      </c>
      <c r="M189" s="11" t="s">
        <v>1702</v>
      </c>
    </row>
    <row r="190" spans="1:13">
      <c r="A190" s="12" t="s">
        <v>352</v>
      </c>
      <c r="B190" s="11" t="s">
        <v>1945</v>
      </c>
      <c r="C190" s="11" t="s">
        <v>1946</v>
      </c>
      <c r="D190" s="11" t="s">
        <v>1512</v>
      </c>
      <c r="E190" s="11" t="s">
        <v>2690</v>
      </c>
      <c r="F190" s="11" t="s">
        <v>221</v>
      </c>
      <c r="G190" s="25" t="s">
        <v>38</v>
      </c>
      <c r="H190" s="25" t="s">
        <v>38</v>
      </c>
      <c r="I190" s="12"/>
      <c r="J190" s="12"/>
      <c r="K190" s="31">
        <v>0</v>
      </c>
      <c r="L190" s="12" t="str">
        <f>"0,0000"</f>
        <v>0,0000</v>
      </c>
      <c r="M190" s="11"/>
    </row>
    <row r="191" spans="1:13">
      <c r="A191" s="12" t="s">
        <v>349</v>
      </c>
      <c r="B191" s="11" t="s">
        <v>1947</v>
      </c>
      <c r="C191" s="11" t="s">
        <v>1948</v>
      </c>
      <c r="D191" s="11" t="s">
        <v>1949</v>
      </c>
      <c r="E191" s="11" t="s">
        <v>2693</v>
      </c>
      <c r="F191" s="11" t="s">
        <v>243</v>
      </c>
      <c r="G191" s="24" t="s">
        <v>59</v>
      </c>
      <c r="H191" s="24" t="s">
        <v>109</v>
      </c>
      <c r="I191" s="25" t="s">
        <v>128</v>
      </c>
      <c r="J191" s="12"/>
      <c r="K191" s="31" t="str">
        <f>"170,0"</f>
        <v>170,0</v>
      </c>
      <c r="L191" s="12" t="str">
        <f>"97,6310"</f>
        <v>97,6310</v>
      </c>
      <c r="M191" s="11" t="s">
        <v>1950</v>
      </c>
    </row>
    <row r="192" spans="1:13">
      <c r="A192" s="12" t="s">
        <v>352</v>
      </c>
      <c r="B192" s="11" t="s">
        <v>1951</v>
      </c>
      <c r="C192" s="11" t="s">
        <v>1952</v>
      </c>
      <c r="D192" s="11" t="s">
        <v>1937</v>
      </c>
      <c r="E192" s="11" t="s">
        <v>2693</v>
      </c>
      <c r="F192" s="11" t="s">
        <v>370</v>
      </c>
      <c r="G192" s="25" t="s">
        <v>118</v>
      </c>
      <c r="H192" s="25" t="s">
        <v>118</v>
      </c>
      <c r="I192" s="25" t="s">
        <v>118</v>
      </c>
      <c r="J192" s="12"/>
      <c r="K192" s="31">
        <v>0</v>
      </c>
      <c r="L192" s="12" t="str">
        <f>"0,0000"</f>
        <v>0,0000</v>
      </c>
      <c r="M192" s="11" t="s">
        <v>1953</v>
      </c>
    </row>
    <row r="193" spans="1:13">
      <c r="A193" s="12" t="s">
        <v>349</v>
      </c>
      <c r="B193" s="11" t="s">
        <v>1954</v>
      </c>
      <c r="C193" s="11" t="s">
        <v>1955</v>
      </c>
      <c r="D193" s="11" t="s">
        <v>1956</v>
      </c>
      <c r="E193" s="11" t="s">
        <v>2695</v>
      </c>
      <c r="F193" s="11" t="s">
        <v>221</v>
      </c>
      <c r="G193" s="25" t="s">
        <v>38</v>
      </c>
      <c r="H193" s="24" t="s">
        <v>39</v>
      </c>
      <c r="I193" s="24" t="s">
        <v>32</v>
      </c>
      <c r="J193" s="12"/>
      <c r="K193" s="31" t="str">
        <f>"215,0"</f>
        <v>215,0</v>
      </c>
      <c r="L193" s="12" t="str">
        <f>"141,7484"</f>
        <v>141,7484</v>
      </c>
      <c r="M193" s="11" t="s">
        <v>1957</v>
      </c>
    </row>
    <row r="194" spans="1:13">
      <c r="A194" s="12" t="s">
        <v>351</v>
      </c>
      <c r="B194" s="11" t="s">
        <v>1958</v>
      </c>
      <c r="C194" s="11" t="s">
        <v>1959</v>
      </c>
      <c r="D194" s="11" t="s">
        <v>1508</v>
      </c>
      <c r="E194" s="11" t="s">
        <v>2695</v>
      </c>
      <c r="F194" s="11" t="s">
        <v>135</v>
      </c>
      <c r="G194" s="24" t="s">
        <v>116</v>
      </c>
      <c r="H194" s="24" t="s">
        <v>117</v>
      </c>
      <c r="I194" s="24" t="s">
        <v>118</v>
      </c>
      <c r="J194" s="12"/>
      <c r="K194" s="31" t="str">
        <f>"185,0"</f>
        <v>185,0</v>
      </c>
      <c r="L194" s="12" t="str">
        <f>"131,7871"</f>
        <v>131,7871</v>
      </c>
      <c r="M194" s="11"/>
    </row>
    <row r="195" spans="1:13">
      <c r="A195" s="14" t="s">
        <v>349</v>
      </c>
      <c r="B195" s="13" t="s">
        <v>1960</v>
      </c>
      <c r="C195" s="13" t="s">
        <v>1961</v>
      </c>
      <c r="D195" s="13" t="s">
        <v>1962</v>
      </c>
      <c r="E195" s="13" t="s">
        <v>2694</v>
      </c>
      <c r="F195" s="13" t="s">
        <v>1963</v>
      </c>
      <c r="G195" s="26" t="s">
        <v>154</v>
      </c>
      <c r="H195" s="26" t="s">
        <v>45</v>
      </c>
      <c r="I195" s="27" t="s">
        <v>52</v>
      </c>
      <c r="J195" s="14"/>
      <c r="K195" s="30" t="str">
        <f>"145,0"</f>
        <v>145,0</v>
      </c>
      <c r="L195" s="14" t="str">
        <f>"119,5419"</f>
        <v>119,5419</v>
      </c>
      <c r="M195" s="13" t="s">
        <v>1964</v>
      </c>
    </row>
    <row r="196" spans="1:13">
      <c r="B196" s="5" t="s">
        <v>350</v>
      </c>
    </row>
    <row r="197" spans="1:13" ht="16">
      <c r="A197" s="82" t="s">
        <v>299</v>
      </c>
      <c r="B197" s="82"/>
      <c r="C197" s="82"/>
      <c r="D197" s="82"/>
      <c r="E197" s="82"/>
      <c r="F197" s="82"/>
      <c r="G197" s="82"/>
      <c r="H197" s="82"/>
      <c r="I197" s="82"/>
      <c r="J197" s="82"/>
    </row>
    <row r="198" spans="1:13">
      <c r="A198" s="10" t="s">
        <v>349</v>
      </c>
      <c r="B198" s="9" t="s">
        <v>1965</v>
      </c>
      <c r="C198" s="9" t="s">
        <v>1966</v>
      </c>
      <c r="D198" s="9" t="s">
        <v>1967</v>
      </c>
      <c r="E198" s="9" t="s">
        <v>2693</v>
      </c>
      <c r="F198" s="9" t="s">
        <v>1968</v>
      </c>
      <c r="G198" s="22" t="s">
        <v>38</v>
      </c>
      <c r="H198" s="23" t="s">
        <v>39</v>
      </c>
      <c r="I198" s="23" t="s">
        <v>39</v>
      </c>
      <c r="J198" s="10"/>
      <c r="K198" s="29" t="str">
        <f>"200,0"</f>
        <v>200,0</v>
      </c>
      <c r="L198" s="10" t="str">
        <f>"123,6507"</f>
        <v>123,6507</v>
      </c>
      <c r="M198" s="9"/>
    </row>
    <row r="199" spans="1:13">
      <c r="A199" s="14" t="s">
        <v>349</v>
      </c>
      <c r="B199" s="13" t="s">
        <v>1969</v>
      </c>
      <c r="C199" s="13" t="s">
        <v>1970</v>
      </c>
      <c r="D199" s="13" t="s">
        <v>1971</v>
      </c>
      <c r="E199" s="13" t="s">
        <v>2695</v>
      </c>
      <c r="F199" s="13" t="s">
        <v>221</v>
      </c>
      <c r="G199" s="26" t="s">
        <v>117</v>
      </c>
      <c r="H199" s="26" t="s">
        <v>160</v>
      </c>
      <c r="I199" s="26" t="s">
        <v>314</v>
      </c>
      <c r="J199" s="27" t="s">
        <v>1972</v>
      </c>
      <c r="K199" s="30" t="str">
        <f>"202,5"</f>
        <v>202,5</v>
      </c>
      <c r="L199" s="14" t="str">
        <f>"139,1309"</f>
        <v>139,1309</v>
      </c>
      <c r="M199" s="13"/>
    </row>
    <row r="200" spans="1:13">
      <c r="B200" s="5" t="s">
        <v>350</v>
      </c>
    </row>
    <row r="201" spans="1:13" ht="16">
      <c r="A201" s="82" t="s">
        <v>309</v>
      </c>
      <c r="B201" s="82"/>
      <c r="C201" s="82"/>
      <c r="D201" s="82"/>
      <c r="E201" s="82"/>
      <c r="F201" s="82"/>
      <c r="G201" s="82"/>
      <c r="H201" s="82"/>
      <c r="I201" s="82"/>
      <c r="J201" s="82"/>
    </row>
    <row r="202" spans="1:13">
      <c r="A202" s="10" t="s">
        <v>349</v>
      </c>
      <c r="B202" s="9" t="s">
        <v>1973</v>
      </c>
      <c r="C202" s="9" t="s">
        <v>1974</v>
      </c>
      <c r="D202" s="9" t="s">
        <v>1975</v>
      </c>
      <c r="E202" s="9" t="s">
        <v>2690</v>
      </c>
      <c r="F202" s="9" t="s">
        <v>1976</v>
      </c>
      <c r="G202" s="22" t="s">
        <v>483</v>
      </c>
      <c r="H202" s="23" t="s">
        <v>475</v>
      </c>
      <c r="I202" s="23" t="s">
        <v>475</v>
      </c>
      <c r="J202" s="10"/>
      <c r="K202" s="29" t="str">
        <f>"232,5"</f>
        <v>232,5</v>
      </c>
      <c r="L202" s="10" t="str">
        <f>"127,5263"</f>
        <v>127,5263</v>
      </c>
      <c r="M202" s="9" t="s">
        <v>1977</v>
      </c>
    </row>
    <row r="203" spans="1:13">
      <c r="A203" s="14" t="s">
        <v>349</v>
      </c>
      <c r="B203" s="13" t="s">
        <v>1973</v>
      </c>
      <c r="C203" s="13" t="s">
        <v>1978</v>
      </c>
      <c r="D203" s="13" t="s">
        <v>1975</v>
      </c>
      <c r="E203" s="13" t="s">
        <v>2693</v>
      </c>
      <c r="F203" s="13" t="s">
        <v>1976</v>
      </c>
      <c r="G203" s="26" t="s">
        <v>483</v>
      </c>
      <c r="H203" s="27" t="s">
        <v>475</v>
      </c>
      <c r="I203" s="27" t="s">
        <v>475</v>
      </c>
      <c r="J203" s="14"/>
      <c r="K203" s="30" t="str">
        <f>"232,5"</f>
        <v>232,5</v>
      </c>
      <c r="L203" s="14" t="str">
        <f>"142,0642"</f>
        <v>142,0642</v>
      </c>
      <c r="M203" s="13" t="s">
        <v>1977</v>
      </c>
    </row>
    <row r="204" spans="1:13">
      <c r="B204" s="5" t="s">
        <v>350</v>
      </c>
    </row>
    <row r="205" spans="1:13">
      <c r="B205" s="5" t="s">
        <v>350</v>
      </c>
    </row>
    <row r="206" spans="1:13">
      <c r="B206" s="5" t="s">
        <v>350</v>
      </c>
    </row>
    <row r="207" spans="1:13" ht="18">
      <c r="B207" s="15" t="s">
        <v>316</v>
      </c>
      <c r="C207" s="15"/>
      <c r="F207" s="3"/>
    </row>
    <row r="208" spans="1:13" ht="16">
      <c r="B208" s="16" t="s">
        <v>336</v>
      </c>
      <c r="C208" s="16"/>
      <c r="F208" s="3"/>
    </row>
    <row r="209" spans="2:6" ht="14">
      <c r="B209" s="17"/>
      <c r="C209" s="18" t="s">
        <v>501</v>
      </c>
      <c r="F209" s="3"/>
    </row>
    <row r="210" spans="2:6" ht="14">
      <c r="B210" s="19" t="s">
        <v>319</v>
      </c>
      <c r="C210" s="19" t="s">
        <v>320</v>
      </c>
      <c r="D210" s="19" t="s">
        <v>2593</v>
      </c>
      <c r="E210" s="19" t="s">
        <v>1225</v>
      </c>
      <c r="F210" s="19" t="s">
        <v>323</v>
      </c>
    </row>
    <row r="211" spans="2:6">
      <c r="B211" s="5" t="s">
        <v>1716</v>
      </c>
      <c r="C211" s="5" t="s">
        <v>492</v>
      </c>
      <c r="D211" s="6" t="s">
        <v>327</v>
      </c>
      <c r="E211" s="6" t="s">
        <v>109</v>
      </c>
      <c r="F211" s="6" t="s">
        <v>1979</v>
      </c>
    </row>
    <row r="212" spans="2:6">
      <c r="B212" s="5" t="s">
        <v>1651</v>
      </c>
      <c r="C212" s="5" t="s">
        <v>492</v>
      </c>
      <c r="D212" s="6" t="s">
        <v>324</v>
      </c>
      <c r="E212" s="6" t="s">
        <v>391</v>
      </c>
      <c r="F212" s="6" t="s">
        <v>1980</v>
      </c>
    </row>
    <row r="213" spans="2:6">
      <c r="B213" s="5" t="s">
        <v>1655</v>
      </c>
      <c r="C213" s="5" t="s">
        <v>492</v>
      </c>
      <c r="D213" s="6" t="s">
        <v>324</v>
      </c>
      <c r="E213" s="6" t="s">
        <v>34</v>
      </c>
      <c r="F213" s="6" t="s">
        <v>1981</v>
      </c>
    </row>
    <row r="215" spans="2:6" ht="14">
      <c r="B215" s="17"/>
      <c r="C215" s="18" t="s">
        <v>337</v>
      </c>
    </row>
    <row r="216" spans="2:6" ht="14">
      <c r="B216" s="19" t="s">
        <v>319</v>
      </c>
      <c r="C216" s="19" t="s">
        <v>320</v>
      </c>
      <c r="D216" s="19" t="s">
        <v>2593</v>
      </c>
      <c r="E216" s="19" t="s">
        <v>1225</v>
      </c>
      <c r="F216" s="19" t="s">
        <v>323</v>
      </c>
    </row>
    <row r="217" spans="2:6">
      <c r="B217" s="5" t="s">
        <v>1847</v>
      </c>
      <c r="C217" s="5" t="s">
        <v>337</v>
      </c>
      <c r="D217" s="6" t="s">
        <v>343</v>
      </c>
      <c r="E217" s="6" t="s">
        <v>31</v>
      </c>
      <c r="F217" s="6" t="s">
        <v>1982</v>
      </c>
    </row>
    <row r="218" spans="2:6">
      <c r="B218" s="5" t="s">
        <v>1929</v>
      </c>
      <c r="C218" s="5" t="s">
        <v>337</v>
      </c>
      <c r="D218" s="6" t="s">
        <v>348</v>
      </c>
      <c r="E218" s="6" t="s">
        <v>37</v>
      </c>
      <c r="F218" s="6" t="s">
        <v>1983</v>
      </c>
    </row>
    <row r="219" spans="2:6">
      <c r="B219" s="5" t="s">
        <v>1932</v>
      </c>
      <c r="C219" s="5" t="s">
        <v>337</v>
      </c>
      <c r="D219" s="6" t="s">
        <v>348</v>
      </c>
      <c r="E219" s="6" t="s">
        <v>37</v>
      </c>
      <c r="F219" s="6" t="s">
        <v>1984</v>
      </c>
    </row>
    <row r="221" spans="2:6" ht="14">
      <c r="B221" s="17"/>
      <c r="C221" s="18" t="s">
        <v>318</v>
      </c>
    </row>
    <row r="222" spans="2:6" ht="14">
      <c r="B222" s="19" t="s">
        <v>319</v>
      </c>
      <c r="C222" s="19" t="s">
        <v>320</v>
      </c>
      <c r="D222" s="19" t="s">
        <v>2593</v>
      </c>
      <c r="E222" s="19" t="s">
        <v>1225</v>
      </c>
      <c r="F222" s="19" t="s">
        <v>323</v>
      </c>
    </row>
    <row r="223" spans="2:6">
      <c r="B223" s="5" t="s">
        <v>1899</v>
      </c>
      <c r="C223" s="5" t="s">
        <v>318</v>
      </c>
      <c r="D223" s="6" t="s">
        <v>340</v>
      </c>
      <c r="E223" s="6" t="s">
        <v>100</v>
      </c>
      <c r="F223" s="6" t="s">
        <v>1985</v>
      </c>
    </row>
    <row r="224" spans="2:6">
      <c r="B224" s="5" t="s">
        <v>1903</v>
      </c>
      <c r="C224" s="5" t="s">
        <v>318</v>
      </c>
      <c r="D224" s="6" t="s">
        <v>340</v>
      </c>
      <c r="E224" s="6" t="s">
        <v>33</v>
      </c>
      <c r="F224" s="6" t="s">
        <v>1986</v>
      </c>
    </row>
    <row r="225" spans="2:6">
      <c r="B225" s="5" t="s">
        <v>1973</v>
      </c>
      <c r="C225" s="5" t="s">
        <v>318</v>
      </c>
      <c r="D225" s="6" t="s">
        <v>1987</v>
      </c>
      <c r="E225" s="6" t="s">
        <v>483</v>
      </c>
      <c r="F225" s="6" t="s">
        <v>1988</v>
      </c>
    </row>
    <row r="227" spans="2:6" ht="14">
      <c r="B227" s="17"/>
      <c r="C227" s="18" t="s">
        <v>333</v>
      </c>
    </row>
    <row r="228" spans="2:6" ht="14">
      <c r="B228" s="19" t="s">
        <v>319</v>
      </c>
      <c r="C228" s="19" t="s">
        <v>320</v>
      </c>
      <c r="D228" s="19" t="s">
        <v>2593</v>
      </c>
      <c r="E228" s="19" t="s">
        <v>1225</v>
      </c>
      <c r="F228" s="19" t="s">
        <v>323</v>
      </c>
    </row>
    <row r="229" spans="2:6">
      <c r="B229" s="5" t="s">
        <v>1772</v>
      </c>
      <c r="C229" s="5" t="s">
        <v>1105</v>
      </c>
      <c r="D229" s="6" t="s">
        <v>327</v>
      </c>
      <c r="E229" s="6" t="s">
        <v>50</v>
      </c>
      <c r="F229" s="6" t="s">
        <v>1989</v>
      </c>
    </row>
    <row r="230" spans="2:6">
      <c r="B230" s="5" t="s">
        <v>1424</v>
      </c>
      <c r="C230" s="5" t="s">
        <v>760</v>
      </c>
      <c r="D230" s="6" t="s">
        <v>343</v>
      </c>
      <c r="E230" s="6" t="s">
        <v>52</v>
      </c>
      <c r="F230" s="6" t="s">
        <v>1990</v>
      </c>
    </row>
    <row r="231" spans="2:6">
      <c r="B231" s="5" t="s">
        <v>1973</v>
      </c>
      <c r="C231" s="5" t="s">
        <v>335</v>
      </c>
      <c r="D231" s="6" t="s">
        <v>1987</v>
      </c>
      <c r="E231" s="6" t="s">
        <v>483</v>
      </c>
      <c r="F231" s="6" t="s">
        <v>1991</v>
      </c>
    </row>
    <row r="232" spans="2:6">
      <c r="B232" s="5" t="s">
        <v>350</v>
      </c>
    </row>
  </sheetData>
  <mergeCells count="30">
    <mergeCell ref="A201:J201"/>
    <mergeCell ref="A51:J51"/>
    <mergeCell ref="A54:J54"/>
    <mergeCell ref="A57:J57"/>
    <mergeCell ref="A60:J60"/>
    <mergeCell ref="A73:J73"/>
    <mergeCell ref="A92:J92"/>
    <mergeCell ref="A119:J119"/>
    <mergeCell ref="A145:J145"/>
    <mergeCell ref="A170:J170"/>
    <mergeCell ref="A184:J184"/>
    <mergeCell ref="A197:J197"/>
    <mergeCell ref="A46:J46"/>
    <mergeCell ref="K3:K4"/>
    <mergeCell ref="L3:L4"/>
    <mergeCell ref="M3:M4"/>
    <mergeCell ref="A5:J5"/>
    <mergeCell ref="B3:B4"/>
    <mergeCell ref="A8:J8"/>
    <mergeCell ref="A11:J11"/>
    <mergeCell ref="A20:J20"/>
    <mergeCell ref="A29:J29"/>
    <mergeCell ref="A35:J35"/>
    <mergeCell ref="A1:M2"/>
    <mergeCell ref="A3:A4"/>
    <mergeCell ref="C3:C4"/>
    <mergeCell ref="D3:D4"/>
    <mergeCell ref="E3:E4"/>
    <mergeCell ref="F3:F4"/>
    <mergeCell ref="G3:J3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181"/>
  <sheetViews>
    <sheetView workbookViewId="0">
      <selection activeCell="E152" sqref="E152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3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4.6640625" style="5" customWidth="1"/>
    <col min="14" max="16384" width="9.1640625" style="3"/>
  </cols>
  <sheetData>
    <row r="1" spans="1:13" s="2" customFormat="1" ht="29" customHeight="1">
      <c r="A1" s="71" t="s">
        <v>2638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83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84"/>
      <c r="L4" s="66"/>
      <c r="M4" s="68"/>
    </row>
    <row r="5" spans="1:13" ht="16">
      <c r="A5" s="69" t="s">
        <v>774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1234</v>
      </c>
      <c r="C6" s="7" t="s">
        <v>1235</v>
      </c>
      <c r="D6" s="7" t="s">
        <v>1236</v>
      </c>
      <c r="E6" s="7" t="s">
        <v>2692</v>
      </c>
      <c r="F6" s="7" t="s">
        <v>221</v>
      </c>
      <c r="G6" s="20" t="s">
        <v>18</v>
      </c>
      <c r="H6" s="20" t="s">
        <v>22</v>
      </c>
      <c r="I6" s="20" t="s">
        <v>1237</v>
      </c>
      <c r="J6" s="8"/>
      <c r="K6" s="32" t="str">
        <f>"71,0"</f>
        <v>71,0</v>
      </c>
      <c r="L6" s="8" t="str">
        <f>"94,9057"</f>
        <v>94,9057</v>
      </c>
      <c r="M6" s="7" t="s">
        <v>1238</v>
      </c>
    </row>
    <row r="7" spans="1:13">
      <c r="B7" s="5" t="s">
        <v>350</v>
      </c>
    </row>
    <row r="8" spans="1:13" ht="16">
      <c r="A8" s="82" t="s">
        <v>359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10" t="s">
        <v>349</v>
      </c>
      <c r="B9" s="9" t="s">
        <v>1239</v>
      </c>
      <c r="C9" s="9" t="s">
        <v>1240</v>
      </c>
      <c r="D9" s="9" t="s">
        <v>362</v>
      </c>
      <c r="E9" s="9" t="s">
        <v>2690</v>
      </c>
      <c r="F9" s="9" t="s">
        <v>1241</v>
      </c>
      <c r="G9" s="22" t="s">
        <v>16</v>
      </c>
      <c r="H9" s="23" t="s">
        <v>48</v>
      </c>
      <c r="I9" s="23" t="s">
        <v>48</v>
      </c>
      <c r="J9" s="10"/>
      <c r="K9" s="29" t="str">
        <f>"55,0"</f>
        <v>55,0</v>
      </c>
      <c r="L9" s="10" t="str">
        <f>"68,5630"</f>
        <v>68,5630</v>
      </c>
      <c r="M9" s="9" t="s">
        <v>88</v>
      </c>
    </row>
    <row r="10" spans="1:13">
      <c r="A10" s="14" t="s">
        <v>349</v>
      </c>
      <c r="B10" s="13" t="s">
        <v>1242</v>
      </c>
      <c r="C10" s="13" t="s">
        <v>1243</v>
      </c>
      <c r="D10" s="13" t="s">
        <v>818</v>
      </c>
      <c r="E10" s="13" t="s">
        <v>2693</v>
      </c>
      <c r="F10" s="13" t="s">
        <v>723</v>
      </c>
      <c r="G10" s="26" t="s">
        <v>49</v>
      </c>
      <c r="H10" s="26" t="s">
        <v>22</v>
      </c>
      <c r="I10" s="27" t="s">
        <v>61</v>
      </c>
      <c r="J10" s="14"/>
      <c r="K10" s="30" t="str">
        <f>"70,0"</f>
        <v>70,0</v>
      </c>
      <c r="L10" s="14" t="str">
        <f>"88,7110"</f>
        <v>88,7110</v>
      </c>
      <c r="M10" s="13" t="s">
        <v>1244</v>
      </c>
    </row>
    <row r="11" spans="1:13">
      <c r="B11" s="5" t="s">
        <v>350</v>
      </c>
    </row>
    <row r="12" spans="1:13" ht="16">
      <c r="A12" s="82" t="s">
        <v>11</v>
      </c>
      <c r="B12" s="82"/>
      <c r="C12" s="82"/>
      <c r="D12" s="82"/>
      <c r="E12" s="82"/>
      <c r="F12" s="82"/>
      <c r="G12" s="82"/>
      <c r="H12" s="82"/>
      <c r="I12" s="82"/>
      <c r="J12" s="82"/>
    </row>
    <row r="13" spans="1:13">
      <c r="A13" s="10" t="s">
        <v>349</v>
      </c>
      <c r="B13" s="9" t="s">
        <v>519</v>
      </c>
      <c r="C13" s="9" t="s">
        <v>520</v>
      </c>
      <c r="D13" s="9" t="s">
        <v>521</v>
      </c>
      <c r="E13" s="9" t="s">
        <v>2690</v>
      </c>
      <c r="F13" s="9" t="s">
        <v>201</v>
      </c>
      <c r="G13" s="22" t="s">
        <v>17</v>
      </c>
      <c r="H13" s="22" t="s">
        <v>18</v>
      </c>
      <c r="I13" s="23" t="s">
        <v>49</v>
      </c>
      <c r="J13" s="10"/>
      <c r="K13" s="29" t="str">
        <f>"65,0"</f>
        <v>65,0</v>
      </c>
      <c r="L13" s="10" t="str">
        <f>"77,0185"</f>
        <v>77,0185</v>
      </c>
      <c r="M13" s="9" t="s">
        <v>522</v>
      </c>
    </row>
    <row r="14" spans="1:13">
      <c r="A14" s="14" t="s">
        <v>351</v>
      </c>
      <c r="B14" s="13" t="s">
        <v>12</v>
      </c>
      <c r="C14" s="13" t="s">
        <v>13</v>
      </c>
      <c r="D14" s="13" t="s">
        <v>14</v>
      </c>
      <c r="E14" s="13" t="s">
        <v>2690</v>
      </c>
      <c r="F14" s="13" t="s">
        <v>15</v>
      </c>
      <c r="G14" s="26" t="s">
        <v>19</v>
      </c>
      <c r="H14" s="26" t="s">
        <v>20</v>
      </c>
      <c r="I14" s="26" t="s">
        <v>21</v>
      </c>
      <c r="J14" s="14"/>
      <c r="K14" s="30" t="str">
        <f>"37,5"</f>
        <v>37,5</v>
      </c>
      <c r="L14" s="14" t="str">
        <f>"44,9438"</f>
        <v>44,9438</v>
      </c>
      <c r="M14" s="13" t="s">
        <v>25</v>
      </c>
    </row>
    <row r="15" spans="1:13">
      <c r="B15" s="5" t="s">
        <v>350</v>
      </c>
    </row>
    <row r="16" spans="1:13" ht="16">
      <c r="A16" s="82" t="s">
        <v>378</v>
      </c>
      <c r="B16" s="82"/>
      <c r="C16" s="82"/>
      <c r="D16" s="82"/>
      <c r="E16" s="82"/>
      <c r="F16" s="82"/>
      <c r="G16" s="82"/>
      <c r="H16" s="82"/>
      <c r="I16" s="82"/>
      <c r="J16" s="82"/>
    </row>
    <row r="17" spans="1:13">
      <c r="A17" s="10" t="s">
        <v>349</v>
      </c>
      <c r="B17" s="9" t="s">
        <v>1245</v>
      </c>
      <c r="C17" s="9" t="s">
        <v>1246</v>
      </c>
      <c r="D17" s="9" t="s">
        <v>1247</v>
      </c>
      <c r="E17" s="9" t="s">
        <v>2690</v>
      </c>
      <c r="F17" s="9" t="s">
        <v>135</v>
      </c>
      <c r="G17" s="22" t="s">
        <v>48</v>
      </c>
      <c r="H17" s="22" t="s">
        <v>49</v>
      </c>
      <c r="I17" s="23" t="s">
        <v>22</v>
      </c>
      <c r="J17" s="10"/>
      <c r="K17" s="29" t="str">
        <f>"67,5"</f>
        <v>67,5</v>
      </c>
      <c r="L17" s="10" t="str">
        <f>"75,8430"</f>
        <v>75,8430</v>
      </c>
      <c r="M17" s="9" t="s">
        <v>1248</v>
      </c>
    </row>
    <row r="18" spans="1:13">
      <c r="A18" s="14" t="s">
        <v>349</v>
      </c>
      <c r="B18" s="13" t="s">
        <v>1115</v>
      </c>
      <c r="C18" s="13" t="s">
        <v>1116</v>
      </c>
      <c r="D18" s="13" t="s">
        <v>525</v>
      </c>
      <c r="E18" s="13" t="s">
        <v>2693</v>
      </c>
      <c r="F18" s="13" t="s">
        <v>363</v>
      </c>
      <c r="G18" s="26" t="s">
        <v>61</v>
      </c>
      <c r="H18" s="26" t="s">
        <v>778</v>
      </c>
      <c r="I18" s="27" t="s">
        <v>62</v>
      </c>
      <c r="J18" s="14"/>
      <c r="K18" s="30" t="str">
        <f>"77,5"</f>
        <v>77,5</v>
      </c>
      <c r="L18" s="14" t="str">
        <f>"87,2885"</f>
        <v>87,2885</v>
      </c>
      <c r="M18" s="13" t="s">
        <v>1117</v>
      </c>
    </row>
    <row r="19" spans="1:13">
      <c r="B19" s="5" t="s">
        <v>350</v>
      </c>
    </row>
    <row r="20" spans="1:13" ht="16">
      <c r="A20" s="82" t="s">
        <v>26</v>
      </c>
      <c r="B20" s="82"/>
      <c r="C20" s="82"/>
      <c r="D20" s="82"/>
      <c r="E20" s="82"/>
      <c r="F20" s="82"/>
      <c r="G20" s="82"/>
      <c r="H20" s="82"/>
      <c r="I20" s="82"/>
      <c r="J20" s="82"/>
    </row>
    <row r="21" spans="1:13">
      <c r="A21" s="10" t="s">
        <v>349</v>
      </c>
      <c r="B21" s="9" t="s">
        <v>1249</v>
      </c>
      <c r="C21" s="9" t="s">
        <v>1250</v>
      </c>
      <c r="D21" s="9" t="s">
        <v>1251</v>
      </c>
      <c r="E21" s="9" t="s">
        <v>2689</v>
      </c>
      <c r="F21" s="9" t="s">
        <v>30</v>
      </c>
      <c r="G21" s="22" t="s">
        <v>22</v>
      </c>
      <c r="H21" s="23" t="s">
        <v>778</v>
      </c>
      <c r="I21" s="23" t="s">
        <v>778</v>
      </c>
      <c r="J21" s="10"/>
      <c r="K21" s="29" t="str">
        <f>"70,0"</f>
        <v>70,0</v>
      </c>
      <c r="L21" s="10" t="str">
        <f>"71,5960"</f>
        <v>71,5960</v>
      </c>
      <c r="M21" s="9" t="s">
        <v>1077</v>
      </c>
    </row>
    <row r="22" spans="1:13">
      <c r="A22" s="12" t="s">
        <v>349</v>
      </c>
      <c r="B22" s="11" t="s">
        <v>1252</v>
      </c>
      <c r="C22" s="11" t="s">
        <v>1253</v>
      </c>
      <c r="D22" s="11" t="s">
        <v>1254</v>
      </c>
      <c r="E22" s="11" t="s">
        <v>2690</v>
      </c>
      <c r="F22" s="11" t="s">
        <v>221</v>
      </c>
      <c r="G22" s="24" t="s">
        <v>188</v>
      </c>
      <c r="H22" s="24" t="s">
        <v>66</v>
      </c>
      <c r="I22" s="24" t="s">
        <v>83</v>
      </c>
      <c r="J22" s="12"/>
      <c r="K22" s="31" t="str">
        <f>"110,0"</f>
        <v>110,0</v>
      </c>
      <c r="L22" s="12" t="str">
        <f>"112,7500"</f>
        <v>112,7500</v>
      </c>
      <c r="M22" s="11" t="s">
        <v>1255</v>
      </c>
    </row>
    <row r="23" spans="1:13">
      <c r="A23" s="12" t="s">
        <v>351</v>
      </c>
      <c r="B23" s="11" t="s">
        <v>535</v>
      </c>
      <c r="C23" s="11" t="s">
        <v>536</v>
      </c>
      <c r="D23" s="11" t="s">
        <v>537</v>
      </c>
      <c r="E23" s="11" t="s">
        <v>2690</v>
      </c>
      <c r="F23" s="11" t="s">
        <v>538</v>
      </c>
      <c r="G23" s="24" t="s">
        <v>188</v>
      </c>
      <c r="H23" s="24" t="s">
        <v>66</v>
      </c>
      <c r="I23" s="25" t="s">
        <v>539</v>
      </c>
      <c r="J23" s="12"/>
      <c r="K23" s="31" t="str">
        <f>"105,0"</f>
        <v>105,0</v>
      </c>
      <c r="L23" s="12" t="str">
        <f>"111,0480"</f>
        <v>111,0480</v>
      </c>
      <c r="M23" s="11" t="s">
        <v>2603</v>
      </c>
    </row>
    <row r="24" spans="1:13">
      <c r="A24" s="14" t="s">
        <v>353</v>
      </c>
      <c r="B24" s="13" t="s">
        <v>1256</v>
      </c>
      <c r="C24" s="13" t="s">
        <v>1257</v>
      </c>
      <c r="D24" s="13" t="s">
        <v>1258</v>
      </c>
      <c r="E24" s="13" t="s">
        <v>2690</v>
      </c>
      <c r="F24" s="13" t="s">
        <v>1259</v>
      </c>
      <c r="G24" s="26" t="s">
        <v>407</v>
      </c>
      <c r="H24" s="27" t="s">
        <v>466</v>
      </c>
      <c r="I24" s="27" t="s">
        <v>466</v>
      </c>
      <c r="J24" s="14"/>
      <c r="K24" s="30" t="str">
        <f>"90,0"</f>
        <v>90,0</v>
      </c>
      <c r="L24" s="14" t="str">
        <f>"93,2580"</f>
        <v>93,2580</v>
      </c>
      <c r="M24" s="13" t="s">
        <v>40</v>
      </c>
    </row>
    <row r="25" spans="1:13">
      <c r="B25" s="5" t="s">
        <v>350</v>
      </c>
    </row>
    <row r="26" spans="1:13" ht="16">
      <c r="A26" s="82" t="s">
        <v>55</v>
      </c>
      <c r="B26" s="82"/>
      <c r="C26" s="82"/>
      <c r="D26" s="82"/>
      <c r="E26" s="82"/>
      <c r="F26" s="82"/>
      <c r="G26" s="82"/>
      <c r="H26" s="82"/>
      <c r="I26" s="82"/>
      <c r="J26" s="82"/>
    </row>
    <row r="27" spans="1:13">
      <c r="A27" s="8" t="s">
        <v>349</v>
      </c>
      <c r="B27" s="7" t="s">
        <v>1260</v>
      </c>
      <c r="C27" s="7" t="s">
        <v>1261</v>
      </c>
      <c r="D27" s="7" t="s">
        <v>882</v>
      </c>
      <c r="E27" s="7" t="s">
        <v>2690</v>
      </c>
      <c r="F27" s="7" t="s">
        <v>221</v>
      </c>
      <c r="G27" s="20" t="s">
        <v>50</v>
      </c>
      <c r="H27" s="20" t="s">
        <v>84</v>
      </c>
      <c r="I27" s="21" t="s">
        <v>70</v>
      </c>
      <c r="J27" s="8"/>
      <c r="K27" s="32" t="str">
        <f>"125,0"</f>
        <v>125,0</v>
      </c>
      <c r="L27" s="8" t="str">
        <f>"122,1125"</f>
        <v>122,1125</v>
      </c>
      <c r="M27" s="7" t="s">
        <v>1262</v>
      </c>
    </row>
    <row r="28" spans="1:13">
      <c r="B28" s="5" t="s">
        <v>350</v>
      </c>
    </row>
    <row r="29" spans="1:13" ht="16">
      <c r="A29" s="82" t="s">
        <v>359</v>
      </c>
      <c r="B29" s="82"/>
      <c r="C29" s="82"/>
      <c r="D29" s="82"/>
      <c r="E29" s="82"/>
      <c r="F29" s="82"/>
      <c r="G29" s="82"/>
      <c r="H29" s="82"/>
      <c r="I29" s="82"/>
      <c r="J29" s="82"/>
    </row>
    <row r="30" spans="1:13">
      <c r="A30" s="8" t="s">
        <v>349</v>
      </c>
      <c r="B30" s="7" t="s">
        <v>1263</v>
      </c>
      <c r="C30" s="7" t="s">
        <v>1264</v>
      </c>
      <c r="D30" s="7" t="s">
        <v>1265</v>
      </c>
      <c r="E30" s="7" t="s">
        <v>2692</v>
      </c>
      <c r="F30" s="7" t="s">
        <v>1266</v>
      </c>
      <c r="G30" s="21" t="s">
        <v>779</v>
      </c>
      <c r="H30" s="20" t="s">
        <v>779</v>
      </c>
      <c r="I30" s="20" t="s">
        <v>68</v>
      </c>
      <c r="J30" s="21" t="s">
        <v>1267</v>
      </c>
      <c r="K30" s="32" t="str">
        <f>"42,5"</f>
        <v>42,5</v>
      </c>
      <c r="L30" s="8" t="str">
        <f>"42,9293"</f>
        <v>42,9293</v>
      </c>
      <c r="M30" s="7"/>
    </row>
    <row r="31" spans="1:13">
      <c r="B31" s="5" t="s">
        <v>350</v>
      </c>
    </row>
    <row r="32" spans="1:13" ht="16">
      <c r="A32" s="82" t="s">
        <v>11</v>
      </c>
      <c r="B32" s="82"/>
      <c r="C32" s="82"/>
      <c r="D32" s="82"/>
      <c r="E32" s="82"/>
      <c r="F32" s="82"/>
      <c r="G32" s="82"/>
      <c r="H32" s="82"/>
      <c r="I32" s="82"/>
      <c r="J32" s="82"/>
    </row>
    <row r="33" spans="1:13">
      <c r="A33" s="8" t="s">
        <v>349</v>
      </c>
      <c r="B33" s="7" t="s">
        <v>1268</v>
      </c>
      <c r="C33" s="7" t="s">
        <v>1269</v>
      </c>
      <c r="D33" s="7" t="s">
        <v>1270</v>
      </c>
      <c r="E33" s="7" t="s">
        <v>2692</v>
      </c>
      <c r="F33" s="7" t="s">
        <v>1271</v>
      </c>
      <c r="G33" s="20" t="s">
        <v>409</v>
      </c>
      <c r="H33" s="20" t="s">
        <v>375</v>
      </c>
      <c r="I33" s="20" t="s">
        <v>17</v>
      </c>
      <c r="J33" s="8"/>
      <c r="K33" s="32" t="str">
        <f>"60,0"</f>
        <v>60,0</v>
      </c>
      <c r="L33" s="8" t="str">
        <f>"57,3900"</f>
        <v>57,3900</v>
      </c>
      <c r="M33" s="7" t="s">
        <v>1272</v>
      </c>
    </row>
    <row r="34" spans="1:13">
      <c r="B34" s="5" t="s">
        <v>350</v>
      </c>
    </row>
    <row r="35" spans="1:13" ht="16">
      <c r="A35" s="82" t="s">
        <v>378</v>
      </c>
      <c r="B35" s="82"/>
      <c r="C35" s="82"/>
      <c r="D35" s="82"/>
      <c r="E35" s="82"/>
      <c r="F35" s="82"/>
      <c r="G35" s="82"/>
      <c r="H35" s="82"/>
      <c r="I35" s="82"/>
      <c r="J35" s="82"/>
    </row>
    <row r="36" spans="1:13">
      <c r="A36" s="8" t="s">
        <v>349</v>
      </c>
      <c r="B36" s="7" t="s">
        <v>1273</v>
      </c>
      <c r="C36" s="7" t="s">
        <v>920</v>
      </c>
      <c r="D36" s="7" t="s">
        <v>1274</v>
      </c>
      <c r="E36" s="7" t="s">
        <v>2692</v>
      </c>
      <c r="F36" s="7" t="s">
        <v>1241</v>
      </c>
      <c r="G36" s="20" t="s">
        <v>543</v>
      </c>
      <c r="H36" s="20" t="s">
        <v>16</v>
      </c>
      <c r="I36" s="21" t="s">
        <v>17</v>
      </c>
      <c r="J36" s="8"/>
      <c r="K36" s="32" t="str">
        <f>"55,0"</f>
        <v>55,0</v>
      </c>
      <c r="L36" s="8" t="str">
        <f>"48,8070"</f>
        <v>48,8070</v>
      </c>
      <c r="M36" s="7" t="s">
        <v>1275</v>
      </c>
    </row>
    <row r="37" spans="1:13">
      <c r="B37" s="5" t="s">
        <v>350</v>
      </c>
    </row>
    <row r="38" spans="1:13" ht="16">
      <c r="A38" s="82" t="s">
        <v>26</v>
      </c>
      <c r="B38" s="82"/>
      <c r="C38" s="82"/>
      <c r="D38" s="82"/>
      <c r="E38" s="82"/>
      <c r="F38" s="82"/>
      <c r="G38" s="82"/>
      <c r="H38" s="82"/>
      <c r="I38" s="82"/>
      <c r="J38" s="82"/>
    </row>
    <row r="39" spans="1:13">
      <c r="A39" s="8" t="s">
        <v>349</v>
      </c>
      <c r="B39" s="7" t="s">
        <v>1276</v>
      </c>
      <c r="C39" s="7" t="s">
        <v>1277</v>
      </c>
      <c r="D39" s="7" t="s">
        <v>1251</v>
      </c>
      <c r="E39" s="7" t="s">
        <v>2690</v>
      </c>
      <c r="F39" s="7" t="s">
        <v>221</v>
      </c>
      <c r="G39" s="20" t="s">
        <v>50</v>
      </c>
      <c r="H39" s="20" t="s">
        <v>84</v>
      </c>
      <c r="I39" s="21" t="s">
        <v>391</v>
      </c>
      <c r="J39" s="8"/>
      <c r="K39" s="32" t="str">
        <f>"125,0"</f>
        <v>125,0</v>
      </c>
      <c r="L39" s="8" t="str">
        <f>"96,6125"</f>
        <v>96,6125</v>
      </c>
      <c r="M39" s="7"/>
    </row>
    <row r="40" spans="1:13">
      <c r="B40" s="5" t="s">
        <v>350</v>
      </c>
    </row>
    <row r="41" spans="1:13" ht="16">
      <c r="A41" s="82" t="s">
        <v>55</v>
      </c>
      <c r="B41" s="82"/>
      <c r="C41" s="82"/>
      <c r="D41" s="82"/>
      <c r="E41" s="82"/>
      <c r="F41" s="82"/>
      <c r="G41" s="82"/>
      <c r="H41" s="82"/>
      <c r="I41" s="82"/>
      <c r="J41" s="82"/>
    </row>
    <row r="42" spans="1:13">
      <c r="A42" s="10" t="s">
        <v>349</v>
      </c>
      <c r="B42" s="9" t="s">
        <v>1278</v>
      </c>
      <c r="C42" s="9" t="s">
        <v>1279</v>
      </c>
      <c r="D42" s="9" t="s">
        <v>1280</v>
      </c>
      <c r="E42" s="9" t="s">
        <v>2689</v>
      </c>
      <c r="F42" s="9" t="s">
        <v>221</v>
      </c>
      <c r="G42" s="22" t="s">
        <v>70</v>
      </c>
      <c r="H42" s="22" t="s">
        <v>51</v>
      </c>
      <c r="I42" s="22" t="s">
        <v>376</v>
      </c>
      <c r="J42" s="10"/>
      <c r="K42" s="29" t="str">
        <f>"137,5"</f>
        <v>137,5</v>
      </c>
      <c r="L42" s="10" t="str">
        <f>"99,0963"</f>
        <v>99,0963</v>
      </c>
      <c r="M42" s="9" t="s">
        <v>518</v>
      </c>
    </row>
    <row r="43" spans="1:13">
      <c r="A43" s="12" t="s">
        <v>351</v>
      </c>
      <c r="B43" s="11" t="s">
        <v>1281</v>
      </c>
      <c r="C43" s="11" t="s">
        <v>1282</v>
      </c>
      <c r="D43" s="11" t="s">
        <v>98</v>
      </c>
      <c r="E43" s="11" t="s">
        <v>2689</v>
      </c>
      <c r="F43" s="11" t="s">
        <v>1283</v>
      </c>
      <c r="G43" s="24" t="s">
        <v>84</v>
      </c>
      <c r="H43" s="24" t="s">
        <v>70</v>
      </c>
      <c r="I43" s="25" t="s">
        <v>51</v>
      </c>
      <c r="J43" s="12"/>
      <c r="K43" s="31" t="str">
        <f>"130,0"</f>
        <v>130,0</v>
      </c>
      <c r="L43" s="12" t="str">
        <f>"92,6380"</f>
        <v>92,6380</v>
      </c>
      <c r="M43" s="11" t="s">
        <v>1284</v>
      </c>
    </row>
    <row r="44" spans="1:13">
      <c r="A44" s="12" t="s">
        <v>349</v>
      </c>
      <c r="B44" s="11" t="s">
        <v>1285</v>
      </c>
      <c r="C44" s="11" t="s">
        <v>895</v>
      </c>
      <c r="D44" s="11" t="s">
        <v>413</v>
      </c>
      <c r="E44" s="11" t="s">
        <v>2690</v>
      </c>
      <c r="F44" s="11" t="s">
        <v>1286</v>
      </c>
      <c r="G44" s="24" t="s">
        <v>31</v>
      </c>
      <c r="H44" s="24" t="s">
        <v>195</v>
      </c>
      <c r="I44" s="25" t="s">
        <v>39</v>
      </c>
      <c r="J44" s="12"/>
      <c r="K44" s="31" t="str">
        <f>"207,5"</f>
        <v>207,5</v>
      </c>
      <c r="L44" s="12" t="str">
        <f>"149,2547"</f>
        <v>149,2547</v>
      </c>
      <c r="M44" s="11" t="s">
        <v>1287</v>
      </c>
    </row>
    <row r="45" spans="1:13">
      <c r="A45" s="12" t="s">
        <v>351</v>
      </c>
      <c r="B45" s="11" t="s">
        <v>1288</v>
      </c>
      <c r="C45" s="11" t="s">
        <v>1289</v>
      </c>
      <c r="D45" s="11" t="s">
        <v>98</v>
      </c>
      <c r="E45" s="11" t="s">
        <v>2690</v>
      </c>
      <c r="F45" s="11" t="s">
        <v>1290</v>
      </c>
      <c r="G45" s="24" t="s">
        <v>127</v>
      </c>
      <c r="H45" s="25" t="s">
        <v>60</v>
      </c>
      <c r="I45" s="24" t="s">
        <v>60</v>
      </c>
      <c r="J45" s="12"/>
      <c r="K45" s="31" t="str">
        <f>"180,0"</f>
        <v>180,0</v>
      </c>
      <c r="L45" s="12" t="str">
        <f>"128,2680"</f>
        <v>128,2680</v>
      </c>
      <c r="M45" s="11" t="s">
        <v>1291</v>
      </c>
    </row>
    <row r="46" spans="1:13">
      <c r="A46" s="12" t="s">
        <v>349</v>
      </c>
      <c r="B46" s="11" t="s">
        <v>1132</v>
      </c>
      <c r="C46" s="11" t="s">
        <v>1292</v>
      </c>
      <c r="D46" s="11" t="s">
        <v>564</v>
      </c>
      <c r="E46" s="11" t="s">
        <v>2695</v>
      </c>
      <c r="F46" s="11" t="s">
        <v>1134</v>
      </c>
      <c r="G46" s="24" t="s">
        <v>127</v>
      </c>
      <c r="H46" s="25" t="s">
        <v>128</v>
      </c>
      <c r="I46" s="25" t="s">
        <v>128</v>
      </c>
      <c r="J46" s="12"/>
      <c r="K46" s="31" t="str">
        <f>"172,5"</f>
        <v>172,5</v>
      </c>
      <c r="L46" s="12" t="str">
        <f>"144,2395"</f>
        <v>144,2395</v>
      </c>
      <c r="M46" s="11" t="s">
        <v>1135</v>
      </c>
    </row>
    <row r="47" spans="1:13">
      <c r="A47" s="12" t="s">
        <v>349</v>
      </c>
      <c r="B47" s="11" t="s">
        <v>1293</v>
      </c>
      <c r="C47" s="11" t="s">
        <v>1294</v>
      </c>
      <c r="D47" s="11" t="s">
        <v>556</v>
      </c>
      <c r="E47" s="11" t="s">
        <v>2694</v>
      </c>
      <c r="F47" s="11" t="s">
        <v>1295</v>
      </c>
      <c r="G47" s="24" t="s">
        <v>24</v>
      </c>
      <c r="H47" s="24" t="s">
        <v>407</v>
      </c>
      <c r="I47" s="24" t="s">
        <v>466</v>
      </c>
      <c r="J47" s="12"/>
      <c r="K47" s="31" t="str">
        <f>"95,0"</f>
        <v>95,0</v>
      </c>
      <c r="L47" s="12" t="str">
        <f>"108,5328"</f>
        <v>108,5328</v>
      </c>
      <c r="M47" s="11" t="s">
        <v>1296</v>
      </c>
    </row>
    <row r="48" spans="1:13">
      <c r="A48" s="14" t="s">
        <v>349</v>
      </c>
      <c r="B48" s="13" t="s">
        <v>1297</v>
      </c>
      <c r="C48" s="13" t="s">
        <v>1298</v>
      </c>
      <c r="D48" s="13" t="s">
        <v>1299</v>
      </c>
      <c r="E48" s="13" t="s">
        <v>2696</v>
      </c>
      <c r="F48" s="13" t="s">
        <v>626</v>
      </c>
      <c r="G48" s="26" t="s">
        <v>49</v>
      </c>
      <c r="H48" s="26" t="s">
        <v>398</v>
      </c>
      <c r="I48" s="26" t="s">
        <v>61</v>
      </c>
      <c r="J48" s="14"/>
      <c r="K48" s="30" t="str">
        <f>"75,0"</f>
        <v>75,0</v>
      </c>
      <c r="L48" s="14" t="str">
        <f>"108,0783"</f>
        <v>108,0783</v>
      </c>
      <c r="M48" s="13"/>
    </row>
    <row r="49" spans="1:13">
      <c r="B49" s="5" t="s">
        <v>350</v>
      </c>
    </row>
    <row r="50" spans="1:13" ht="16">
      <c r="A50" s="82" t="s">
        <v>72</v>
      </c>
      <c r="B50" s="82"/>
      <c r="C50" s="82"/>
      <c r="D50" s="82"/>
      <c r="E50" s="82"/>
      <c r="F50" s="82"/>
      <c r="G50" s="82"/>
      <c r="H50" s="82"/>
      <c r="I50" s="82"/>
      <c r="J50" s="82"/>
    </row>
    <row r="51" spans="1:13">
      <c r="A51" s="10" t="s">
        <v>349</v>
      </c>
      <c r="B51" s="9" t="s">
        <v>1300</v>
      </c>
      <c r="C51" s="9" t="s">
        <v>1301</v>
      </c>
      <c r="D51" s="9" t="s">
        <v>1302</v>
      </c>
      <c r="E51" s="9" t="s">
        <v>2689</v>
      </c>
      <c r="F51" s="9" t="s">
        <v>1303</v>
      </c>
      <c r="G51" s="22" t="s">
        <v>45</v>
      </c>
      <c r="H51" s="22" t="s">
        <v>47</v>
      </c>
      <c r="I51" s="23" t="s">
        <v>166</v>
      </c>
      <c r="J51" s="10"/>
      <c r="K51" s="29" t="str">
        <f>"155,0"</f>
        <v>155,0</v>
      </c>
      <c r="L51" s="10" t="str">
        <f>"106,8415"</f>
        <v>106,8415</v>
      </c>
      <c r="M51" s="9"/>
    </row>
    <row r="52" spans="1:13">
      <c r="A52" s="12" t="s">
        <v>351</v>
      </c>
      <c r="B52" s="11" t="s">
        <v>1304</v>
      </c>
      <c r="C52" s="11" t="s">
        <v>1305</v>
      </c>
      <c r="D52" s="11" t="s">
        <v>551</v>
      </c>
      <c r="E52" s="11" t="s">
        <v>2689</v>
      </c>
      <c r="F52" s="11" t="s">
        <v>221</v>
      </c>
      <c r="G52" s="24" t="s">
        <v>45</v>
      </c>
      <c r="H52" s="24" t="s">
        <v>52</v>
      </c>
      <c r="I52" s="24" t="s">
        <v>47</v>
      </c>
      <c r="J52" s="12"/>
      <c r="K52" s="31" t="str">
        <f>"155,0"</f>
        <v>155,0</v>
      </c>
      <c r="L52" s="12" t="str">
        <f>"104,7645"</f>
        <v>104,7645</v>
      </c>
      <c r="M52" s="11"/>
    </row>
    <row r="53" spans="1:13">
      <c r="A53" s="12" t="s">
        <v>349</v>
      </c>
      <c r="B53" s="11" t="s">
        <v>1306</v>
      </c>
      <c r="C53" s="11" t="s">
        <v>1307</v>
      </c>
      <c r="D53" s="11" t="s">
        <v>1308</v>
      </c>
      <c r="E53" s="11" t="s">
        <v>2690</v>
      </c>
      <c r="F53" s="11" t="s">
        <v>221</v>
      </c>
      <c r="G53" s="24" t="s">
        <v>116</v>
      </c>
      <c r="H53" s="25" t="s">
        <v>60</v>
      </c>
      <c r="I53" s="24" t="s">
        <v>118</v>
      </c>
      <c r="J53" s="12"/>
      <c r="K53" s="31" t="str">
        <f>"185,0"</f>
        <v>185,0</v>
      </c>
      <c r="L53" s="12" t="str">
        <f>"124,8565"</f>
        <v>124,8565</v>
      </c>
      <c r="M53" s="11" t="s">
        <v>2617</v>
      </c>
    </row>
    <row r="54" spans="1:13">
      <c r="A54" s="12" t="s">
        <v>351</v>
      </c>
      <c r="B54" s="11" t="s">
        <v>1309</v>
      </c>
      <c r="C54" s="11" t="s">
        <v>1310</v>
      </c>
      <c r="D54" s="11" t="s">
        <v>429</v>
      </c>
      <c r="E54" s="11" t="s">
        <v>2690</v>
      </c>
      <c r="F54" s="11" t="s">
        <v>1311</v>
      </c>
      <c r="G54" s="24" t="s">
        <v>109</v>
      </c>
      <c r="H54" s="24" t="s">
        <v>116</v>
      </c>
      <c r="I54" s="24" t="s">
        <v>117</v>
      </c>
      <c r="J54" s="12"/>
      <c r="K54" s="31" t="str">
        <f>"182,5"</f>
        <v>182,5</v>
      </c>
      <c r="L54" s="12" t="str">
        <f>"125,1950"</f>
        <v>125,1950</v>
      </c>
      <c r="M54" s="11"/>
    </row>
    <row r="55" spans="1:13">
      <c r="A55" s="12" t="s">
        <v>353</v>
      </c>
      <c r="B55" s="11" t="s">
        <v>1312</v>
      </c>
      <c r="C55" s="11" t="s">
        <v>1313</v>
      </c>
      <c r="D55" s="11" t="s">
        <v>551</v>
      </c>
      <c r="E55" s="11" t="s">
        <v>2690</v>
      </c>
      <c r="F55" s="11" t="s">
        <v>1314</v>
      </c>
      <c r="G55" s="24" t="s">
        <v>166</v>
      </c>
      <c r="H55" s="24" t="s">
        <v>109</v>
      </c>
      <c r="I55" s="25" t="s">
        <v>60</v>
      </c>
      <c r="J55" s="12"/>
      <c r="K55" s="31" t="str">
        <f>"170,0"</f>
        <v>170,0</v>
      </c>
      <c r="L55" s="12" t="str">
        <f>"114,9030"</f>
        <v>114,9030</v>
      </c>
      <c r="M55" s="11" t="s">
        <v>234</v>
      </c>
    </row>
    <row r="56" spans="1:13">
      <c r="A56" s="12" t="s">
        <v>354</v>
      </c>
      <c r="B56" s="11" t="s">
        <v>579</v>
      </c>
      <c r="C56" s="11" t="s">
        <v>580</v>
      </c>
      <c r="D56" s="11" t="s">
        <v>581</v>
      </c>
      <c r="E56" s="11" t="s">
        <v>2690</v>
      </c>
      <c r="F56" s="11" t="s">
        <v>582</v>
      </c>
      <c r="G56" s="24" t="s">
        <v>52</v>
      </c>
      <c r="H56" s="24" t="s">
        <v>59</v>
      </c>
      <c r="I56" s="24" t="s">
        <v>148</v>
      </c>
      <c r="J56" s="12"/>
      <c r="K56" s="31" t="str">
        <f>"167,5"</f>
        <v>167,5</v>
      </c>
      <c r="L56" s="12" t="str">
        <f>"112,3757"</f>
        <v>112,3757</v>
      </c>
      <c r="M56" s="11"/>
    </row>
    <row r="57" spans="1:13">
      <c r="A57" s="12" t="s">
        <v>355</v>
      </c>
      <c r="B57" s="11" t="s">
        <v>1315</v>
      </c>
      <c r="C57" s="11" t="s">
        <v>1316</v>
      </c>
      <c r="D57" s="11" t="s">
        <v>1317</v>
      </c>
      <c r="E57" s="11" t="s">
        <v>2690</v>
      </c>
      <c r="F57" s="11" t="s">
        <v>30</v>
      </c>
      <c r="G57" s="25" t="s">
        <v>166</v>
      </c>
      <c r="H57" s="24" t="s">
        <v>166</v>
      </c>
      <c r="I57" s="25" t="s">
        <v>127</v>
      </c>
      <c r="J57" s="12"/>
      <c r="K57" s="31" t="str">
        <f>"165,0"</f>
        <v>165,0</v>
      </c>
      <c r="L57" s="12" t="str">
        <f>"111,8535"</f>
        <v>111,8535</v>
      </c>
      <c r="M57" s="11"/>
    </row>
    <row r="58" spans="1:13">
      <c r="A58" s="12" t="s">
        <v>356</v>
      </c>
      <c r="B58" s="11" t="s">
        <v>1318</v>
      </c>
      <c r="C58" s="11" t="s">
        <v>1319</v>
      </c>
      <c r="D58" s="11" t="s">
        <v>590</v>
      </c>
      <c r="E58" s="11" t="s">
        <v>2690</v>
      </c>
      <c r="F58" s="11" t="s">
        <v>221</v>
      </c>
      <c r="G58" s="24" t="s">
        <v>45</v>
      </c>
      <c r="H58" s="24" t="s">
        <v>52</v>
      </c>
      <c r="I58" s="25" t="s">
        <v>166</v>
      </c>
      <c r="J58" s="12"/>
      <c r="K58" s="31" t="str">
        <f>"150,0"</f>
        <v>150,0</v>
      </c>
      <c r="L58" s="12" t="str">
        <f>"102,0000"</f>
        <v>102,0000</v>
      </c>
      <c r="M58" s="11"/>
    </row>
    <row r="59" spans="1:13">
      <c r="A59" s="12" t="s">
        <v>357</v>
      </c>
      <c r="B59" s="11" t="s">
        <v>1320</v>
      </c>
      <c r="C59" s="11" t="s">
        <v>1321</v>
      </c>
      <c r="D59" s="11" t="s">
        <v>1322</v>
      </c>
      <c r="E59" s="11" t="s">
        <v>2690</v>
      </c>
      <c r="F59" s="11" t="s">
        <v>667</v>
      </c>
      <c r="G59" s="24" t="s">
        <v>67</v>
      </c>
      <c r="H59" s="24" t="s">
        <v>50</v>
      </c>
      <c r="I59" s="25" t="s">
        <v>84</v>
      </c>
      <c r="J59" s="12"/>
      <c r="K59" s="31" t="str">
        <f>"120,0"</f>
        <v>120,0</v>
      </c>
      <c r="L59" s="12" t="str">
        <f>"82,1160"</f>
        <v>82,1160</v>
      </c>
      <c r="M59" s="11"/>
    </row>
    <row r="60" spans="1:13">
      <c r="A60" s="12" t="s">
        <v>352</v>
      </c>
      <c r="B60" s="11" t="s">
        <v>1323</v>
      </c>
      <c r="C60" s="11" t="s">
        <v>1324</v>
      </c>
      <c r="D60" s="11" t="s">
        <v>1325</v>
      </c>
      <c r="E60" s="11" t="s">
        <v>2690</v>
      </c>
      <c r="F60" s="11" t="s">
        <v>869</v>
      </c>
      <c r="G60" s="25" t="s">
        <v>109</v>
      </c>
      <c r="H60" s="25" t="s">
        <v>109</v>
      </c>
      <c r="I60" s="25" t="s">
        <v>109</v>
      </c>
      <c r="J60" s="12"/>
      <c r="K60" s="31">
        <v>0</v>
      </c>
      <c r="L60" s="12" t="str">
        <f>"0,0000"</f>
        <v>0,0000</v>
      </c>
      <c r="M60" s="11" t="s">
        <v>2618</v>
      </c>
    </row>
    <row r="61" spans="1:13">
      <c r="A61" s="12" t="s">
        <v>352</v>
      </c>
      <c r="B61" s="11" t="s">
        <v>1326</v>
      </c>
      <c r="C61" s="11" t="s">
        <v>1327</v>
      </c>
      <c r="D61" s="11" t="s">
        <v>1308</v>
      </c>
      <c r="E61" s="11" t="s">
        <v>2690</v>
      </c>
      <c r="F61" s="11" t="s">
        <v>1139</v>
      </c>
      <c r="G61" s="25" t="s">
        <v>52</v>
      </c>
      <c r="H61" s="25" t="s">
        <v>52</v>
      </c>
      <c r="I61" s="25" t="s">
        <v>52</v>
      </c>
      <c r="J61" s="12"/>
      <c r="K61" s="31">
        <v>0</v>
      </c>
      <c r="L61" s="12" t="str">
        <f>"0,0000"</f>
        <v>0,0000</v>
      </c>
      <c r="M61" s="11"/>
    </row>
    <row r="62" spans="1:13">
      <c r="A62" s="12" t="s">
        <v>349</v>
      </c>
      <c r="B62" s="11" t="s">
        <v>1328</v>
      </c>
      <c r="C62" s="11" t="s">
        <v>1329</v>
      </c>
      <c r="D62" s="11" t="s">
        <v>1330</v>
      </c>
      <c r="E62" s="11" t="s">
        <v>2693</v>
      </c>
      <c r="F62" s="11" t="s">
        <v>626</v>
      </c>
      <c r="G62" s="24" t="s">
        <v>59</v>
      </c>
      <c r="H62" s="25" t="s">
        <v>166</v>
      </c>
      <c r="I62" s="25" t="s">
        <v>166</v>
      </c>
      <c r="J62" s="12"/>
      <c r="K62" s="31" t="str">
        <f>"160,0"</f>
        <v>160,0</v>
      </c>
      <c r="L62" s="12" t="str">
        <f>"123,5601"</f>
        <v>123,5601</v>
      </c>
      <c r="M62" s="11"/>
    </row>
    <row r="63" spans="1:13">
      <c r="A63" s="12" t="s">
        <v>349</v>
      </c>
      <c r="B63" s="11" t="s">
        <v>1331</v>
      </c>
      <c r="C63" s="11" t="s">
        <v>1332</v>
      </c>
      <c r="D63" s="11" t="s">
        <v>1333</v>
      </c>
      <c r="E63" s="11" t="s">
        <v>2695</v>
      </c>
      <c r="F63" s="11" t="s">
        <v>931</v>
      </c>
      <c r="G63" s="24" t="s">
        <v>391</v>
      </c>
      <c r="H63" s="24" t="s">
        <v>70</v>
      </c>
      <c r="I63" s="25" t="s">
        <v>365</v>
      </c>
      <c r="J63" s="12"/>
      <c r="K63" s="31" t="str">
        <f>"130,0"</f>
        <v>130,0</v>
      </c>
      <c r="L63" s="12" t="str">
        <f>"119,3759"</f>
        <v>119,3759</v>
      </c>
      <c r="M63" s="11" t="s">
        <v>1334</v>
      </c>
    </row>
    <row r="64" spans="1:13">
      <c r="A64" s="14" t="s">
        <v>349</v>
      </c>
      <c r="B64" s="13" t="s">
        <v>1335</v>
      </c>
      <c r="C64" s="13" t="s">
        <v>1336</v>
      </c>
      <c r="D64" s="13" t="s">
        <v>966</v>
      </c>
      <c r="E64" s="13" t="s">
        <v>2698</v>
      </c>
      <c r="F64" s="13" t="s">
        <v>626</v>
      </c>
      <c r="G64" s="26" t="s">
        <v>24</v>
      </c>
      <c r="H64" s="26" t="s">
        <v>407</v>
      </c>
      <c r="I64" s="26" t="s">
        <v>466</v>
      </c>
      <c r="J64" s="14"/>
      <c r="K64" s="30" t="str">
        <f>"95,0"</f>
        <v>95,0</v>
      </c>
      <c r="L64" s="14" t="str">
        <f>"131,9801"</f>
        <v>131,9801</v>
      </c>
      <c r="M64" s="13"/>
    </row>
    <row r="65" spans="1:13">
      <c r="B65" s="5" t="s">
        <v>350</v>
      </c>
    </row>
    <row r="66" spans="1:13" ht="16">
      <c r="A66" s="82" t="s">
        <v>143</v>
      </c>
      <c r="B66" s="82"/>
      <c r="C66" s="82"/>
      <c r="D66" s="82"/>
      <c r="E66" s="82"/>
      <c r="F66" s="82"/>
      <c r="G66" s="82"/>
      <c r="H66" s="82"/>
      <c r="I66" s="82"/>
      <c r="J66" s="82"/>
    </row>
    <row r="67" spans="1:13">
      <c r="A67" s="10" t="s">
        <v>349</v>
      </c>
      <c r="B67" s="9" t="s">
        <v>1337</v>
      </c>
      <c r="C67" s="9" t="s">
        <v>1338</v>
      </c>
      <c r="D67" s="9" t="s">
        <v>622</v>
      </c>
      <c r="E67" s="9" t="s">
        <v>2689</v>
      </c>
      <c r="F67" s="9" t="s">
        <v>1339</v>
      </c>
      <c r="G67" s="22" t="s">
        <v>314</v>
      </c>
      <c r="H67" s="22" t="s">
        <v>195</v>
      </c>
      <c r="I67" s="23" t="s">
        <v>1340</v>
      </c>
      <c r="J67" s="10"/>
      <c r="K67" s="29" t="str">
        <f>"207,5"</f>
        <v>207,5</v>
      </c>
      <c r="L67" s="10" t="str">
        <f>"134,0243"</f>
        <v>134,0243</v>
      </c>
      <c r="M67" s="9"/>
    </row>
    <row r="68" spans="1:13">
      <c r="A68" s="12" t="s">
        <v>349</v>
      </c>
      <c r="B68" s="11" t="s">
        <v>1341</v>
      </c>
      <c r="C68" s="11" t="s">
        <v>1342</v>
      </c>
      <c r="D68" s="11" t="s">
        <v>1028</v>
      </c>
      <c r="E68" s="11" t="s">
        <v>2690</v>
      </c>
      <c r="F68" s="11" t="s">
        <v>1343</v>
      </c>
      <c r="G68" s="24" t="s">
        <v>39</v>
      </c>
      <c r="H68" s="24" t="s">
        <v>611</v>
      </c>
      <c r="I68" s="25" t="s">
        <v>592</v>
      </c>
      <c r="J68" s="12"/>
      <c r="K68" s="31" t="str">
        <f>"222,5"</f>
        <v>222,5</v>
      </c>
      <c r="L68" s="12" t="str">
        <f>"143,2010"</f>
        <v>143,2010</v>
      </c>
      <c r="M68" s="11" t="s">
        <v>1344</v>
      </c>
    </row>
    <row r="69" spans="1:13">
      <c r="A69" s="12" t="s">
        <v>351</v>
      </c>
      <c r="B69" s="11" t="s">
        <v>1345</v>
      </c>
      <c r="C69" s="11" t="s">
        <v>1346</v>
      </c>
      <c r="D69" s="11" t="s">
        <v>1153</v>
      </c>
      <c r="E69" s="11" t="s">
        <v>2690</v>
      </c>
      <c r="F69" s="11" t="s">
        <v>1347</v>
      </c>
      <c r="G69" s="25" t="s">
        <v>31</v>
      </c>
      <c r="H69" s="24" t="s">
        <v>39</v>
      </c>
      <c r="I69" s="25" t="s">
        <v>32</v>
      </c>
      <c r="J69" s="12"/>
      <c r="K69" s="31" t="str">
        <f>"210,0"</f>
        <v>210,0</v>
      </c>
      <c r="L69" s="12" t="str">
        <f>"135,2400"</f>
        <v>135,2400</v>
      </c>
      <c r="M69" s="11" t="s">
        <v>234</v>
      </c>
    </row>
    <row r="70" spans="1:13">
      <c r="A70" s="12" t="s">
        <v>353</v>
      </c>
      <c r="B70" s="11" t="s">
        <v>1348</v>
      </c>
      <c r="C70" s="11" t="s">
        <v>1349</v>
      </c>
      <c r="D70" s="11" t="s">
        <v>1350</v>
      </c>
      <c r="E70" s="11" t="s">
        <v>2690</v>
      </c>
      <c r="F70" s="11" t="s">
        <v>1351</v>
      </c>
      <c r="G70" s="25" t="s">
        <v>37</v>
      </c>
      <c r="H70" s="25" t="s">
        <v>37</v>
      </c>
      <c r="I70" s="24" t="s">
        <v>37</v>
      </c>
      <c r="J70" s="12"/>
      <c r="K70" s="31" t="str">
        <f>"190,0"</f>
        <v>190,0</v>
      </c>
      <c r="L70" s="12" t="str">
        <f>"121,3720"</f>
        <v>121,3720</v>
      </c>
      <c r="M70" s="11"/>
    </row>
    <row r="71" spans="1:13">
      <c r="A71" s="12" t="s">
        <v>354</v>
      </c>
      <c r="B71" s="11" t="s">
        <v>1352</v>
      </c>
      <c r="C71" s="11" t="s">
        <v>1353</v>
      </c>
      <c r="D71" s="11" t="s">
        <v>622</v>
      </c>
      <c r="E71" s="11" t="s">
        <v>2690</v>
      </c>
      <c r="F71" s="11" t="s">
        <v>1354</v>
      </c>
      <c r="G71" s="24" t="s">
        <v>116</v>
      </c>
      <c r="H71" s="24" t="s">
        <v>60</v>
      </c>
      <c r="I71" s="25" t="s">
        <v>118</v>
      </c>
      <c r="J71" s="12"/>
      <c r="K71" s="31" t="str">
        <f>"180,0"</f>
        <v>180,0</v>
      </c>
      <c r="L71" s="12" t="str">
        <f>"116,2620"</f>
        <v>116,2620</v>
      </c>
      <c r="M71" s="11"/>
    </row>
    <row r="72" spans="1:13">
      <c r="A72" s="12" t="s">
        <v>355</v>
      </c>
      <c r="B72" s="11" t="s">
        <v>1355</v>
      </c>
      <c r="C72" s="11" t="s">
        <v>1356</v>
      </c>
      <c r="D72" s="11" t="s">
        <v>1169</v>
      </c>
      <c r="E72" s="11" t="s">
        <v>2690</v>
      </c>
      <c r="F72" s="11" t="s">
        <v>1357</v>
      </c>
      <c r="G72" s="24" t="s">
        <v>52</v>
      </c>
      <c r="H72" s="24" t="s">
        <v>47</v>
      </c>
      <c r="I72" s="24" t="s">
        <v>226</v>
      </c>
      <c r="J72" s="12"/>
      <c r="K72" s="31" t="str">
        <f>"162,5"</f>
        <v>162,5</v>
      </c>
      <c r="L72" s="12" t="str">
        <f>"103,9188"</f>
        <v>103,9188</v>
      </c>
      <c r="M72" s="11"/>
    </row>
    <row r="73" spans="1:13">
      <c r="A73" s="12" t="s">
        <v>356</v>
      </c>
      <c r="B73" s="11" t="s">
        <v>1358</v>
      </c>
      <c r="C73" s="11" t="s">
        <v>1359</v>
      </c>
      <c r="D73" s="11" t="s">
        <v>450</v>
      </c>
      <c r="E73" s="11" t="s">
        <v>2690</v>
      </c>
      <c r="F73" s="11" t="s">
        <v>135</v>
      </c>
      <c r="G73" s="24" t="s">
        <v>52</v>
      </c>
      <c r="H73" s="25" t="s">
        <v>59</v>
      </c>
      <c r="I73" s="25" t="s">
        <v>59</v>
      </c>
      <c r="J73" s="12"/>
      <c r="K73" s="31" t="str">
        <f>"150,0"</f>
        <v>150,0</v>
      </c>
      <c r="L73" s="12" t="str">
        <f>"96,2550"</f>
        <v>96,2550</v>
      </c>
      <c r="M73" s="11" t="s">
        <v>1360</v>
      </c>
    </row>
    <row r="74" spans="1:13">
      <c r="A74" s="12" t="s">
        <v>352</v>
      </c>
      <c r="B74" s="11" t="s">
        <v>1361</v>
      </c>
      <c r="C74" s="11" t="s">
        <v>1362</v>
      </c>
      <c r="D74" s="11" t="s">
        <v>169</v>
      </c>
      <c r="E74" s="11" t="s">
        <v>2690</v>
      </c>
      <c r="F74" s="11" t="s">
        <v>1259</v>
      </c>
      <c r="G74" s="25" t="s">
        <v>109</v>
      </c>
      <c r="H74" s="25" t="s">
        <v>109</v>
      </c>
      <c r="I74" s="25" t="s">
        <v>109</v>
      </c>
      <c r="J74" s="12"/>
      <c r="K74" s="31">
        <v>0</v>
      </c>
      <c r="L74" s="12" t="str">
        <f>"0,0000"</f>
        <v>0,0000</v>
      </c>
      <c r="M74" s="11" t="s">
        <v>234</v>
      </c>
    </row>
    <row r="75" spans="1:13">
      <c r="A75" s="12" t="s">
        <v>352</v>
      </c>
      <c r="B75" s="11" t="s">
        <v>1363</v>
      </c>
      <c r="C75" s="11" t="s">
        <v>1364</v>
      </c>
      <c r="D75" s="11" t="s">
        <v>450</v>
      </c>
      <c r="E75" s="11" t="s">
        <v>2690</v>
      </c>
      <c r="F75" s="11" t="s">
        <v>595</v>
      </c>
      <c r="G75" s="25" t="s">
        <v>59</v>
      </c>
      <c r="H75" s="25" t="s">
        <v>148</v>
      </c>
      <c r="I75" s="25" t="s">
        <v>148</v>
      </c>
      <c r="J75" s="12"/>
      <c r="K75" s="31">
        <v>0</v>
      </c>
      <c r="L75" s="12" t="str">
        <f>"0,0000"</f>
        <v>0,0000</v>
      </c>
      <c r="M75" s="11" t="s">
        <v>403</v>
      </c>
    </row>
    <row r="76" spans="1:13">
      <c r="A76" s="12" t="s">
        <v>349</v>
      </c>
      <c r="B76" s="11" t="s">
        <v>1365</v>
      </c>
      <c r="C76" s="11" t="s">
        <v>1366</v>
      </c>
      <c r="D76" s="11" t="s">
        <v>622</v>
      </c>
      <c r="E76" s="11" t="s">
        <v>2693</v>
      </c>
      <c r="F76" s="11" t="s">
        <v>667</v>
      </c>
      <c r="G76" s="25" t="s">
        <v>116</v>
      </c>
      <c r="H76" s="24" t="s">
        <v>116</v>
      </c>
      <c r="I76" s="24" t="s">
        <v>117</v>
      </c>
      <c r="J76" s="12"/>
      <c r="K76" s="31" t="str">
        <f>"182,5"</f>
        <v>182,5</v>
      </c>
      <c r="L76" s="12" t="str">
        <f>"117,8768"</f>
        <v>117,8768</v>
      </c>
      <c r="M76" s="11"/>
    </row>
    <row r="77" spans="1:13">
      <c r="A77" s="12" t="s">
        <v>351</v>
      </c>
      <c r="B77" s="11" t="s">
        <v>1367</v>
      </c>
      <c r="C77" s="11" t="s">
        <v>1368</v>
      </c>
      <c r="D77" s="11" t="s">
        <v>1369</v>
      </c>
      <c r="E77" s="11" t="s">
        <v>2693</v>
      </c>
      <c r="F77" s="11" t="s">
        <v>221</v>
      </c>
      <c r="G77" s="24" t="s">
        <v>59</v>
      </c>
      <c r="H77" s="25" t="s">
        <v>109</v>
      </c>
      <c r="I77" s="25" t="s">
        <v>116</v>
      </c>
      <c r="J77" s="12"/>
      <c r="K77" s="31" t="str">
        <f>"160,0"</f>
        <v>160,0</v>
      </c>
      <c r="L77" s="12" t="str">
        <f>"111,4738"</f>
        <v>111,4738</v>
      </c>
      <c r="M77" s="11"/>
    </row>
    <row r="78" spans="1:13">
      <c r="A78" s="12" t="s">
        <v>349</v>
      </c>
      <c r="B78" s="11" t="s">
        <v>179</v>
      </c>
      <c r="C78" s="11" t="s">
        <v>180</v>
      </c>
      <c r="D78" s="11" t="s">
        <v>181</v>
      </c>
      <c r="E78" s="11" t="s">
        <v>2695</v>
      </c>
      <c r="F78" s="11" t="s">
        <v>15</v>
      </c>
      <c r="G78" s="24" t="s">
        <v>45</v>
      </c>
      <c r="H78" s="24" t="s">
        <v>46</v>
      </c>
      <c r="I78" s="24" t="s">
        <v>59</v>
      </c>
      <c r="J78" s="12"/>
      <c r="K78" s="31" t="str">
        <f>"160,0"</f>
        <v>160,0</v>
      </c>
      <c r="L78" s="12" t="str">
        <f>"127,6138"</f>
        <v>127,6138</v>
      </c>
      <c r="M78" s="11"/>
    </row>
    <row r="79" spans="1:13">
      <c r="A79" s="12" t="s">
        <v>352</v>
      </c>
      <c r="B79" s="11" t="s">
        <v>1370</v>
      </c>
      <c r="C79" s="11" t="s">
        <v>1371</v>
      </c>
      <c r="D79" s="11" t="s">
        <v>1372</v>
      </c>
      <c r="E79" s="11" t="s">
        <v>2695</v>
      </c>
      <c r="F79" s="11" t="s">
        <v>221</v>
      </c>
      <c r="G79" s="25" t="s">
        <v>166</v>
      </c>
      <c r="H79" s="12"/>
      <c r="I79" s="12"/>
      <c r="J79" s="12"/>
      <c r="K79" s="31">
        <v>0</v>
      </c>
      <c r="L79" s="12" t="str">
        <f>"0,0000"</f>
        <v>0,0000</v>
      </c>
      <c r="M79" s="11" t="s">
        <v>2619</v>
      </c>
    </row>
    <row r="80" spans="1:13">
      <c r="A80" s="14" t="s">
        <v>349</v>
      </c>
      <c r="B80" s="13" t="s">
        <v>1373</v>
      </c>
      <c r="C80" s="13" t="s">
        <v>1374</v>
      </c>
      <c r="D80" s="13" t="s">
        <v>1375</v>
      </c>
      <c r="E80" s="13" t="s">
        <v>2694</v>
      </c>
      <c r="F80" s="13" t="s">
        <v>1376</v>
      </c>
      <c r="G80" s="26" t="s">
        <v>407</v>
      </c>
      <c r="H80" s="26" t="s">
        <v>188</v>
      </c>
      <c r="I80" s="26" t="s">
        <v>853</v>
      </c>
      <c r="J80" s="14"/>
      <c r="K80" s="30" t="str">
        <f>"107,5"</f>
        <v>107,5</v>
      </c>
      <c r="L80" s="14" t="str">
        <f>"97,6588"</f>
        <v>97,6588</v>
      </c>
      <c r="M80" s="13"/>
    </row>
    <row r="81" spans="1:13">
      <c r="B81" s="5" t="s">
        <v>350</v>
      </c>
    </row>
    <row r="82" spans="1:13" ht="16">
      <c r="A82" s="82" t="s">
        <v>183</v>
      </c>
      <c r="B82" s="82"/>
      <c r="C82" s="82"/>
      <c r="D82" s="82"/>
      <c r="E82" s="82"/>
      <c r="F82" s="82"/>
      <c r="G82" s="82"/>
      <c r="H82" s="82"/>
      <c r="I82" s="82"/>
      <c r="J82" s="82"/>
    </row>
    <row r="83" spans="1:13">
      <c r="A83" s="10" t="s">
        <v>349</v>
      </c>
      <c r="B83" s="9" t="s">
        <v>1377</v>
      </c>
      <c r="C83" s="9" t="s">
        <v>1378</v>
      </c>
      <c r="D83" s="9" t="s">
        <v>1379</v>
      </c>
      <c r="E83" s="9" t="s">
        <v>2690</v>
      </c>
      <c r="F83" s="9" t="s">
        <v>313</v>
      </c>
      <c r="G83" s="22" t="s">
        <v>78</v>
      </c>
      <c r="H83" s="22" t="s">
        <v>270</v>
      </c>
      <c r="I83" s="22" t="s">
        <v>475</v>
      </c>
      <c r="J83" s="10"/>
      <c r="K83" s="29" t="str">
        <f>"242,5"</f>
        <v>242,5</v>
      </c>
      <c r="L83" s="10" t="str">
        <f>"150,3500"</f>
        <v>150,3500</v>
      </c>
      <c r="M83" s="9" t="s">
        <v>131</v>
      </c>
    </row>
    <row r="84" spans="1:13">
      <c r="A84" s="12" t="s">
        <v>351</v>
      </c>
      <c r="B84" s="11" t="s">
        <v>1380</v>
      </c>
      <c r="C84" s="11" t="s">
        <v>1381</v>
      </c>
      <c r="D84" s="11" t="s">
        <v>207</v>
      </c>
      <c r="E84" s="9" t="s">
        <v>2690</v>
      </c>
      <c r="F84" s="11" t="s">
        <v>462</v>
      </c>
      <c r="G84" s="24" t="s">
        <v>284</v>
      </c>
      <c r="H84" s="24" t="s">
        <v>32</v>
      </c>
      <c r="I84" s="25" t="s">
        <v>77</v>
      </c>
      <c r="J84" s="12"/>
      <c r="K84" s="31" t="str">
        <f>"215,0"</f>
        <v>215,0</v>
      </c>
      <c r="L84" s="12" t="str">
        <f>"132,5045"</f>
        <v>132,5045</v>
      </c>
      <c r="M84" s="11" t="s">
        <v>1382</v>
      </c>
    </row>
    <row r="85" spans="1:13">
      <c r="A85" s="12" t="s">
        <v>353</v>
      </c>
      <c r="B85" s="11" t="s">
        <v>1383</v>
      </c>
      <c r="C85" s="11" t="s">
        <v>1384</v>
      </c>
      <c r="D85" s="11" t="s">
        <v>656</v>
      </c>
      <c r="E85" s="9" t="s">
        <v>2690</v>
      </c>
      <c r="F85" s="11" t="s">
        <v>221</v>
      </c>
      <c r="G85" s="24" t="s">
        <v>118</v>
      </c>
      <c r="H85" s="24" t="s">
        <v>38</v>
      </c>
      <c r="I85" s="24" t="s">
        <v>195</v>
      </c>
      <c r="J85" s="12"/>
      <c r="K85" s="31" t="str">
        <f>"207,5"</f>
        <v>207,5</v>
      </c>
      <c r="L85" s="12" t="str">
        <f>"126,4298"</f>
        <v>126,4298</v>
      </c>
      <c r="M85" s="11"/>
    </row>
    <row r="86" spans="1:13">
      <c r="A86" s="12" t="s">
        <v>354</v>
      </c>
      <c r="B86" s="11" t="s">
        <v>189</v>
      </c>
      <c r="C86" s="11" t="s">
        <v>190</v>
      </c>
      <c r="D86" s="11" t="s">
        <v>191</v>
      </c>
      <c r="E86" s="9" t="s">
        <v>2690</v>
      </c>
      <c r="F86" s="11" t="s">
        <v>192</v>
      </c>
      <c r="G86" s="24" t="s">
        <v>37</v>
      </c>
      <c r="H86" s="24" t="s">
        <v>38</v>
      </c>
      <c r="I86" s="25" t="s">
        <v>195</v>
      </c>
      <c r="J86" s="12"/>
      <c r="K86" s="31" t="str">
        <f>"200,0"</f>
        <v>200,0</v>
      </c>
      <c r="L86" s="12" t="str">
        <f>"122,3200"</f>
        <v>122,3200</v>
      </c>
      <c r="M86" s="11"/>
    </row>
    <row r="87" spans="1:13">
      <c r="A87" s="12" t="s">
        <v>355</v>
      </c>
      <c r="B87" s="11" t="s">
        <v>1385</v>
      </c>
      <c r="C87" s="11" t="s">
        <v>1386</v>
      </c>
      <c r="D87" s="11" t="s">
        <v>200</v>
      </c>
      <c r="E87" s="9" t="s">
        <v>2690</v>
      </c>
      <c r="F87" s="11" t="s">
        <v>1387</v>
      </c>
      <c r="G87" s="24" t="s">
        <v>37</v>
      </c>
      <c r="H87" s="24" t="s">
        <v>160</v>
      </c>
      <c r="I87" s="25" t="s">
        <v>314</v>
      </c>
      <c r="J87" s="12"/>
      <c r="K87" s="31" t="str">
        <f>"197,5"</f>
        <v>197,5</v>
      </c>
      <c r="L87" s="12" t="str">
        <f>"121,2453"</f>
        <v>121,2453</v>
      </c>
      <c r="M87" s="11"/>
    </row>
    <row r="88" spans="1:13">
      <c r="A88" s="12" t="s">
        <v>356</v>
      </c>
      <c r="B88" s="11" t="s">
        <v>1388</v>
      </c>
      <c r="C88" s="11" t="s">
        <v>1389</v>
      </c>
      <c r="D88" s="11" t="s">
        <v>1178</v>
      </c>
      <c r="E88" s="9" t="s">
        <v>2690</v>
      </c>
      <c r="F88" s="11" t="s">
        <v>221</v>
      </c>
      <c r="G88" s="25" t="s">
        <v>284</v>
      </c>
      <c r="H88" s="24" t="s">
        <v>284</v>
      </c>
      <c r="I88" s="25" t="s">
        <v>314</v>
      </c>
      <c r="J88" s="12"/>
      <c r="K88" s="31" t="str">
        <f>"195,0"</f>
        <v>195,0</v>
      </c>
      <c r="L88" s="12" t="str">
        <f>"119,0085"</f>
        <v>119,0085</v>
      </c>
      <c r="M88" s="11"/>
    </row>
    <row r="89" spans="1:13">
      <c r="A89" s="12" t="s">
        <v>357</v>
      </c>
      <c r="B89" s="11" t="s">
        <v>1390</v>
      </c>
      <c r="C89" s="11" t="s">
        <v>1391</v>
      </c>
      <c r="D89" s="11" t="s">
        <v>640</v>
      </c>
      <c r="E89" s="9" t="s">
        <v>2690</v>
      </c>
      <c r="F89" s="11" t="s">
        <v>1392</v>
      </c>
      <c r="G89" s="25" t="s">
        <v>118</v>
      </c>
      <c r="H89" s="25" t="s">
        <v>118</v>
      </c>
      <c r="I89" s="24" t="s">
        <v>118</v>
      </c>
      <c r="J89" s="12"/>
      <c r="K89" s="31" t="str">
        <f>"185,0"</f>
        <v>185,0</v>
      </c>
      <c r="L89" s="12" t="str">
        <f>"113,5160"</f>
        <v>113,5160</v>
      </c>
      <c r="M89" s="11"/>
    </row>
    <row r="90" spans="1:13">
      <c r="A90" s="12" t="s">
        <v>358</v>
      </c>
      <c r="B90" s="11" t="s">
        <v>1393</v>
      </c>
      <c r="C90" s="11" t="s">
        <v>1394</v>
      </c>
      <c r="D90" s="11" t="s">
        <v>1032</v>
      </c>
      <c r="E90" s="9" t="s">
        <v>2690</v>
      </c>
      <c r="F90" s="11" t="s">
        <v>221</v>
      </c>
      <c r="G90" s="24" t="s">
        <v>116</v>
      </c>
      <c r="H90" s="25" t="s">
        <v>118</v>
      </c>
      <c r="I90" s="24" t="s">
        <v>118</v>
      </c>
      <c r="J90" s="12"/>
      <c r="K90" s="31" t="str">
        <f>"185,0"</f>
        <v>185,0</v>
      </c>
      <c r="L90" s="12" t="str">
        <f>"112,9980"</f>
        <v>112,9980</v>
      </c>
      <c r="M90" s="11"/>
    </row>
    <row r="91" spans="1:13">
      <c r="A91" s="12" t="s">
        <v>761</v>
      </c>
      <c r="B91" s="11" t="s">
        <v>1395</v>
      </c>
      <c r="C91" s="11" t="s">
        <v>1396</v>
      </c>
      <c r="D91" s="11" t="s">
        <v>644</v>
      </c>
      <c r="E91" s="9" t="s">
        <v>2690</v>
      </c>
      <c r="F91" s="11" t="s">
        <v>187</v>
      </c>
      <c r="G91" s="25" t="s">
        <v>60</v>
      </c>
      <c r="H91" s="24" t="s">
        <v>60</v>
      </c>
      <c r="I91" s="25" t="s">
        <v>118</v>
      </c>
      <c r="J91" s="12"/>
      <c r="K91" s="31" t="str">
        <f>"180,0"</f>
        <v>180,0</v>
      </c>
      <c r="L91" s="12" t="str">
        <f>"109,8180"</f>
        <v>109,8180</v>
      </c>
      <c r="M91" s="11"/>
    </row>
    <row r="92" spans="1:13">
      <c r="A92" s="12" t="s">
        <v>762</v>
      </c>
      <c r="B92" s="11" t="s">
        <v>1397</v>
      </c>
      <c r="C92" s="11" t="s">
        <v>1398</v>
      </c>
      <c r="D92" s="11" t="s">
        <v>663</v>
      </c>
      <c r="E92" s="9" t="s">
        <v>2690</v>
      </c>
      <c r="F92" s="11" t="s">
        <v>92</v>
      </c>
      <c r="G92" s="25" t="s">
        <v>109</v>
      </c>
      <c r="H92" s="24" t="s">
        <v>109</v>
      </c>
      <c r="I92" s="24" t="s">
        <v>116</v>
      </c>
      <c r="J92" s="12"/>
      <c r="K92" s="31" t="str">
        <f>"175,0"</f>
        <v>175,0</v>
      </c>
      <c r="L92" s="12" t="str">
        <f>"108,9550"</f>
        <v>108,9550</v>
      </c>
      <c r="M92" s="11"/>
    </row>
    <row r="93" spans="1:13">
      <c r="A93" s="12" t="s">
        <v>1541</v>
      </c>
      <c r="B93" s="11" t="s">
        <v>1399</v>
      </c>
      <c r="C93" s="11" t="s">
        <v>1400</v>
      </c>
      <c r="D93" s="11" t="s">
        <v>656</v>
      </c>
      <c r="E93" s="9" t="s">
        <v>2690</v>
      </c>
      <c r="F93" s="11" t="s">
        <v>221</v>
      </c>
      <c r="G93" s="24" t="s">
        <v>46</v>
      </c>
      <c r="H93" s="24" t="s">
        <v>59</v>
      </c>
      <c r="I93" s="24" t="s">
        <v>148</v>
      </c>
      <c r="J93" s="12"/>
      <c r="K93" s="31" t="str">
        <f>"167,5"</f>
        <v>167,5</v>
      </c>
      <c r="L93" s="12" t="str">
        <f>"102,0578"</f>
        <v>102,0578</v>
      </c>
      <c r="M93" s="11" t="s">
        <v>1401</v>
      </c>
    </row>
    <row r="94" spans="1:13">
      <c r="A94" s="12" t="s">
        <v>1542</v>
      </c>
      <c r="B94" s="11" t="s">
        <v>1402</v>
      </c>
      <c r="C94" s="11" t="s">
        <v>1403</v>
      </c>
      <c r="D94" s="11" t="s">
        <v>1404</v>
      </c>
      <c r="E94" s="9" t="s">
        <v>2690</v>
      </c>
      <c r="F94" s="11" t="s">
        <v>30</v>
      </c>
      <c r="G94" s="24" t="s">
        <v>59</v>
      </c>
      <c r="H94" s="24" t="s">
        <v>166</v>
      </c>
      <c r="I94" s="25" t="s">
        <v>109</v>
      </c>
      <c r="J94" s="12"/>
      <c r="K94" s="31" t="str">
        <f>"165,0"</f>
        <v>165,0</v>
      </c>
      <c r="L94" s="12" t="str">
        <f>"102,4485"</f>
        <v>102,4485</v>
      </c>
      <c r="M94" s="11"/>
    </row>
    <row r="95" spans="1:13">
      <c r="A95" s="12" t="s">
        <v>352</v>
      </c>
      <c r="B95" s="11" t="s">
        <v>1405</v>
      </c>
      <c r="C95" s="11" t="s">
        <v>1406</v>
      </c>
      <c r="D95" s="11" t="s">
        <v>1407</v>
      </c>
      <c r="E95" s="9" t="s">
        <v>2690</v>
      </c>
      <c r="F95" s="11" t="s">
        <v>807</v>
      </c>
      <c r="G95" s="25" t="s">
        <v>117</v>
      </c>
      <c r="H95" s="25" t="s">
        <v>117</v>
      </c>
      <c r="I95" s="12"/>
      <c r="J95" s="12"/>
      <c r="K95" s="31">
        <v>0</v>
      </c>
      <c r="L95" s="12" t="str">
        <f>"0,0000"</f>
        <v>0,0000</v>
      </c>
      <c r="M95" s="11"/>
    </row>
    <row r="96" spans="1:13">
      <c r="A96" s="12" t="s">
        <v>352</v>
      </c>
      <c r="B96" s="11" t="s">
        <v>1408</v>
      </c>
      <c r="C96" s="11" t="s">
        <v>1409</v>
      </c>
      <c r="D96" s="11" t="s">
        <v>1410</v>
      </c>
      <c r="E96" s="9" t="s">
        <v>2690</v>
      </c>
      <c r="F96" s="11" t="s">
        <v>1411</v>
      </c>
      <c r="G96" s="25" t="s">
        <v>100</v>
      </c>
      <c r="H96" s="25" t="s">
        <v>100</v>
      </c>
      <c r="I96" s="25" t="s">
        <v>86</v>
      </c>
      <c r="J96" s="12"/>
      <c r="K96" s="31">
        <v>0</v>
      </c>
      <c r="L96" s="12" t="str">
        <f>"0,0000"</f>
        <v>0,0000</v>
      </c>
      <c r="M96" s="11"/>
    </row>
    <row r="97" spans="1:13">
      <c r="A97" s="12" t="s">
        <v>349</v>
      </c>
      <c r="B97" s="11" t="s">
        <v>1412</v>
      </c>
      <c r="C97" s="11" t="s">
        <v>1413</v>
      </c>
      <c r="D97" s="11" t="s">
        <v>1414</v>
      </c>
      <c r="E97" s="11" t="s">
        <v>2693</v>
      </c>
      <c r="F97" s="11" t="s">
        <v>135</v>
      </c>
      <c r="G97" s="24" t="s">
        <v>60</v>
      </c>
      <c r="H97" s="24" t="s">
        <v>37</v>
      </c>
      <c r="I97" s="24" t="s">
        <v>160</v>
      </c>
      <c r="J97" s="12"/>
      <c r="K97" s="31" t="str">
        <f>"197,5"</f>
        <v>197,5</v>
      </c>
      <c r="L97" s="12" t="str">
        <f>"122,9043"</f>
        <v>122,9043</v>
      </c>
      <c r="M97" s="11" t="s">
        <v>1415</v>
      </c>
    </row>
    <row r="98" spans="1:13">
      <c r="A98" s="12" t="s">
        <v>351</v>
      </c>
      <c r="B98" s="11" t="s">
        <v>1385</v>
      </c>
      <c r="C98" s="11" t="s">
        <v>1416</v>
      </c>
      <c r="D98" s="11" t="s">
        <v>200</v>
      </c>
      <c r="E98" s="11" t="s">
        <v>2693</v>
      </c>
      <c r="F98" s="11" t="s">
        <v>1387</v>
      </c>
      <c r="G98" s="24" t="s">
        <v>37</v>
      </c>
      <c r="H98" s="24" t="s">
        <v>160</v>
      </c>
      <c r="I98" s="25" t="s">
        <v>314</v>
      </c>
      <c r="J98" s="12"/>
      <c r="K98" s="31" t="str">
        <f>"197,5"</f>
        <v>197,5</v>
      </c>
      <c r="L98" s="12" t="str">
        <f>"130,7024"</f>
        <v>130,7024</v>
      </c>
      <c r="M98" s="11"/>
    </row>
    <row r="99" spans="1:13">
      <c r="A99" s="12" t="s">
        <v>353</v>
      </c>
      <c r="B99" s="11" t="s">
        <v>1417</v>
      </c>
      <c r="C99" s="11" t="s">
        <v>1418</v>
      </c>
      <c r="D99" s="11" t="s">
        <v>1414</v>
      </c>
      <c r="E99" s="11" t="s">
        <v>2693</v>
      </c>
      <c r="F99" s="11" t="s">
        <v>840</v>
      </c>
      <c r="G99" s="24" t="s">
        <v>45</v>
      </c>
      <c r="H99" s="25" t="s">
        <v>52</v>
      </c>
      <c r="I99" s="24" t="s">
        <v>52</v>
      </c>
      <c r="J99" s="12"/>
      <c r="K99" s="31" t="str">
        <f>"150,0"</f>
        <v>150,0</v>
      </c>
      <c r="L99" s="12" t="str">
        <f>"103,9863"</f>
        <v>103,9863</v>
      </c>
      <c r="M99" s="11"/>
    </row>
    <row r="100" spans="1:13">
      <c r="A100" s="12" t="s">
        <v>349</v>
      </c>
      <c r="B100" s="11" t="s">
        <v>1419</v>
      </c>
      <c r="C100" s="11" t="s">
        <v>1420</v>
      </c>
      <c r="D100" s="11" t="s">
        <v>1032</v>
      </c>
      <c r="E100" s="11" t="s">
        <v>2695</v>
      </c>
      <c r="F100" s="11" t="s">
        <v>261</v>
      </c>
      <c r="G100" s="24" t="s">
        <v>39</v>
      </c>
      <c r="H100" s="24" t="s">
        <v>696</v>
      </c>
      <c r="I100" s="25" t="s">
        <v>611</v>
      </c>
      <c r="J100" s="12"/>
      <c r="K100" s="31" t="str">
        <f>"217,5"</f>
        <v>217,5</v>
      </c>
      <c r="L100" s="12" t="str">
        <f>"163,1386"</f>
        <v>163,1386</v>
      </c>
      <c r="M100" s="11"/>
    </row>
    <row r="101" spans="1:13">
      <c r="A101" s="12" t="s">
        <v>352</v>
      </c>
      <c r="B101" s="11" t="s">
        <v>1421</v>
      </c>
      <c r="C101" s="11" t="s">
        <v>1422</v>
      </c>
      <c r="D101" s="11" t="s">
        <v>1423</v>
      </c>
      <c r="E101" s="11" t="s">
        <v>2695</v>
      </c>
      <c r="F101" s="11" t="s">
        <v>221</v>
      </c>
      <c r="G101" s="25" t="s">
        <v>116</v>
      </c>
      <c r="H101" s="25" t="s">
        <v>116</v>
      </c>
      <c r="I101" s="25" t="s">
        <v>116</v>
      </c>
      <c r="J101" s="12"/>
      <c r="K101" s="31">
        <v>0</v>
      </c>
      <c r="L101" s="12" t="str">
        <f>"0,0000"</f>
        <v>0,0000</v>
      </c>
      <c r="M101" s="11"/>
    </row>
    <row r="102" spans="1:13">
      <c r="A102" s="12" t="s">
        <v>349</v>
      </c>
      <c r="B102" s="11" t="s">
        <v>1180</v>
      </c>
      <c r="C102" s="11" t="s">
        <v>1181</v>
      </c>
      <c r="D102" s="11" t="s">
        <v>225</v>
      </c>
      <c r="E102" s="11" t="s">
        <v>2694</v>
      </c>
      <c r="F102" s="11" t="s">
        <v>1182</v>
      </c>
      <c r="G102" s="24" t="s">
        <v>45</v>
      </c>
      <c r="H102" s="24" t="s">
        <v>47</v>
      </c>
      <c r="I102" s="24" t="s">
        <v>226</v>
      </c>
      <c r="J102" s="12"/>
      <c r="K102" s="31" t="str">
        <f>"162,5"</f>
        <v>162,5</v>
      </c>
      <c r="L102" s="12" t="str">
        <f>"140,3620"</f>
        <v>140,3620</v>
      </c>
      <c r="M102" s="11" t="s">
        <v>1117</v>
      </c>
    </row>
    <row r="103" spans="1:13">
      <c r="A103" s="14" t="s">
        <v>351</v>
      </c>
      <c r="B103" s="13" t="s">
        <v>1424</v>
      </c>
      <c r="C103" s="13" t="s">
        <v>1425</v>
      </c>
      <c r="D103" s="13" t="s">
        <v>1426</v>
      </c>
      <c r="E103" s="13" t="s">
        <v>2694</v>
      </c>
      <c r="F103" s="13" t="s">
        <v>1427</v>
      </c>
      <c r="G103" s="26" t="s">
        <v>154</v>
      </c>
      <c r="H103" s="26" t="s">
        <v>93</v>
      </c>
      <c r="I103" s="26" t="s">
        <v>52</v>
      </c>
      <c r="J103" s="14"/>
      <c r="K103" s="30" t="str">
        <f>"150,0"</f>
        <v>150,0</v>
      </c>
      <c r="L103" s="14" t="str">
        <f>"142,5425"</f>
        <v>142,5425</v>
      </c>
      <c r="M103" s="13"/>
    </row>
    <row r="104" spans="1:13">
      <c r="B104" s="5" t="s">
        <v>350</v>
      </c>
    </row>
    <row r="105" spans="1:13" ht="16">
      <c r="A105" s="82" t="s">
        <v>244</v>
      </c>
      <c r="B105" s="82"/>
      <c r="C105" s="82"/>
      <c r="D105" s="82"/>
      <c r="E105" s="82"/>
      <c r="F105" s="82"/>
      <c r="G105" s="82"/>
      <c r="H105" s="82"/>
      <c r="I105" s="82"/>
      <c r="J105" s="82"/>
    </row>
    <row r="106" spans="1:13">
      <c r="A106" s="10" t="s">
        <v>349</v>
      </c>
      <c r="B106" s="9" t="s">
        <v>1428</v>
      </c>
      <c r="C106" s="9" t="s">
        <v>1429</v>
      </c>
      <c r="D106" s="9" t="s">
        <v>1430</v>
      </c>
      <c r="E106" s="9" t="s">
        <v>2690</v>
      </c>
      <c r="F106" s="9" t="s">
        <v>807</v>
      </c>
      <c r="G106" s="22" t="s">
        <v>87</v>
      </c>
      <c r="H106" s="10"/>
      <c r="I106" s="10"/>
      <c r="J106" s="10"/>
      <c r="K106" s="29" t="str">
        <f>"250,0"</f>
        <v>250,0</v>
      </c>
      <c r="L106" s="10" t="str">
        <f>"148,0250"</f>
        <v>148,0250</v>
      </c>
      <c r="M106" s="9"/>
    </row>
    <row r="107" spans="1:13">
      <c r="A107" s="12" t="s">
        <v>351</v>
      </c>
      <c r="B107" s="11" t="s">
        <v>1431</v>
      </c>
      <c r="C107" s="11" t="s">
        <v>1432</v>
      </c>
      <c r="D107" s="11" t="s">
        <v>1433</v>
      </c>
      <c r="E107" s="9" t="s">
        <v>2690</v>
      </c>
      <c r="F107" s="11" t="s">
        <v>1434</v>
      </c>
      <c r="G107" s="24" t="s">
        <v>77</v>
      </c>
      <c r="H107" s="24" t="s">
        <v>483</v>
      </c>
      <c r="I107" s="24" t="s">
        <v>100</v>
      </c>
      <c r="J107" s="12"/>
      <c r="K107" s="31" t="str">
        <f>"240,0"</f>
        <v>240,0</v>
      </c>
      <c r="L107" s="12" t="str">
        <f>"145,1040"</f>
        <v>145,1040</v>
      </c>
      <c r="M107" s="11"/>
    </row>
    <row r="108" spans="1:13">
      <c r="A108" s="12" t="s">
        <v>353</v>
      </c>
      <c r="B108" s="11" t="s">
        <v>249</v>
      </c>
      <c r="C108" s="11" t="s">
        <v>250</v>
      </c>
      <c r="D108" s="11" t="s">
        <v>251</v>
      </c>
      <c r="E108" s="9" t="s">
        <v>2690</v>
      </c>
      <c r="F108" s="11" t="s">
        <v>252</v>
      </c>
      <c r="G108" s="24" t="s">
        <v>77</v>
      </c>
      <c r="H108" s="24" t="s">
        <v>78</v>
      </c>
      <c r="I108" s="25" t="s">
        <v>100</v>
      </c>
      <c r="J108" s="12"/>
      <c r="K108" s="31" t="str">
        <f>"230,0"</f>
        <v>230,0</v>
      </c>
      <c r="L108" s="12" t="str">
        <f>"136,6430"</f>
        <v>136,6430</v>
      </c>
      <c r="M108" s="11" t="s">
        <v>255</v>
      </c>
    </row>
    <row r="109" spans="1:13">
      <c r="A109" s="12" t="s">
        <v>354</v>
      </c>
      <c r="B109" s="11" t="s">
        <v>1435</v>
      </c>
      <c r="C109" s="11" t="s">
        <v>1436</v>
      </c>
      <c r="D109" s="11" t="s">
        <v>1193</v>
      </c>
      <c r="E109" s="9" t="s">
        <v>2690</v>
      </c>
      <c r="F109" s="11" t="s">
        <v>462</v>
      </c>
      <c r="G109" s="24" t="s">
        <v>32</v>
      </c>
      <c r="H109" s="24" t="s">
        <v>33</v>
      </c>
      <c r="I109" s="25" t="s">
        <v>78</v>
      </c>
      <c r="J109" s="12"/>
      <c r="K109" s="31" t="str">
        <f>"225,0"</f>
        <v>225,0</v>
      </c>
      <c r="L109" s="12" t="str">
        <f>"133,8300"</f>
        <v>133,8300</v>
      </c>
      <c r="M109" s="11" t="s">
        <v>1437</v>
      </c>
    </row>
    <row r="110" spans="1:13">
      <c r="A110" s="12" t="s">
        <v>355</v>
      </c>
      <c r="B110" s="11" t="s">
        <v>702</v>
      </c>
      <c r="C110" s="11" t="s">
        <v>703</v>
      </c>
      <c r="D110" s="11" t="s">
        <v>704</v>
      </c>
      <c r="E110" s="9" t="s">
        <v>2690</v>
      </c>
      <c r="F110" s="11" t="s">
        <v>221</v>
      </c>
      <c r="G110" s="24" t="s">
        <v>32</v>
      </c>
      <c r="H110" s="25" t="s">
        <v>77</v>
      </c>
      <c r="I110" s="25" t="s">
        <v>77</v>
      </c>
      <c r="J110" s="12"/>
      <c r="K110" s="31" t="str">
        <f>"215,0"</f>
        <v>215,0</v>
      </c>
      <c r="L110" s="12" t="str">
        <f>"126,8930"</f>
        <v>126,8930</v>
      </c>
      <c r="M110" s="11" t="s">
        <v>705</v>
      </c>
    </row>
    <row r="111" spans="1:13">
      <c r="A111" s="12" t="s">
        <v>356</v>
      </c>
      <c r="B111" s="11" t="s">
        <v>1438</v>
      </c>
      <c r="C111" s="11" t="s">
        <v>1439</v>
      </c>
      <c r="D111" s="11" t="s">
        <v>1064</v>
      </c>
      <c r="E111" s="9" t="s">
        <v>2690</v>
      </c>
      <c r="F111" s="11" t="s">
        <v>221</v>
      </c>
      <c r="G111" s="24" t="s">
        <v>118</v>
      </c>
      <c r="H111" s="24" t="s">
        <v>159</v>
      </c>
      <c r="I111" s="24" t="s">
        <v>160</v>
      </c>
      <c r="J111" s="12"/>
      <c r="K111" s="31" t="str">
        <f>"197,5"</f>
        <v>197,5</v>
      </c>
      <c r="L111" s="12" t="str">
        <f>"118,3420"</f>
        <v>118,3420</v>
      </c>
      <c r="M111" s="11"/>
    </row>
    <row r="112" spans="1:13">
      <c r="A112" s="12" t="s">
        <v>357</v>
      </c>
      <c r="B112" s="11" t="s">
        <v>1440</v>
      </c>
      <c r="C112" s="11" t="s">
        <v>1441</v>
      </c>
      <c r="D112" s="11" t="s">
        <v>1207</v>
      </c>
      <c r="E112" s="9" t="s">
        <v>2690</v>
      </c>
      <c r="F112" s="11" t="s">
        <v>221</v>
      </c>
      <c r="G112" s="24" t="s">
        <v>118</v>
      </c>
      <c r="H112" s="24" t="s">
        <v>284</v>
      </c>
      <c r="I112" s="25" t="s">
        <v>314</v>
      </c>
      <c r="J112" s="12"/>
      <c r="K112" s="31" t="str">
        <f>"195,0"</f>
        <v>195,0</v>
      </c>
      <c r="L112" s="12" t="str">
        <f>"115,2255"</f>
        <v>115,2255</v>
      </c>
      <c r="M112" s="11" t="s">
        <v>1442</v>
      </c>
    </row>
    <row r="113" spans="1:13">
      <c r="A113" s="12" t="s">
        <v>358</v>
      </c>
      <c r="B113" s="11" t="s">
        <v>706</v>
      </c>
      <c r="C113" s="11" t="s">
        <v>707</v>
      </c>
      <c r="D113" s="11" t="s">
        <v>708</v>
      </c>
      <c r="E113" s="9" t="s">
        <v>2690</v>
      </c>
      <c r="F113" s="11" t="s">
        <v>92</v>
      </c>
      <c r="G113" s="24" t="s">
        <v>60</v>
      </c>
      <c r="H113" s="24" t="s">
        <v>159</v>
      </c>
      <c r="I113" s="25" t="s">
        <v>31</v>
      </c>
      <c r="J113" s="12"/>
      <c r="K113" s="31" t="str">
        <f>"192,5"</f>
        <v>192,5</v>
      </c>
      <c r="L113" s="12" t="str">
        <f>"113,8060"</f>
        <v>113,8060</v>
      </c>
      <c r="M113" s="11" t="s">
        <v>557</v>
      </c>
    </row>
    <row r="114" spans="1:13">
      <c r="A114" s="12" t="s">
        <v>761</v>
      </c>
      <c r="B114" s="11" t="s">
        <v>1443</v>
      </c>
      <c r="C114" s="11" t="s">
        <v>1444</v>
      </c>
      <c r="D114" s="11" t="s">
        <v>1207</v>
      </c>
      <c r="E114" s="9" t="s">
        <v>2690</v>
      </c>
      <c r="F114" s="11" t="s">
        <v>221</v>
      </c>
      <c r="G114" s="25" t="s">
        <v>159</v>
      </c>
      <c r="H114" s="24" t="s">
        <v>159</v>
      </c>
      <c r="I114" s="12"/>
      <c r="J114" s="12"/>
      <c r="K114" s="31" t="str">
        <f>"192,5"</f>
        <v>192,5</v>
      </c>
      <c r="L114" s="12" t="str">
        <f>"113,7483"</f>
        <v>113,7483</v>
      </c>
      <c r="M114" s="11" t="s">
        <v>2620</v>
      </c>
    </row>
    <row r="115" spans="1:13">
      <c r="A115" s="12" t="s">
        <v>762</v>
      </c>
      <c r="B115" s="11" t="s">
        <v>1445</v>
      </c>
      <c r="C115" s="11" t="s">
        <v>449</v>
      </c>
      <c r="D115" s="11" t="s">
        <v>1446</v>
      </c>
      <c r="E115" s="9" t="s">
        <v>2690</v>
      </c>
      <c r="F115" s="11" t="s">
        <v>1447</v>
      </c>
      <c r="G115" s="24" t="s">
        <v>118</v>
      </c>
      <c r="H115" s="25" t="s">
        <v>159</v>
      </c>
      <c r="I115" s="25" t="s">
        <v>159</v>
      </c>
      <c r="J115" s="12"/>
      <c r="K115" s="31" t="str">
        <f>"185,0"</f>
        <v>185,0</v>
      </c>
      <c r="L115" s="12" t="str">
        <f>"110,8150"</f>
        <v>110,8150</v>
      </c>
      <c r="M115" s="11" t="s">
        <v>1448</v>
      </c>
    </row>
    <row r="116" spans="1:13">
      <c r="A116" s="12" t="s">
        <v>1541</v>
      </c>
      <c r="B116" s="11" t="s">
        <v>1449</v>
      </c>
      <c r="C116" s="11" t="s">
        <v>1450</v>
      </c>
      <c r="D116" s="11" t="s">
        <v>478</v>
      </c>
      <c r="E116" s="9" t="s">
        <v>2690</v>
      </c>
      <c r="F116" s="11" t="s">
        <v>221</v>
      </c>
      <c r="G116" s="25" t="s">
        <v>116</v>
      </c>
      <c r="H116" s="24" t="s">
        <v>118</v>
      </c>
      <c r="I116" s="25" t="s">
        <v>159</v>
      </c>
      <c r="J116" s="12"/>
      <c r="K116" s="31" t="str">
        <f>"185,0"</f>
        <v>185,0</v>
      </c>
      <c r="L116" s="12" t="str">
        <f>"109,5015"</f>
        <v>109,5015</v>
      </c>
      <c r="M116" s="11" t="s">
        <v>222</v>
      </c>
    </row>
    <row r="117" spans="1:13">
      <c r="A117" s="12" t="s">
        <v>352</v>
      </c>
      <c r="B117" s="11" t="s">
        <v>1451</v>
      </c>
      <c r="C117" s="11" t="s">
        <v>1452</v>
      </c>
      <c r="D117" s="11" t="s">
        <v>1453</v>
      </c>
      <c r="E117" s="9" t="s">
        <v>2690</v>
      </c>
      <c r="F117" s="11" t="s">
        <v>221</v>
      </c>
      <c r="G117" s="25" t="s">
        <v>50</v>
      </c>
      <c r="H117" s="25" t="s">
        <v>50</v>
      </c>
      <c r="I117" s="25" t="s">
        <v>50</v>
      </c>
      <c r="J117" s="12"/>
      <c r="K117" s="31">
        <v>0</v>
      </c>
      <c r="L117" s="12" t="str">
        <f>"0,0000"</f>
        <v>0,0000</v>
      </c>
      <c r="M117" s="11"/>
    </row>
    <row r="118" spans="1:13">
      <c r="A118" s="12" t="s">
        <v>352</v>
      </c>
      <c r="B118" s="11" t="s">
        <v>1454</v>
      </c>
      <c r="C118" s="11" t="s">
        <v>1455</v>
      </c>
      <c r="D118" s="11" t="s">
        <v>1456</v>
      </c>
      <c r="E118" s="9" t="s">
        <v>2690</v>
      </c>
      <c r="F118" s="11" t="s">
        <v>221</v>
      </c>
      <c r="G118" s="25" t="s">
        <v>118</v>
      </c>
      <c r="H118" s="25" t="s">
        <v>159</v>
      </c>
      <c r="I118" s="25" t="s">
        <v>159</v>
      </c>
      <c r="J118" s="12"/>
      <c r="K118" s="31">
        <v>0</v>
      </c>
      <c r="L118" s="12" t="str">
        <f>"0,0000"</f>
        <v>0,0000</v>
      </c>
      <c r="M118" s="11" t="s">
        <v>1457</v>
      </c>
    </row>
    <row r="119" spans="1:13">
      <c r="A119" s="12" t="s">
        <v>349</v>
      </c>
      <c r="B119" s="11" t="s">
        <v>1435</v>
      </c>
      <c r="C119" s="11" t="s">
        <v>1458</v>
      </c>
      <c r="D119" s="11" t="s">
        <v>1193</v>
      </c>
      <c r="E119" s="11" t="s">
        <v>2693</v>
      </c>
      <c r="F119" s="11" t="s">
        <v>462</v>
      </c>
      <c r="G119" s="24" t="s">
        <v>32</v>
      </c>
      <c r="H119" s="24" t="s">
        <v>33</v>
      </c>
      <c r="I119" s="25" t="s">
        <v>78</v>
      </c>
      <c r="J119" s="12"/>
      <c r="K119" s="31" t="str">
        <f>"225,0"</f>
        <v>225,0</v>
      </c>
      <c r="L119" s="12" t="str">
        <f>"139,7185"</f>
        <v>139,7185</v>
      </c>
      <c r="M119" s="11" t="s">
        <v>1437</v>
      </c>
    </row>
    <row r="120" spans="1:13">
      <c r="A120" s="12" t="s">
        <v>351</v>
      </c>
      <c r="B120" s="11" t="s">
        <v>1459</v>
      </c>
      <c r="C120" s="11" t="s">
        <v>1460</v>
      </c>
      <c r="D120" s="11" t="s">
        <v>1461</v>
      </c>
      <c r="E120" s="11" t="s">
        <v>2693</v>
      </c>
      <c r="F120" s="11" t="s">
        <v>221</v>
      </c>
      <c r="G120" s="25" t="s">
        <v>39</v>
      </c>
      <c r="H120" s="24" t="s">
        <v>39</v>
      </c>
      <c r="I120" s="25" t="s">
        <v>696</v>
      </c>
      <c r="J120" s="12"/>
      <c r="K120" s="31" t="str">
        <f>"210,0"</f>
        <v>210,0</v>
      </c>
      <c r="L120" s="12" t="str">
        <f>"125,0682"</f>
        <v>125,0682</v>
      </c>
      <c r="M120" s="11"/>
    </row>
    <row r="121" spans="1:13">
      <c r="A121" s="12" t="s">
        <v>353</v>
      </c>
      <c r="B121" s="11" t="s">
        <v>1462</v>
      </c>
      <c r="C121" s="11" t="s">
        <v>1463</v>
      </c>
      <c r="D121" s="11" t="s">
        <v>1464</v>
      </c>
      <c r="E121" s="11" t="s">
        <v>2693</v>
      </c>
      <c r="F121" s="11" t="s">
        <v>513</v>
      </c>
      <c r="G121" s="24" t="s">
        <v>159</v>
      </c>
      <c r="H121" s="24" t="s">
        <v>38</v>
      </c>
      <c r="I121" s="25" t="s">
        <v>195</v>
      </c>
      <c r="J121" s="12"/>
      <c r="K121" s="31" t="str">
        <f>"200,0"</f>
        <v>200,0</v>
      </c>
      <c r="L121" s="12" t="str">
        <f>"124,8256"</f>
        <v>124,8256</v>
      </c>
      <c r="M121" s="11"/>
    </row>
    <row r="122" spans="1:13">
      <c r="A122" s="12" t="s">
        <v>354</v>
      </c>
      <c r="B122" s="11" t="s">
        <v>712</v>
      </c>
      <c r="C122" s="11" t="s">
        <v>713</v>
      </c>
      <c r="D122" s="11" t="s">
        <v>714</v>
      </c>
      <c r="E122" s="11" t="s">
        <v>2693</v>
      </c>
      <c r="F122" s="11" t="s">
        <v>715</v>
      </c>
      <c r="G122" s="24" t="s">
        <v>37</v>
      </c>
      <c r="H122" s="25" t="s">
        <v>284</v>
      </c>
      <c r="I122" s="25" t="s">
        <v>284</v>
      </c>
      <c r="J122" s="12"/>
      <c r="K122" s="31" t="str">
        <f>"190,0"</f>
        <v>190,0</v>
      </c>
      <c r="L122" s="12" t="str">
        <f>"119,2342"</f>
        <v>119,2342</v>
      </c>
      <c r="M122" s="11"/>
    </row>
    <row r="123" spans="1:13">
      <c r="A123" s="12" t="s">
        <v>349</v>
      </c>
      <c r="B123" s="11" t="s">
        <v>1465</v>
      </c>
      <c r="C123" s="11" t="s">
        <v>1466</v>
      </c>
      <c r="D123" s="11" t="s">
        <v>1467</v>
      </c>
      <c r="E123" s="11" t="s">
        <v>2695</v>
      </c>
      <c r="F123" s="11" t="s">
        <v>313</v>
      </c>
      <c r="G123" s="24" t="s">
        <v>37</v>
      </c>
      <c r="H123" s="25" t="s">
        <v>160</v>
      </c>
      <c r="I123" s="24" t="s">
        <v>314</v>
      </c>
      <c r="J123" s="12"/>
      <c r="K123" s="31" t="str">
        <f>"202,5"</f>
        <v>202,5</v>
      </c>
      <c r="L123" s="12" t="str">
        <f>"142,4899"</f>
        <v>142,4899</v>
      </c>
      <c r="M123" s="11" t="s">
        <v>2359</v>
      </c>
    </row>
    <row r="124" spans="1:13">
      <c r="A124" s="14" t="s">
        <v>349</v>
      </c>
      <c r="B124" s="13" t="s">
        <v>1468</v>
      </c>
      <c r="C124" s="13" t="s">
        <v>1469</v>
      </c>
      <c r="D124" s="13" t="s">
        <v>247</v>
      </c>
      <c r="E124" s="13" t="s">
        <v>2694</v>
      </c>
      <c r="F124" s="13" t="s">
        <v>402</v>
      </c>
      <c r="G124" s="26" t="s">
        <v>51</v>
      </c>
      <c r="H124" s="26" t="s">
        <v>45</v>
      </c>
      <c r="I124" s="26" t="s">
        <v>47</v>
      </c>
      <c r="J124" s="14"/>
      <c r="K124" s="30" t="str">
        <f>"155,0"</f>
        <v>155,0</v>
      </c>
      <c r="L124" s="14" t="str">
        <f>"134,4557"</f>
        <v>134,4557</v>
      </c>
      <c r="M124" s="13" t="s">
        <v>1470</v>
      </c>
    </row>
    <row r="125" spans="1:13">
      <c r="B125" s="5" t="s">
        <v>350</v>
      </c>
    </row>
    <row r="126" spans="1:13" ht="16">
      <c r="A126" s="82" t="s">
        <v>276</v>
      </c>
      <c r="B126" s="82"/>
      <c r="C126" s="82"/>
      <c r="D126" s="82"/>
      <c r="E126" s="82"/>
      <c r="F126" s="82"/>
      <c r="G126" s="82"/>
      <c r="H126" s="82"/>
      <c r="I126" s="82"/>
      <c r="J126" s="82"/>
    </row>
    <row r="127" spans="1:13">
      <c r="A127" s="10" t="s">
        <v>349</v>
      </c>
      <c r="B127" s="9" t="s">
        <v>1471</v>
      </c>
      <c r="C127" s="9" t="s">
        <v>1472</v>
      </c>
      <c r="D127" s="9" t="s">
        <v>1473</v>
      </c>
      <c r="E127" s="9" t="s">
        <v>2689</v>
      </c>
      <c r="F127" s="9" t="s">
        <v>104</v>
      </c>
      <c r="G127" s="22" t="s">
        <v>39</v>
      </c>
      <c r="H127" s="22" t="s">
        <v>77</v>
      </c>
      <c r="I127" s="10"/>
      <c r="J127" s="10"/>
      <c r="K127" s="29" t="str">
        <f>"220,0"</f>
        <v>220,0</v>
      </c>
      <c r="L127" s="10" t="str">
        <f>"125,8620"</f>
        <v>125,8620</v>
      </c>
      <c r="M127" s="9"/>
    </row>
    <row r="128" spans="1:13">
      <c r="A128" s="12" t="s">
        <v>351</v>
      </c>
      <c r="B128" s="11" t="s">
        <v>1474</v>
      </c>
      <c r="C128" s="11" t="s">
        <v>1475</v>
      </c>
      <c r="D128" s="11" t="s">
        <v>1476</v>
      </c>
      <c r="E128" s="11" t="s">
        <v>2689</v>
      </c>
      <c r="F128" s="11" t="s">
        <v>1477</v>
      </c>
      <c r="G128" s="24" t="s">
        <v>159</v>
      </c>
      <c r="H128" s="24" t="s">
        <v>314</v>
      </c>
      <c r="I128" s="24" t="s">
        <v>195</v>
      </c>
      <c r="J128" s="12"/>
      <c r="K128" s="31" t="str">
        <f>"207,5"</f>
        <v>207,5</v>
      </c>
      <c r="L128" s="12" t="str">
        <f>"120,5782"</f>
        <v>120,5782</v>
      </c>
      <c r="M128" s="11"/>
    </row>
    <row r="129" spans="1:13">
      <c r="A129" s="12" t="s">
        <v>353</v>
      </c>
      <c r="B129" s="11" t="s">
        <v>1478</v>
      </c>
      <c r="C129" s="11" t="s">
        <v>1479</v>
      </c>
      <c r="D129" s="11" t="s">
        <v>1480</v>
      </c>
      <c r="E129" s="11" t="s">
        <v>2689</v>
      </c>
      <c r="F129" s="11" t="s">
        <v>807</v>
      </c>
      <c r="G129" s="24" t="s">
        <v>37</v>
      </c>
      <c r="H129" s="24" t="s">
        <v>38</v>
      </c>
      <c r="I129" s="25" t="s">
        <v>31</v>
      </c>
      <c r="J129" s="12"/>
      <c r="K129" s="31" t="str">
        <f>"200,0"</f>
        <v>200,0</v>
      </c>
      <c r="L129" s="12" t="str">
        <f>"114,8800"</f>
        <v>114,8800</v>
      </c>
      <c r="M129" s="11"/>
    </row>
    <row r="130" spans="1:13">
      <c r="A130" s="12" t="s">
        <v>349</v>
      </c>
      <c r="B130" s="11" t="s">
        <v>1481</v>
      </c>
      <c r="C130" s="11" t="s">
        <v>1482</v>
      </c>
      <c r="D130" s="11" t="s">
        <v>1483</v>
      </c>
      <c r="E130" s="11" t="s">
        <v>2690</v>
      </c>
      <c r="F130" s="11" t="s">
        <v>221</v>
      </c>
      <c r="G130" s="24" t="s">
        <v>100</v>
      </c>
      <c r="H130" s="24" t="s">
        <v>129</v>
      </c>
      <c r="I130" s="25" t="s">
        <v>968</v>
      </c>
      <c r="J130" s="12"/>
      <c r="K130" s="31" t="str">
        <f>"255,0"</f>
        <v>255,0</v>
      </c>
      <c r="L130" s="12" t="str">
        <f>"145,5285"</f>
        <v>145,5285</v>
      </c>
      <c r="M130" s="11" t="s">
        <v>1484</v>
      </c>
    </row>
    <row r="131" spans="1:13">
      <c r="A131" s="12" t="s">
        <v>351</v>
      </c>
      <c r="B131" s="11" t="s">
        <v>1485</v>
      </c>
      <c r="C131" s="11" t="s">
        <v>1486</v>
      </c>
      <c r="D131" s="11" t="s">
        <v>1487</v>
      </c>
      <c r="E131" s="11" t="s">
        <v>2690</v>
      </c>
      <c r="F131" s="11" t="s">
        <v>1488</v>
      </c>
      <c r="G131" s="24" t="s">
        <v>33</v>
      </c>
      <c r="H131" s="24" t="s">
        <v>85</v>
      </c>
      <c r="I131" s="25" t="s">
        <v>100</v>
      </c>
      <c r="J131" s="12"/>
      <c r="K131" s="31" t="str">
        <f>"235,0"</f>
        <v>235,0</v>
      </c>
      <c r="L131" s="12" t="str">
        <f>"136,0885"</f>
        <v>136,0885</v>
      </c>
      <c r="M131" s="11" t="s">
        <v>1344</v>
      </c>
    </row>
    <row r="132" spans="1:13">
      <c r="A132" s="12" t="s">
        <v>353</v>
      </c>
      <c r="B132" s="11" t="s">
        <v>1489</v>
      </c>
      <c r="C132" s="11" t="s">
        <v>1490</v>
      </c>
      <c r="D132" s="11" t="s">
        <v>1491</v>
      </c>
      <c r="E132" s="11" t="s">
        <v>2690</v>
      </c>
      <c r="F132" s="11" t="s">
        <v>1290</v>
      </c>
      <c r="G132" s="24" t="s">
        <v>77</v>
      </c>
      <c r="H132" s="25" t="s">
        <v>78</v>
      </c>
      <c r="I132" s="24" t="s">
        <v>78</v>
      </c>
      <c r="J132" s="12"/>
      <c r="K132" s="31" t="str">
        <f>"230,0"</f>
        <v>230,0</v>
      </c>
      <c r="L132" s="12" t="str">
        <f>"133,1010"</f>
        <v>133,1010</v>
      </c>
      <c r="M132" s="11" t="s">
        <v>1492</v>
      </c>
    </row>
    <row r="133" spans="1:13">
      <c r="A133" s="12" t="s">
        <v>354</v>
      </c>
      <c r="B133" s="11" t="s">
        <v>1493</v>
      </c>
      <c r="C133" s="11" t="s">
        <v>1494</v>
      </c>
      <c r="D133" s="11" t="s">
        <v>482</v>
      </c>
      <c r="E133" s="11" t="s">
        <v>2690</v>
      </c>
      <c r="F133" s="11" t="s">
        <v>201</v>
      </c>
      <c r="G133" s="24" t="s">
        <v>37</v>
      </c>
      <c r="H133" s="24" t="s">
        <v>314</v>
      </c>
      <c r="I133" s="25" t="s">
        <v>39</v>
      </c>
      <c r="J133" s="12"/>
      <c r="K133" s="31" t="str">
        <f>"202,5"</f>
        <v>202,5</v>
      </c>
      <c r="L133" s="12" t="str">
        <f>"115,9920"</f>
        <v>115,9920</v>
      </c>
      <c r="M133" s="11"/>
    </row>
    <row r="134" spans="1:13">
      <c r="A134" s="12" t="s">
        <v>355</v>
      </c>
      <c r="B134" s="11" t="s">
        <v>1495</v>
      </c>
      <c r="C134" s="11" t="s">
        <v>1496</v>
      </c>
      <c r="D134" s="11" t="s">
        <v>1497</v>
      </c>
      <c r="E134" s="11" t="s">
        <v>2690</v>
      </c>
      <c r="F134" s="11" t="s">
        <v>2622</v>
      </c>
      <c r="G134" s="24" t="s">
        <v>118</v>
      </c>
      <c r="H134" s="25" t="s">
        <v>38</v>
      </c>
      <c r="I134" s="25" t="s">
        <v>38</v>
      </c>
      <c r="J134" s="12"/>
      <c r="K134" s="31" t="str">
        <f>"185,0"</f>
        <v>185,0</v>
      </c>
      <c r="L134" s="12" t="str">
        <f>"106,9670"</f>
        <v>106,9670</v>
      </c>
      <c r="M134" s="11" t="s">
        <v>1498</v>
      </c>
    </row>
    <row r="135" spans="1:13">
      <c r="A135" s="12" t="s">
        <v>356</v>
      </c>
      <c r="B135" s="11" t="s">
        <v>1499</v>
      </c>
      <c r="C135" s="11" t="s">
        <v>1500</v>
      </c>
      <c r="D135" s="11" t="s">
        <v>1501</v>
      </c>
      <c r="E135" s="11" t="s">
        <v>2690</v>
      </c>
      <c r="F135" s="11" t="s">
        <v>1290</v>
      </c>
      <c r="G135" s="24" t="s">
        <v>166</v>
      </c>
      <c r="H135" s="24" t="s">
        <v>116</v>
      </c>
      <c r="I135" s="25" t="s">
        <v>60</v>
      </c>
      <c r="J135" s="12"/>
      <c r="K135" s="31" t="str">
        <f>"175,0"</f>
        <v>175,0</v>
      </c>
      <c r="L135" s="12" t="str">
        <f>"100,6775"</f>
        <v>100,6775</v>
      </c>
      <c r="M135" s="11" t="s">
        <v>1502</v>
      </c>
    </row>
    <row r="136" spans="1:13">
      <c r="A136" s="12" t="s">
        <v>357</v>
      </c>
      <c r="B136" s="11" t="s">
        <v>1503</v>
      </c>
      <c r="C136" s="11" t="s">
        <v>1504</v>
      </c>
      <c r="D136" s="11" t="s">
        <v>1505</v>
      </c>
      <c r="E136" s="11" t="s">
        <v>2690</v>
      </c>
      <c r="F136" s="11" t="s">
        <v>221</v>
      </c>
      <c r="G136" s="24" t="s">
        <v>154</v>
      </c>
      <c r="H136" s="24" t="s">
        <v>52</v>
      </c>
      <c r="I136" s="24" t="s">
        <v>136</v>
      </c>
      <c r="J136" s="12"/>
      <c r="K136" s="31" t="str">
        <f>"157,5"</f>
        <v>157,5</v>
      </c>
      <c r="L136" s="12" t="str">
        <f>"90,1215"</f>
        <v>90,1215</v>
      </c>
      <c r="M136" s="11"/>
    </row>
    <row r="137" spans="1:13">
      <c r="A137" s="12" t="s">
        <v>349</v>
      </c>
      <c r="B137" s="11" t="s">
        <v>1506</v>
      </c>
      <c r="C137" s="11" t="s">
        <v>1507</v>
      </c>
      <c r="D137" s="11" t="s">
        <v>1508</v>
      </c>
      <c r="E137" s="11" t="s">
        <v>2693</v>
      </c>
      <c r="F137" s="11" t="s">
        <v>984</v>
      </c>
      <c r="G137" s="24" t="s">
        <v>284</v>
      </c>
      <c r="H137" s="25" t="s">
        <v>314</v>
      </c>
      <c r="I137" s="24" t="s">
        <v>314</v>
      </c>
      <c r="J137" s="12"/>
      <c r="K137" s="31" t="str">
        <f>"202,5"</f>
        <v>202,5</v>
      </c>
      <c r="L137" s="12" t="str">
        <f>"130,8619"</f>
        <v>130,8619</v>
      </c>
      <c r="M137" s="11"/>
    </row>
    <row r="138" spans="1:13">
      <c r="A138" s="12" t="s">
        <v>351</v>
      </c>
      <c r="B138" s="11" t="s">
        <v>1493</v>
      </c>
      <c r="C138" s="11" t="s">
        <v>1509</v>
      </c>
      <c r="D138" s="11" t="s">
        <v>482</v>
      </c>
      <c r="E138" s="11" t="s">
        <v>2693</v>
      </c>
      <c r="F138" s="11" t="s">
        <v>201</v>
      </c>
      <c r="G138" s="24" t="s">
        <v>37</v>
      </c>
      <c r="H138" s="24" t="s">
        <v>314</v>
      </c>
      <c r="I138" s="25" t="s">
        <v>39</v>
      </c>
      <c r="J138" s="12"/>
      <c r="K138" s="31" t="str">
        <f>"202,5"</f>
        <v>202,5</v>
      </c>
      <c r="L138" s="12" t="str">
        <f>"125,0394"</f>
        <v>125,0394</v>
      </c>
      <c r="M138" s="11"/>
    </row>
    <row r="139" spans="1:13">
      <c r="A139" s="12" t="s">
        <v>353</v>
      </c>
      <c r="B139" s="11" t="s">
        <v>1510</v>
      </c>
      <c r="C139" s="11" t="s">
        <v>1511</v>
      </c>
      <c r="D139" s="11" t="s">
        <v>1512</v>
      </c>
      <c r="E139" s="11" t="s">
        <v>2693</v>
      </c>
      <c r="F139" s="11" t="s">
        <v>1447</v>
      </c>
      <c r="G139" s="24" t="s">
        <v>284</v>
      </c>
      <c r="H139" s="25" t="s">
        <v>38</v>
      </c>
      <c r="I139" s="25" t="s">
        <v>38</v>
      </c>
      <c r="J139" s="12"/>
      <c r="K139" s="31" t="str">
        <f>"195,0"</f>
        <v>195,0</v>
      </c>
      <c r="L139" s="12" t="str">
        <f>"119,2452"</f>
        <v>119,2452</v>
      </c>
      <c r="M139" s="11"/>
    </row>
    <row r="140" spans="1:13">
      <c r="A140" s="12" t="s">
        <v>349</v>
      </c>
      <c r="B140" s="11" t="s">
        <v>1513</v>
      </c>
      <c r="C140" s="11" t="s">
        <v>1514</v>
      </c>
      <c r="D140" s="11" t="s">
        <v>1515</v>
      </c>
      <c r="E140" s="11" t="s">
        <v>2695</v>
      </c>
      <c r="F140" s="11" t="s">
        <v>221</v>
      </c>
      <c r="G140" s="25" t="s">
        <v>60</v>
      </c>
      <c r="H140" s="24" t="s">
        <v>118</v>
      </c>
      <c r="I140" s="24" t="s">
        <v>37</v>
      </c>
      <c r="J140" s="12"/>
      <c r="K140" s="31" t="str">
        <f>"190,0"</f>
        <v>190,0</v>
      </c>
      <c r="L140" s="12" t="str">
        <f>"126,4678"</f>
        <v>126,4678</v>
      </c>
      <c r="M140" s="11" t="s">
        <v>2621</v>
      </c>
    </row>
    <row r="141" spans="1:13">
      <c r="A141" s="14" t="s">
        <v>351</v>
      </c>
      <c r="B141" s="13" t="s">
        <v>294</v>
      </c>
      <c r="C141" s="13" t="s">
        <v>295</v>
      </c>
      <c r="D141" s="13" t="s">
        <v>296</v>
      </c>
      <c r="E141" s="13" t="s">
        <v>2695</v>
      </c>
      <c r="F141" s="13" t="s">
        <v>297</v>
      </c>
      <c r="G141" s="26" t="s">
        <v>83</v>
      </c>
      <c r="H141" s="26" t="s">
        <v>50</v>
      </c>
      <c r="I141" s="26" t="s">
        <v>84</v>
      </c>
      <c r="J141" s="14"/>
      <c r="K141" s="30" t="str">
        <f>"125,0"</f>
        <v>125,0</v>
      </c>
      <c r="L141" s="14" t="str">
        <f>"86,4136"</f>
        <v>86,4136</v>
      </c>
      <c r="M141" s="13" t="s">
        <v>1175</v>
      </c>
    </row>
    <row r="142" spans="1:13">
      <c r="B142" s="5" t="s">
        <v>350</v>
      </c>
    </row>
    <row r="143" spans="1:13" ht="16">
      <c r="A143" s="82" t="s">
        <v>299</v>
      </c>
      <c r="B143" s="82"/>
      <c r="C143" s="82"/>
      <c r="D143" s="82"/>
      <c r="E143" s="82"/>
      <c r="F143" s="82"/>
      <c r="G143" s="82"/>
      <c r="H143" s="82"/>
      <c r="I143" s="82"/>
      <c r="J143" s="82"/>
    </row>
    <row r="144" spans="1:13">
      <c r="A144" s="10" t="s">
        <v>349</v>
      </c>
      <c r="B144" s="9" t="s">
        <v>1516</v>
      </c>
      <c r="C144" s="9" t="s">
        <v>1517</v>
      </c>
      <c r="D144" s="9" t="s">
        <v>1518</v>
      </c>
      <c r="E144" s="9" t="s">
        <v>2690</v>
      </c>
      <c r="F144" s="9" t="s">
        <v>1519</v>
      </c>
      <c r="G144" s="22" t="s">
        <v>86</v>
      </c>
      <c r="H144" s="23" t="s">
        <v>129</v>
      </c>
      <c r="I144" s="10"/>
      <c r="J144" s="10"/>
      <c r="K144" s="29" t="str">
        <f>"245,0"</f>
        <v>245,0</v>
      </c>
      <c r="L144" s="10" t="str">
        <f>"137,9350"</f>
        <v>137,9350</v>
      </c>
      <c r="M144" s="9"/>
    </row>
    <row r="145" spans="1:13">
      <c r="A145" s="12" t="s">
        <v>351</v>
      </c>
      <c r="B145" s="11" t="s">
        <v>1520</v>
      </c>
      <c r="C145" s="11" t="s">
        <v>1521</v>
      </c>
      <c r="D145" s="11" t="s">
        <v>1522</v>
      </c>
      <c r="E145" s="9" t="s">
        <v>2690</v>
      </c>
      <c r="F145" s="11" t="s">
        <v>869</v>
      </c>
      <c r="G145" s="24" t="s">
        <v>39</v>
      </c>
      <c r="H145" s="24" t="s">
        <v>696</v>
      </c>
      <c r="I145" s="24" t="s">
        <v>611</v>
      </c>
      <c r="J145" s="12"/>
      <c r="K145" s="31" t="str">
        <f>"222,5"</f>
        <v>222,5</v>
      </c>
      <c r="L145" s="12" t="str">
        <f>"125,7570"</f>
        <v>125,7570</v>
      </c>
      <c r="M145" s="11" t="s">
        <v>1344</v>
      </c>
    </row>
    <row r="146" spans="1:13">
      <c r="A146" s="12" t="s">
        <v>353</v>
      </c>
      <c r="B146" s="11" t="s">
        <v>1218</v>
      </c>
      <c r="C146" s="11" t="s">
        <v>1219</v>
      </c>
      <c r="D146" s="11" t="s">
        <v>1220</v>
      </c>
      <c r="E146" s="9" t="s">
        <v>2690</v>
      </c>
      <c r="F146" s="11" t="s">
        <v>1054</v>
      </c>
      <c r="G146" s="24" t="s">
        <v>38</v>
      </c>
      <c r="H146" s="24" t="s">
        <v>195</v>
      </c>
      <c r="I146" s="24" t="s">
        <v>696</v>
      </c>
      <c r="J146" s="12"/>
      <c r="K146" s="31" t="str">
        <f>"217,5"</f>
        <v>217,5</v>
      </c>
      <c r="L146" s="12" t="str">
        <f>"121,6478"</f>
        <v>121,6478</v>
      </c>
      <c r="M146" s="11"/>
    </row>
    <row r="147" spans="1:13">
      <c r="A147" s="12" t="s">
        <v>349</v>
      </c>
      <c r="B147" s="11" t="s">
        <v>1218</v>
      </c>
      <c r="C147" s="11" t="s">
        <v>1221</v>
      </c>
      <c r="D147" s="11" t="s">
        <v>1220</v>
      </c>
      <c r="E147" s="11" t="s">
        <v>2695</v>
      </c>
      <c r="F147" s="11" t="s">
        <v>1054</v>
      </c>
      <c r="G147" s="24" t="s">
        <v>38</v>
      </c>
      <c r="H147" s="24" t="s">
        <v>195</v>
      </c>
      <c r="I147" s="24" t="s">
        <v>696</v>
      </c>
      <c r="J147" s="12"/>
      <c r="K147" s="31" t="str">
        <f>"217,5"</f>
        <v>217,5</v>
      </c>
      <c r="L147" s="12" t="str">
        <f>"160,8183"</f>
        <v>160,8183</v>
      </c>
      <c r="M147" s="11"/>
    </row>
    <row r="148" spans="1:13">
      <c r="A148" s="14" t="s">
        <v>351</v>
      </c>
      <c r="B148" s="13" t="s">
        <v>1523</v>
      </c>
      <c r="C148" s="13" t="s">
        <v>1524</v>
      </c>
      <c r="D148" s="13" t="s">
        <v>1525</v>
      </c>
      <c r="E148" s="13" t="s">
        <v>2695</v>
      </c>
      <c r="F148" s="13" t="s">
        <v>221</v>
      </c>
      <c r="G148" s="26" t="s">
        <v>109</v>
      </c>
      <c r="H148" s="26" t="s">
        <v>116</v>
      </c>
      <c r="I148" s="27" t="s">
        <v>128</v>
      </c>
      <c r="J148" s="14"/>
      <c r="K148" s="30" t="str">
        <f>"175,0"</f>
        <v>175,0</v>
      </c>
      <c r="L148" s="14" t="str">
        <f>"126,0684"</f>
        <v>126,0684</v>
      </c>
      <c r="M148" s="13"/>
    </row>
    <row r="149" spans="1:13">
      <c r="B149" s="5" t="s">
        <v>350</v>
      </c>
    </row>
    <row r="150" spans="1:13" ht="16">
      <c r="A150" s="82" t="s">
        <v>309</v>
      </c>
      <c r="B150" s="82"/>
      <c r="C150" s="82"/>
      <c r="D150" s="82"/>
      <c r="E150" s="82"/>
      <c r="F150" s="82"/>
      <c r="G150" s="82"/>
      <c r="H150" s="82"/>
      <c r="I150" s="82"/>
      <c r="J150" s="82"/>
    </row>
    <row r="151" spans="1:13">
      <c r="A151" s="8" t="s">
        <v>349</v>
      </c>
      <c r="B151" s="7" t="s">
        <v>1526</v>
      </c>
      <c r="C151" s="7" t="s">
        <v>1527</v>
      </c>
      <c r="D151" s="7" t="s">
        <v>1528</v>
      </c>
      <c r="E151" s="7" t="s">
        <v>2690</v>
      </c>
      <c r="F151" s="7" t="s">
        <v>221</v>
      </c>
      <c r="G151" s="20" t="s">
        <v>37</v>
      </c>
      <c r="H151" s="20" t="s">
        <v>31</v>
      </c>
      <c r="I151" s="21" t="s">
        <v>32</v>
      </c>
      <c r="J151" s="8"/>
      <c r="K151" s="32" t="str">
        <f>"205,0"</f>
        <v>205,0</v>
      </c>
      <c r="L151" s="8" t="str">
        <f>"112,9550"</f>
        <v>112,9550</v>
      </c>
      <c r="M151" s="7"/>
    </row>
    <row r="152" spans="1:13">
      <c r="B152" s="5" t="s">
        <v>350</v>
      </c>
    </row>
    <row r="153" spans="1:13">
      <c r="B153" s="5" t="s">
        <v>350</v>
      </c>
    </row>
    <row r="154" spans="1:13">
      <c r="B154" s="5" t="s">
        <v>350</v>
      </c>
    </row>
    <row r="155" spans="1:13" ht="18">
      <c r="B155" s="15" t="s">
        <v>316</v>
      </c>
      <c r="C155" s="15"/>
      <c r="F155" s="3"/>
    </row>
    <row r="156" spans="1:13" ht="16">
      <c r="B156" s="16" t="s">
        <v>317</v>
      </c>
      <c r="C156" s="16"/>
      <c r="F156" s="3"/>
    </row>
    <row r="157" spans="1:13" ht="14">
      <c r="B157" s="17"/>
      <c r="C157" s="18" t="s">
        <v>318</v>
      </c>
      <c r="F157" s="3"/>
    </row>
    <row r="158" spans="1:13" ht="14">
      <c r="B158" s="19" t="s">
        <v>319</v>
      </c>
      <c r="C158" s="19" t="s">
        <v>320</v>
      </c>
      <c r="D158" s="19" t="s">
        <v>2593</v>
      </c>
      <c r="E158" s="19" t="s">
        <v>1225</v>
      </c>
      <c r="F158" s="19" t="s">
        <v>323</v>
      </c>
    </row>
    <row r="159" spans="1:13">
      <c r="B159" s="5" t="s">
        <v>1260</v>
      </c>
      <c r="C159" s="5" t="s">
        <v>318</v>
      </c>
      <c r="D159" s="6" t="s">
        <v>330</v>
      </c>
      <c r="E159" s="6" t="s">
        <v>84</v>
      </c>
      <c r="F159" s="6" t="s">
        <v>1529</v>
      </c>
    </row>
    <row r="160" spans="1:13">
      <c r="B160" s="5" t="s">
        <v>1252</v>
      </c>
      <c r="C160" s="5" t="s">
        <v>318</v>
      </c>
      <c r="D160" s="6" t="s">
        <v>324</v>
      </c>
      <c r="E160" s="6" t="s">
        <v>83</v>
      </c>
      <c r="F160" s="6" t="s">
        <v>1530</v>
      </c>
    </row>
    <row r="161" spans="2:6">
      <c r="B161" s="5" t="s">
        <v>535</v>
      </c>
      <c r="C161" s="5" t="s">
        <v>318</v>
      </c>
      <c r="D161" s="6" t="s">
        <v>324</v>
      </c>
      <c r="E161" s="6" t="s">
        <v>66</v>
      </c>
      <c r="F161" s="6" t="s">
        <v>1531</v>
      </c>
    </row>
    <row r="163" spans="2:6" ht="16">
      <c r="B163" s="16" t="s">
        <v>336</v>
      </c>
      <c r="C163" s="16"/>
    </row>
    <row r="164" spans="2:6" ht="14">
      <c r="B164" s="17"/>
      <c r="C164" s="18" t="s">
        <v>337</v>
      </c>
    </row>
    <row r="165" spans="2:6" ht="14">
      <c r="B165" s="19" t="s">
        <v>319</v>
      </c>
      <c r="C165" s="19" t="s">
        <v>320</v>
      </c>
      <c r="D165" s="19" t="s">
        <v>2593</v>
      </c>
      <c r="E165" s="19" t="s">
        <v>1225</v>
      </c>
      <c r="F165" s="19" t="s">
        <v>323</v>
      </c>
    </row>
    <row r="166" spans="2:6">
      <c r="B166" s="5" t="s">
        <v>1337</v>
      </c>
      <c r="C166" s="5" t="s">
        <v>337</v>
      </c>
      <c r="D166" s="6" t="s">
        <v>338</v>
      </c>
      <c r="E166" s="6" t="s">
        <v>195</v>
      </c>
      <c r="F166" s="6" t="s">
        <v>1532</v>
      </c>
    </row>
    <row r="167" spans="2:6">
      <c r="B167" s="5" t="s">
        <v>1471</v>
      </c>
      <c r="C167" s="5" t="s">
        <v>337</v>
      </c>
      <c r="D167" s="6" t="s">
        <v>348</v>
      </c>
      <c r="E167" s="6" t="s">
        <v>77</v>
      </c>
      <c r="F167" s="6" t="s">
        <v>1533</v>
      </c>
    </row>
    <row r="168" spans="2:6">
      <c r="B168" s="5" t="s">
        <v>1474</v>
      </c>
      <c r="C168" s="5" t="s">
        <v>337</v>
      </c>
      <c r="D168" s="6" t="s">
        <v>348</v>
      </c>
      <c r="E168" s="6" t="s">
        <v>195</v>
      </c>
      <c r="F168" s="6" t="s">
        <v>1534</v>
      </c>
    </row>
    <row r="170" spans="2:6" ht="14">
      <c r="B170" s="17"/>
      <c r="C170" s="18" t="s">
        <v>318</v>
      </c>
    </row>
    <row r="171" spans="2:6" ht="14">
      <c r="B171" s="19" t="s">
        <v>319</v>
      </c>
      <c r="C171" s="19" t="s">
        <v>320</v>
      </c>
      <c r="D171" s="19" t="s">
        <v>2593</v>
      </c>
      <c r="E171" s="19" t="s">
        <v>1225</v>
      </c>
      <c r="F171" s="19" t="s">
        <v>323</v>
      </c>
    </row>
    <row r="172" spans="2:6">
      <c r="B172" s="5" t="s">
        <v>1377</v>
      </c>
      <c r="C172" s="5" t="s">
        <v>318</v>
      </c>
      <c r="D172" s="6" t="s">
        <v>343</v>
      </c>
      <c r="E172" s="6" t="s">
        <v>475</v>
      </c>
      <c r="F172" s="6" t="s">
        <v>1535</v>
      </c>
    </row>
    <row r="173" spans="2:6">
      <c r="B173" s="5" t="s">
        <v>1285</v>
      </c>
      <c r="C173" s="5" t="s">
        <v>318</v>
      </c>
      <c r="D173" s="6" t="s">
        <v>330</v>
      </c>
      <c r="E173" s="6" t="s">
        <v>195</v>
      </c>
      <c r="F173" s="6" t="s">
        <v>1536</v>
      </c>
    </row>
    <row r="174" spans="2:6">
      <c r="B174" s="5" t="s">
        <v>1428</v>
      </c>
      <c r="C174" s="5" t="s">
        <v>318</v>
      </c>
      <c r="D174" s="6" t="s">
        <v>340</v>
      </c>
      <c r="E174" s="6" t="s">
        <v>87</v>
      </c>
      <c r="F174" s="6" t="s">
        <v>1537</v>
      </c>
    </row>
    <row r="176" spans="2:6" ht="14">
      <c r="B176" s="17"/>
      <c r="C176" s="18" t="s">
        <v>333</v>
      </c>
    </row>
    <row r="177" spans="2:6" ht="14">
      <c r="B177" s="19" t="s">
        <v>319</v>
      </c>
      <c r="C177" s="19" t="s">
        <v>320</v>
      </c>
      <c r="D177" s="19" t="s">
        <v>2593</v>
      </c>
      <c r="E177" s="19" t="s">
        <v>1225</v>
      </c>
      <c r="F177" s="19" t="s">
        <v>323</v>
      </c>
    </row>
    <row r="178" spans="2:6">
      <c r="B178" s="5" t="s">
        <v>1419</v>
      </c>
      <c r="C178" s="5" t="s">
        <v>334</v>
      </c>
      <c r="D178" s="6" t="s">
        <v>343</v>
      </c>
      <c r="E178" s="6" t="s">
        <v>696</v>
      </c>
      <c r="F178" s="6" t="s">
        <v>1538</v>
      </c>
    </row>
    <row r="179" spans="2:6">
      <c r="B179" s="5" t="s">
        <v>1218</v>
      </c>
      <c r="C179" s="5" t="s">
        <v>334</v>
      </c>
      <c r="D179" s="6" t="s">
        <v>759</v>
      </c>
      <c r="E179" s="6" t="s">
        <v>696</v>
      </c>
      <c r="F179" s="6" t="s">
        <v>1539</v>
      </c>
    </row>
    <row r="180" spans="2:6">
      <c r="B180" s="5" t="s">
        <v>1132</v>
      </c>
      <c r="C180" s="5" t="s">
        <v>334</v>
      </c>
      <c r="D180" s="6" t="s">
        <v>330</v>
      </c>
      <c r="E180" s="6" t="s">
        <v>127</v>
      </c>
      <c r="F180" s="6" t="s">
        <v>1540</v>
      </c>
    </row>
    <row r="181" spans="2:6">
      <c r="B181" s="5" t="s">
        <v>350</v>
      </c>
    </row>
  </sheetData>
  <mergeCells count="29">
    <mergeCell ref="A82:J82"/>
    <mergeCell ref="A105:J105"/>
    <mergeCell ref="A126:J126"/>
    <mergeCell ref="A143:J143"/>
    <mergeCell ref="A150:J150"/>
    <mergeCell ref="A50:J50"/>
    <mergeCell ref="A66:J66"/>
    <mergeCell ref="A8:J8"/>
    <mergeCell ref="A12:J12"/>
    <mergeCell ref="A16:J16"/>
    <mergeCell ref="A20:J20"/>
    <mergeCell ref="A26:J26"/>
    <mergeCell ref="A29:J29"/>
    <mergeCell ref="A32:J32"/>
    <mergeCell ref="A35:J35"/>
    <mergeCell ref="A38:J38"/>
    <mergeCell ref="A41:J41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B3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71" t="s">
        <v>2639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83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84"/>
      <c r="L4" s="66"/>
      <c r="M4" s="68"/>
    </row>
    <row r="5" spans="1:13" ht="16">
      <c r="A5" s="69" t="s">
        <v>55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2051</v>
      </c>
      <c r="C6" s="7" t="s">
        <v>2052</v>
      </c>
      <c r="D6" s="7" t="s">
        <v>98</v>
      </c>
      <c r="E6" s="7" t="s">
        <v>2690</v>
      </c>
      <c r="F6" s="7" t="s">
        <v>221</v>
      </c>
      <c r="G6" s="21" t="s">
        <v>47</v>
      </c>
      <c r="H6" s="21" t="s">
        <v>47</v>
      </c>
      <c r="I6" s="20" t="s">
        <v>47</v>
      </c>
      <c r="J6" s="8"/>
      <c r="K6" s="32" t="str">
        <f>"155,0"</f>
        <v>155,0</v>
      </c>
      <c r="L6" s="8" t="str">
        <f>"110,4530"</f>
        <v>110,4530</v>
      </c>
      <c r="M6" s="7" t="s">
        <v>2053</v>
      </c>
    </row>
    <row r="7" spans="1:13">
      <c r="B7" s="5" t="s">
        <v>350</v>
      </c>
    </row>
    <row r="8" spans="1:13" ht="16">
      <c r="A8" s="82" t="s">
        <v>72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8" t="s">
        <v>352</v>
      </c>
      <c r="B9" s="7" t="s">
        <v>2039</v>
      </c>
      <c r="C9" s="7" t="s">
        <v>2040</v>
      </c>
      <c r="D9" s="7" t="s">
        <v>2041</v>
      </c>
      <c r="E9" s="7" t="s">
        <v>2689</v>
      </c>
      <c r="F9" s="7" t="s">
        <v>92</v>
      </c>
      <c r="G9" s="21" t="s">
        <v>118</v>
      </c>
      <c r="H9" s="21" t="s">
        <v>118</v>
      </c>
      <c r="I9" s="21" t="s">
        <v>118</v>
      </c>
      <c r="J9" s="8"/>
      <c r="K9" s="32">
        <v>0</v>
      </c>
      <c r="L9" s="8" t="str">
        <f>"0,0000"</f>
        <v>0,0000</v>
      </c>
      <c r="M9" s="7" t="s">
        <v>95</v>
      </c>
    </row>
    <row r="10" spans="1:13">
      <c r="B10" s="5" t="s">
        <v>350</v>
      </c>
    </row>
    <row r="11" spans="1:13" ht="16">
      <c r="A11" s="82" t="s">
        <v>183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3">
      <c r="A12" s="8" t="s">
        <v>349</v>
      </c>
      <c r="B12" s="7" t="s">
        <v>2054</v>
      </c>
      <c r="C12" s="7" t="s">
        <v>2055</v>
      </c>
      <c r="D12" s="7" t="s">
        <v>215</v>
      </c>
      <c r="E12" s="7" t="s">
        <v>2690</v>
      </c>
      <c r="F12" s="7" t="s">
        <v>164</v>
      </c>
      <c r="G12" s="20" t="s">
        <v>37</v>
      </c>
      <c r="H12" s="21" t="s">
        <v>77</v>
      </c>
      <c r="I12" s="21" t="s">
        <v>77</v>
      </c>
      <c r="J12" s="8"/>
      <c r="K12" s="32" t="str">
        <f>"190,0"</f>
        <v>190,0</v>
      </c>
      <c r="L12" s="8" t="str">
        <f>"115,8620"</f>
        <v>115,8620</v>
      </c>
      <c r="M12" s="7" t="s">
        <v>2056</v>
      </c>
    </row>
    <row r="13" spans="1:13">
      <c r="B13" s="5" t="s">
        <v>350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25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71" t="s">
        <v>2640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83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84"/>
      <c r="L4" s="66"/>
      <c r="M4" s="68"/>
    </row>
    <row r="5" spans="1:13" ht="16">
      <c r="A5" s="69" t="s">
        <v>26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2035</v>
      </c>
      <c r="C6" s="7" t="s">
        <v>2036</v>
      </c>
      <c r="D6" s="7" t="s">
        <v>1254</v>
      </c>
      <c r="E6" s="7" t="s">
        <v>2690</v>
      </c>
      <c r="F6" s="7" t="s">
        <v>462</v>
      </c>
      <c r="G6" s="20" t="s">
        <v>154</v>
      </c>
      <c r="H6" s="20" t="s">
        <v>52</v>
      </c>
      <c r="I6" s="20" t="s">
        <v>136</v>
      </c>
      <c r="J6" s="8"/>
      <c r="K6" s="32" t="str">
        <f>"157,5"</f>
        <v>157,5</v>
      </c>
      <c r="L6" s="8" t="str">
        <f>"122,0152"</f>
        <v>122,0152</v>
      </c>
      <c r="M6" s="7"/>
    </row>
    <row r="7" spans="1:13">
      <c r="B7" s="5" t="s">
        <v>350</v>
      </c>
    </row>
    <row r="8" spans="1:13" ht="16">
      <c r="A8" s="82" t="s">
        <v>55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8" t="s">
        <v>349</v>
      </c>
      <c r="B9" s="7" t="s">
        <v>2037</v>
      </c>
      <c r="C9" s="7" t="s">
        <v>2038</v>
      </c>
      <c r="D9" s="7" t="s">
        <v>98</v>
      </c>
      <c r="E9" s="7" t="s">
        <v>2690</v>
      </c>
      <c r="F9" s="7" t="s">
        <v>689</v>
      </c>
      <c r="G9" s="20" t="s">
        <v>60</v>
      </c>
      <c r="H9" s="20" t="s">
        <v>159</v>
      </c>
      <c r="I9" s="20" t="s">
        <v>38</v>
      </c>
      <c r="J9" s="8"/>
      <c r="K9" s="32" t="str">
        <f>"200,0"</f>
        <v>200,0</v>
      </c>
      <c r="L9" s="8" t="str">
        <f>"142,5200"</f>
        <v>142,5200</v>
      </c>
      <c r="M9" s="7"/>
    </row>
    <row r="10" spans="1:13">
      <c r="B10" s="5" t="s">
        <v>350</v>
      </c>
    </row>
    <row r="11" spans="1:13" ht="16">
      <c r="A11" s="82" t="s">
        <v>72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3">
      <c r="A12" s="8" t="s">
        <v>352</v>
      </c>
      <c r="B12" s="7" t="s">
        <v>2039</v>
      </c>
      <c r="C12" s="7" t="s">
        <v>2040</v>
      </c>
      <c r="D12" s="7" t="s">
        <v>2041</v>
      </c>
      <c r="E12" s="7" t="s">
        <v>2689</v>
      </c>
      <c r="F12" s="7" t="s">
        <v>92</v>
      </c>
      <c r="G12" s="21" t="s">
        <v>116</v>
      </c>
      <c r="H12" s="21" t="s">
        <v>116</v>
      </c>
      <c r="I12" s="21" t="s">
        <v>116</v>
      </c>
      <c r="J12" s="8"/>
      <c r="K12" s="32">
        <v>0</v>
      </c>
      <c r="L12" s="8" t="str">
        <f>"0,0000"</f>
        <v>0,0000</v>
      </c>
      <c r="M12" s="7" t="s">
        <v>95</v>
      </c>
    </row>
    <row r="13" spans="1:13">
      <c r="B13" s="5" t="s">
        <v>350</v>
      </c>
    </row>
    <row r="14" spans="1:13" ht="16">
      <c r="A14" s="82" t="s">
        <v>143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3">
      <c r="A15" s="8" t="s">
        <v>349</v>
      </c>
      <c r="B15" s="7" t="s">
        <v>2042</v>
      </c>
      <c r="C15" s="7" t="s">
        <v>2043</v>
      </c>
      <c r="D15" s="7" t="s">
        <v>176</v>
      </c>
      <c r="E15" s="7" t="s">
        <v>2690</v>
      </c>
      <c r="F15" s="7" t="s">
        <v>2044</v>
      </c>
      <c r="G15" s="20" t="s">
        <v>39</v>
      </c>
      <c r="H15" s="20" t="s">
        <v>77</v>
      </c>
      <c r="I15" s="21" t="s">
        <v>33</v>
      </c>
      <c r="J15" s="8"/>
      <c r="K15" s="32" t="str">
        <f>"220,0"</f>
        <v>220,0</v>
      </c>
      <c r="L15" s="8" t="str">
        <f>"143,7040"</f>
        <v>143,7040</v>
      </c>
      <c r="M15" s="7"/>
    </row>
    <row r="16" spans="1:13">
      <c r="B16" s="5" t="s">
        <v>350</v>
      </c>
    </row>
    <row r="17" spans="1:13" ht="16">
      <c r="A17" s="82" t="s">
        <v>183</v>
      </c>
      <c r="B17" s="82"/>
      <c r="C17" s="82"/>
      <c r="D17" s="82"/>
      <c r="E17" s="82"/>
      <c r="F17" s="82"/>
      <c r="G17" s="82"/>
      <c r="H17" s="82"/>
      <c r="I17" s="82"/>
      <c r="J17" s="82"/>
    </row>
    <row r="18" spans="1:13">
      <c r="A18" s="10" t="s">
        <v>349</v>
      </c>
      <c r="B18" s="9" t="s">
        <v>2045</v>
      </c>
      <c r="C18" s="9" t="s">
        <v>2046</v>
      </c>
      <c r="D18" s="9" t="s">
        <v>232</v>
      </c>
      <c r="E18" s="9" t="s">
        <v>2690</v>
      </c>
      <c r="F18" s="9" t="s">
        <v>221</v>
      </c>
      <c r="G18" s="22" t="s">
        <v>120</v>
      </c>
      <c r="H18" s="22" t="s">
        <v>193</v>
      </c>
      <c r="I18" s="22" t="s">
        <v>211</v>
      </c>
      <c r="J18" s="10"/>
      <c r="K18" s="29" t="str">
        <f>"310,0"</f>
        <v>310,0</v>
      </c>
      <c r="L18" s="10" t="str">
        <f>"189,8130"</f>
        <v>189,8130</v>
      </c>
      <c r="M18" s="9" t="s">
        <v>837</v>
      </c>
    </row>
    <row r="19" spans="1:13">
      <c r="A19" s="12" t="s">
        <v>351</v>
      </c>
      <c r="B19" s="11" t="s">
        <v>1385</v>
      </c>
      <c r="C19" s="11" t="s">
        <v>1386</v>
      </c>
      <c r="D19" s="11" t="s">
        <v>200</v>
      </c>
      <c r="E19" s="11" t="s">
        <v>2690</v>
      </c>
      <c r="F19" s="11" t="s">
        <v>1387</v>
      </c>
      <c r="G19" s="24" t="s">
        <v>86</v>
      </c>
      <c r="H19" s="24" t="s">
        <v>129</v>
      </c>
      <c r="I19" s="25" t="s">
        <v>94</v>
      </c>
      <c r="J19" s="12"/>
      <c r="K19" s="31" t="str">
        <f>"255,0"</f>
        <v>255,0</v>
      </c>
      <c r="L19" s="12" t="str">
        <f>"156,5445"</f>
        <v>156,5445</v>
      </c>
      <c r="M19" s="11"/>
    </row>
    <row r="20" spans="1:13">
      <c r="A20" s="12" t="s">
        <v>349</v>
      </c>
      <c r="B20" s="11" t="s">
        <v>2045</v>
      </c>
      <c r="C20" s="11" t="s">
        <v>2047</v>
      </c>
      <c r="D20" s="11" t="s">
        <v>232</v>
      </c>
      <c r="E20" s="11" t="s">
        <v>2693</v>
      </c>
      <c r="F20" s="11" t="s">
        <v>221</v>
      </c>
      <c r="G20" s="24" t="s">
        <v>120</v>
      </c>
      <c r="H20" s="24" t="s">
        <v>193</v>
      </c>
      <c r="I20" s="24" t="s">
        <v>211</v>
      </c>
      <c r="J20" s="12"/>
      <c r="K20" s="31" t="str">
        <f>"310,0"</f>
        <v>310,0</v>
      </c>
      <c r="L20" s="12" t="str">
        <f>"208,0350"</f>
        <v>208,0350</v>
      </c>
      <c r="M20" s="11" t="s">
        <v>837</v>
      </c>
    </row>
    <row r="21" spans="1:13">
      <c r="A21" s="14" t="s">
        <v>351</v>
      </c>
      <c r="B21" s="13" t="s">
        <v>1385</v>
      </c>
      <c r="C21" s="13" t="s">
        <v>1416</v>
      </c>
      <c r="D21" s="13" t="s">
        <v>200</v>
      </c>
      <c r="E21" s="13" t="s">
        <v>2693</v>
      </c>
      <c r="F21" s="13" t="s">
        <v>1387</v>
      </c>
      <c r="G21" s="26" t="s">
        <v>86</v>
      </c>
      <c r="H21" s="26" t="s">
        <v>129</v>
      </c>
      <c r="I21" s="27" t="s">
        <v>94</v>
      </c>
      <c r="J21" s="14"/>
      <c r="K21" s="30" t="str">
        <f>"255,0"</f>
        <v>255,0</v>
      </c>
      <c r="L21" s="14" t="str">
        <f>"168,7550"</f>
        <v>168,7550</v>
      </c>
      <c r="M21" s="13"/>
    </row>
    <row r="22" spans="1:13">
      <c r="B22" s="5" t="s">
        <v>350</v>
      </c>
    </row>
    <row r="23" spans="1:13" ht="16">
      <c r="A23" s="82" t="s">
        <v>244</v>
      </c>
      <c r="B23" s="82"/>
      <c r="C23" s="82"/>
      <c r="D23" s="82"/>
      <c r="E23" s="82"/>
      <c r="F23" s="82"/>
      <c r="G23" s="82"/>
      <c r="H23" s="82"/>
      <c r="I23" s="82"/>
      <c r="J23" s="82"/>
    </row>
    <row r="24" spans="1:13">
      <c r="A24" s="8" t="s">
        <v>349</v>
      </c>
      <c r="B24" s="7" t="s">
        <v>2048</v>
      </c>
      <c r="C24" s="7" t="s">
        <v>2049</v>
      </c>
      <c r="D24" s="7" t="s">
        <v>2050</v>
      </c>
      <c r="E24" s="7" t="s">
        <v>2690</v>
      </c>
      <c r="F24" s="7" t="s">
        <v>221</v>
      </c>
      <c r="G24" s="20" t="s">
        <v>77</v>
      </c>
      <c r="H24" s="20" t="s">
        <v>592</v>
      </c>
      <c r="I24" s="21" t="s">
        <v>85</v>
      </c>
      <c r="J24" s="8"/>
      <c r="K24" s="32" t="str">
        <f>"227,5"</f>
        <v>227,5</v>
      </c>
      <c r="L24" s="8" t="str">
        <f>"135,9540"</f>
        <v>135,9540</v>
      </c>
      <c r="M24" s="7"/>
    </row>
    <row r="25" spans="1:13">
      <c r="B25" s="5" t="s">
        <v>350</v>
      </c>
    </row>
  </sheetData>
  <mergeCells count="17">
    <mergeCell ref="A23:J23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4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71" t="s">
        <v>2641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65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68"/>
    </row>
    <row r="5" spans="1:13" ht="16">
      <c r="A5" s="69" t="s">
        <v>143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2126</v>
      </c>
      <c r="C6" s="7" t="s">
        <v>2127</v>
      </c>
      <c r="D6" s="7" t="s">
        <v>2128</v>
      </c>
      <c r="E6" s="7" t="s">
        <v>2690</v>
      </c>
      <c r="F6" s="7" t="s">
        <v>221</v>
      </c>
      <c r="G6" s="20" t="s">
        <v>109</v>
      </c>
      <c r="H6" s="21" t="s">
        <v>60</v>
      </c>
      <c r="I6" s="21" t="s">
        <v>60</v>
      </c>
      <c r="J6" s="8"/>
      <c r="K6" s="8" t="str">
        <f>"170,0"</f>
        <v>170,0</v>
      </c>
      <c r="L6" s="8" t="str">
        <f>"113,4750"</f>
        <v>113,4750</v>
      </c>
      <c r="M6" s="7" t="s">
        <v>2053</v>
      </c>
    </row>
    <row r="7" spans="1:13">
      <c r="B7" s="5" t="s">
        <v>350</v>
      </c>
    </row>
    <row r="8" spans="1:13" ht="16">
      <c r="A8" s="82" t="s">
        <v>183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10" t="s">
        <v>349</v>
      </c>
      <c r="B9" s="9" t="s">
        <v>1110</v>
      </c>
      <c r="C9" s="9" t="s">
        <v>1111</v>
      </c>
      <c r="D9" s="9" t="s">
        <v>1112</v>
      </c>
      <c r="E9" s="9" t="s">
        <v>2690</v>
      </c>
      <c r="F9" s="9" t="s">
        <v>252</v>
      </c>
      <c r="G9" s="22" t="s">
        <v>109</v>
      </c>
      <c r="H9" s="22" t="s">
        <v>60</v>
      </c>
      <c r="I9" s="22" t="s">
        <v>37</v>
      </c>
      <c r="J9" s="10"/>
      <c r="K9" s="10" t="str">
        <f>"190,0"</f>
        <v>190,0</v>
      </c>
      <c r="L9" s="10" t="str">
        <f>"118,0090"</f>
        <v>118,0090</v>
      </c>
      <c r="M9" s="9" t="s">
        <v>1113</v>
      </c>
    </row>
    <row r="10" spans="1:13">
      <c r="A10" s="14" t="s">
        <v>349</v>
      </c>
      <c r="B10" s="13" t="s">
        <v>1110</v>
      </c>
      <c r="C10" s="13" t="s">
        <v>1114</v>
      </c>
      <c r="D10" s="13" t="s">
        <v>1112</v>
      </c>
      <c r="E10" s="13" t="s">
        <v>2693</v>
      </c>
      <c r="F10" s="13" t="s">
        <v>252</v>
      </c>
      <c r="G10" s="26" t="s">
        <v>109</v>
      </c>
      <c r="H10" s="26" t="s">
        <v>60</v>
      </c>
      <c r="I10" s="26" t="s">
        <v>37</v>
      </c>
      <c r="J10" s="14"/>
      <c r="K10" s="14" t="str">
        <f>"190,0"</f>
        <v>190,0</v>
      </c>
      <c r="L10" s="14" t="str">
        <f>"131,4620"</f>
        <v>131,4620</v>
      </c>
      <c r="M10" s="13" t="s">
        <v>1113</v>
      </c>
    </row>
    <row r="11" spans="1:13">
      <c r="B11" s="5" t="s">
        <v>350</v>
      </c>
    </row>
    <row r="12" spans="1:13" ht="16">
      <c r="A12" s="82" t="s">
        <v>244</v>
      </c>
      <c r="B12" s="82"/>
      <c r="C12" s="82"/>
      <c r="D12" s="82"/>
      <c r="E12" s="82"/>
      <c r="F12" s="82"/>
      <c r="G12" s="82"/>
      <c r="H12" s="82"/>
      <c r="I12" s="82"/>
      <c r="J12" s="82"/>
    </row>
    <row r="13" spans="1:13">
      <c r="A13" s="8" t="s">
        <v>349</v>
      </c>
      <c r="B13" s="7" t="s">
        <v>2129</v>
      </c>
      <c r="C13" s="7" t="s">
        <v>2130</v>
      </c>
      <c r="D13" s="7" t="s">
        <v>1907</v>
      </c>
      <c r="E13" s="7" t="s">
        <v>2690</v>
      </c>
      <c r="F13" s="7" t="s">
        <v>1343</v>
      </c>
      <c r="G13" s="20" t="s">
        <v>85</v>
      </c>
      <c r="H13" s="21" t="s">
        <v>86</v>
      </c>
      <c r="I13" s="8"/>
      <c r="J13" s="8"/>
      <c r="K13" s="8" t="str">
        <f>"235,0"</f>
        <v>235,0</v>
      </c>
      <c r="L13" s="8" t="str">
        <f>"138,7675"</f>
        <v>138,7675</v>
      </c>
      <c r="M13" s="7"/>
    </row>
    <row r="14" spans="1:13">
      <c r="B14" s="5" t="s">
        <v>350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71" t="s">
        <v>2642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65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68"/>
    </row>
    <row r="5" spans="1:13" ht="16">
      <c r="A5" s="69" t="s">
        <v>183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10" t="s">
        <v>349</v>
      </c>
      <c r="B6" s="9" t="s">
        <v>1171</v>
      </c>
      <c r="C6" s="9" t="s">
        <v>1172</v>
      </c>
      <c r="D6" s="9" t="s">
        <v>1173</v>
      </c>
      <c r="E6" s="9" t="s">
        <v>2690</v>
      </c>
      <c r="F6" s="9" t="s">
        <v>1174</v>
      </c>
      <c r="G6" s="23" t="s">
        <v>194</v>
      </c>
      <c r="H6" s="23" t="s">
        <v>194</v>
      </c>
      <c r="I6" s="22" t="s">
        <v>194</v>
      </c>
      <c r="J6" s="10"/>
      <c r="K6" s="10" t="str">
        <f>"315,0"</f>
        <v>315,0</v>
      </c>
      <c r="L6" s="10" t="str">
        <f>"197,4735"</f>
        <v>197,4735</v>
      </c>
      <c r="M6" s="9" t="s">
        <v>1175</v>
      </c>
    </row>
    <row r="7" spans="1:13">
      <c r="A7" s="14" t="s">
        <v>351</v>
      </c>
      <c r="B7" s="13" t="s">
        <v>2123</v>
      </c>
      <c r="C7" s="13" t="s">
        <v>2124</v>
      </c>
      <c r="D7" s="13" t="s">
        <v>2125</v>
      </c>
      <c r="E7" s="13" t="s">
        <v>2690</v>
      </c>
      <c r="F7" s="13" t="s">
        <v>92</v>
      </c>
      <c r="G7" s="27" t="s">
        <v>126</v>
      </c>
      <c r="H7" s="26" t="s">
        <v>126</v>
      </c>
      <c r="I7" s="27" t="s">
        <v>115</v>
      </c>
      <c r="J7" s="14"/>
      <c r="K7" s="14" t="str">
        <f>"270,0"</f>
        <v>270,0</v>
      </c>
      <c r="L7" s="14" t="str">
        <f>"169,6140"</f>
        <v>169,6140</v>
      </c>
      <c r="M7" s="13" t="s">
        <v>95</v>
      </c>
    </row>
    <row r="8" spans="1:13">
      <c r="B8" s="5" t="s">
        <v>350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47"/>
  <sheetViews>
    <sheetView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83203125" style="5" bestFit="1" customWidth="1"/>
    <col min="14" max="16384" width="9.1640625" style="3"/>
  </cols>
  <sheetData>
    <row r="1" spans="1:13" s="2" customFormat="1" ht="29" customHeight="1">
      <c r="A1" s="71" t="s">
        <v>2643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65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68"/>
    </row>
    <row r="5" spans="1:13" ht="16">
      <c r="A5" s="69" t="s">
        <v>359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1554</v>
      </c>
      <c r="C6" s="7" t="s">
        <v>1555</v>
      </c>
      <c r="D6" s="7" t="s">
        <v>1556</v>
      </c>
      <c r="E6" s="7" t="s">
        <v>2690</v>
      </c>
      <c r="F6" s="7" t="s">
        <v>221</v>
      </c>
      <c r="G6" s="20" t="s">
        <v>48</v>
      </c>
      <c r="H6" s="20" t="s">
        <v>49</v>
      </c>
      <c r="I6" s="20" t="s">
        <v>398</v>
      </c>
      <c r="J6" s="8"/>
      <c r="K6" s="8" t="str">
        <f>"72,5"</f>
        <v>72,5</v>
      </c>
      <c r="L6" s="8" t="str">
        <f>"80,4243"</f>
        <v>80,4243</v>
      </c>
      <c r="M6" s="7" t="s">
        <v>1557</v>
      </c>
    </row>
    <row r="7" spans="1:13">
      <c r="B7" s="5" t="s">
        <v>350</v>
      </c>
    </row>
    <row r="8" spans="1:13" ht="16">
      <c r="A8" s="82" t="s">
        <v>11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10" t="s">
        <v>349</v>
      </c>
      <c r="B9" s="9" t="s">
        <v>1993</v>
      </c>
      <c r="C9" s="9" t="s">
        <v>1994</v>
      </c>
      <c r="D9" s="9" t="s">
        <v>1995</v>
      </c>
      <c r="E9" s="9" t="s">
        <v>2691</v>
      </c>
      <c r="F9" s="9" t="s">
        <v>626</v>
      </c>
      <c r="G9" s="23" t="s">
        <v>407</v>
      </c>
      <c r="H9" s="22" t="s">
        <v>407</v>
      </c>
      <c r="I9" s="23" t="s">
        <v>188</v>
      </c>
      <c r="J9" s="10"/>
      <c r="K9" s="10" t="str">
        <f>"90,0"</f>
        <v>90,0</v>
      </c>
      <c r="L9" s="10" t="str">
        <f>"94,0860"</f>
        <v>94,0860</v>
      </c>
      <c r="M9" s="9" t="s">
        <v>1996</v>
      </c>
    </row>
    <row r="10" spans="1:13">
      <c r="A10" s="14" t="s">
        <v>349</v>
      </c>
      <c r="B10" s="13" t="s">
        <v>1997</v>
      </c>
      <c r="C10" s="13" t="s">
        <v>1998</v>
      </c>
      <c r="D10" s="13" t="s">
        <v>1999</v>
      </c>
      <c r="E10" s="13" t="s">
        <v>2690</v>
      </c>
      <c r="F10" s="13" t="s">
        <v>1311</v>
      </c>
      <c r="G10" s="26" t="s">
        <v>407</v>
      </c>
      <c r="H10" s="27" t="s">
        <v>188</v>
      </c>
      <c r="I10" s="27" t="s">
        <v>188</v>
      </c>
      <c r="J10" s="14"/>
      <c r="K10" s="14" t="str">
        <f>"90,0"</f>
        <v>90,0</v>
      </c>
      <c r="L10" s="14" t="str">
        <f>"93,9510"</f>
        <v>93,9510</v>
      </c>
      <c r="M10" s="13" t="s">
        <v>2624</v>
      </c>
    </row>
    <row r="11" spans="1:13">
      <c r="B11" s="5" t="s">
        <v>350</v>
      </c>
    </row>
    <row r="12" spans="1:13" ht="16">
      <c r="A12" s="82" t="s">
        <v>55</v>
      </c>
      <c r="B12" s="82"/>
      <c r="C12" s="82"/>
      <c r="D12" s="82"/>
      <c r="E12" s="82"/>
      <c r="F12" s="82"/>
      <c r="G12" s="82"/>
      <c r="H12" s="82"/>
      <c r="I12" s="82"/>
      <c r="J12" s="82"/>
    </row>
    <row r="13" spans="1:13">
      <c r="A13" s="10" t="s">
        <v>349</v>
      </c>
      <c r="B13" s="9" t="s">
        <v>1691</v>
      </c>
      <c r="C13" s="9" t="s">
        <v>1692</v>
      </c>
      <c r="D13" s="9" t="s">
        <v>1693</v>
      </c>
      <c r="E13" s="9" t="s">
        <v>2690</v>
      </c>
      <c r="F13" s="9" t="s">
        <v>221</v>
      </c>
      <c r="G13" s="22" t="s">
        <v>60</v>
      </c>
      <c r="H13" s="22" t="s">
        <v>159</v>
      </c>
      <c r="I13" s="23" t="s">
        <v>31</v>
      </c>
      <c r="J13" s="10"/>
      <c r="K13" s="10" t="str">
        <f>"192,5"</f>
        <v>192,5</v>
      </c>
      <c r="L13" s="10" t="str">
        <f>"134,5575"</f>
        <v>134,5575</v>
      </c>
      <c r="M13" s="9" t="s">
        <v>1694</v>
      </c>
    </row>
    <row r="14" spans="1:13">
      <c r="A14" s="12" t="s">
        <v>349</v>
      </c>
      <c r="B14" s="11" t="s">
        <v>2000</v>
      </c>
      <c r="C14" s="11" t="s">
        <v>2001</v>
      </c>
      <c r="D14" s="11" t="s">
        <v>560</v>
      </c>
      <c r="E14" s="11" t="s">
        <v>2695</v>
      </c>
      <c r="F14" s="11" t="s">
        <v>667</v>
      </c>
      <c r="G14" s="24" t="s">
        <v>118</v>
      </c>
      <c r="H14" s="24" t="s">
        <v>284</v>
      </c>
      <c r="I14" s="24" t="s">
        <v>314</v>
      </c>
      <c r="J14" s="12"/>
      <c r="K14" s="12" t="str">
        <f>"202,5"</f>
        <v>202,5</v>
      </c>
      <c r="L14" s="12" t="str">
        <f>"161,6930"</f>
        <v>161,6930</v>
      </c>
      <c r="M14" s="11" t="s">
        <v>2625</v>
      </c>
    </row>
    <row r="15" spans="1:13">
      <c r="A15" s="14" t="s">
        <v>351</v>
      </c>
      <c r="B15" s="13" t="s">
        <v>1713</v>
      </c>
      <c r="C15" s="13" t="s">
        <v>1714</v>
      </c>
      <c r="D15" s="13" t="s">
        <v>1715</v>
      </c>
      <c r="E15" s="13" t="s">
        <v>2695</v>
      </c>
      <c r="F15" s="13" t="s">
        <v>626</v>
      </c>
      <c r="G15" s="26" t="s">
        <v>51</v>
      </c>
      <c r="H15" s="27" t="s">
        <v>154</v>
      </c>
      <c r="I15" s="27" t="s">
        <v>93</v>
      </c>
      <c r="J15" s="14"/>
      <c r="K15" s="14" t="str">
        <f>"135,0"</f>
        <v>135,0</v>
      </c>
      <c r="L15" s="14" t="str">
        <f>"112,9165"</f>
        <v>112,9165</v>
      </c>
      <c r="M15" s="13"/>
    </row>
    <row r="16" spans="1:13">
      <c r="B16" s="5" t="s">
        <v>350</v>
      </c>
    </row>
    <row r="17" spans="1:13" ht="16">
      <c r="A17" s="82" t="s">
        <v>72</v>
      </c>
      <c r="B17" s="82"/>
      <c r="C17" s="82"/>
      <c r="D17" s="82"/>
      <c r="E17" s="82"/>
      <c r="F17" s="82"/>
      <c r="G17" s="82"/>
      <c r="H17" s="82"/>
      <c r="I17" s="82"/>
      <c r="J17" s="82"/>
    </row>
    <row r="18" spans="1:13">
      <c r="A18" s="8" t="s">
        <v>349</v>
      </c>
      <c r="B18" s="7" t="s">
        <v>2002</v>
      </c>
      <c r="C18" s="7" t="s">
        <v>2003</v>
      </c>
      <c r="D18" s="7" t="s">
        <v>2004</v>
      </c>
      <c r="E18" s="7" t="s">
        <v>2693</v>
      </c>
      <c r="F18" s="7" t="s">
        <v>2005</v>
      </c>
      <c r="G18" s="20" t="s">
        <v>109</v>
      </c>
      <c r="H18" s="20" t="s">
        <v>60</v>
      </c>
      <c r="I18" s="20" t="s">
        <v>37</v>
      </c>
      <c r="J18" s="8"/>
      <c r="K18" s="8" t="str">
        <f>"190,0"</f>
        <v>190,0</v>
      </c>
      <c r="L18" s="8" t="str">
        <f>"133,7001"</f>
        <v>133,7001</v>
      </c>
      <c r="M18" s="7" t="s">
        <v>2006</v>
      </c>
    </row>
    <row r="19" spans="1:13">
      <c r="B19" s="5" t="s">
        <v>350</v>
      </c>
    </row>
    <row r="20" spans="1:13" ht="16">
      <c r="A20" s="82" t="s">
        <v>143</v>
      </c>
      <c r="B20" s="82"/>
      <c r="C20" s="82"/>
      <c r="D20" s="82"/>
      <c r="E20" s="82"/>
      <c r="F20" s="82"/>
      <c r="G20" s="82"/>
      <c r="H20" s="82"/>
      <c r="I20" s="82"/>
      <c r="J20" s="82"/>
    </row>
    <row r="21" spans="1:13">
      <c r="A21" s="10" t="s">
        <v>349</v>
      </c>
      <c r="B21" s="9" t="s">
        <v>2007</v>
      </c>
      <c r="C21" s="9" t="s">
        <v>2008</v>
      </c>
      <c r="D21" s="9" t="s">
        <v>2009</v>
      </c>
      <c r="E21" s="9" t="s">
        <v>2695</v>
      </c>
      <c r="F21" s="9" t="s">
        <v>243</v>
      </c>
      <c r="G21" s="22" t="s">
        <v>38</v>
      </c>
      <c r="H21" s="23" t="s">
        <v>77</v>
      </c>
      <c r="I21" s="23" t="s">
        <v>77</v>
      </c>
      <c r="J21" s="10"/>
      <c r="K21" s="10" t="str">
        <f>"200,0"</f>
        <v>200,0</v>
      </c>
      <c r="L21" s="10" t="str">
        <f>"154,2174"</f>
        <v>154,2174</v>
      </c>
      <c r="M21" s="9"/>
    </row>
    <row r="22" spans="1:13">
      <c r="A22" s="14" t="s">
        <v>349</v>
      </c>
      <c r="B22" s="13" t="s">
        <v>2010</v>
      </c>
      <c r="C22" s="13" t="s">
        <v>2011</v>
      </c>
      <c r="D22" s="13" t="s">
        <v>442</v>
      </c>
      <c r="E22" s="13" t="s">
        <v>2694</v>
      </c>
      <c r="F22" s="13" t="s">
        <v>221</v>
      </c>
      <c r="G22" s="26" t="s">
        <v>116</v>
      </c>
      <c r="H22" s="27" t="s">
        <v>60</v>
      </c>
      <c r="I22" s="27" t="s">
        <v>60</v>
      </c>
      <c r="J22" s="14"/>
      <c r="K22" s="14" t="str">
        <f>"175,0"</f>
        <v>175,0</v>
      </c>
      <c r="L22" s="14" t="str">
        <f>"173,4735"</f>
        <v>173,4735</v>
      </c>
      <c r="M22" s="13"/>
    </row>
    <row r="23" spans="1:13">
      <c r="B23" s="5" t="s">
        <v>350</v>
      </c>
    </row>
    <row r="24" spans="1:13" ht="16">
      <c r="A24" s="82" t="s">
        <v>183</v>
      </c>
      <c r="B24" s="82"/>
      <c r="C24" s="82"/>
      <c r="D24" s="82"/>
      <c r="E24" s="82"/>
      <c r="F24" s="82"/>
      <c r="G24" s="82"/>
      <c r="H24" s="82"/>
      <c r="I24" s="82"/>
      <c r="J24" s="82"/>
    </row>
    <row r="25" spans="1:13">
      <c r="A25" s="10" t="s">
        <v>349</v>
      </c>
      <c r="B25" s="9" t="s">
        <v>2012</v>
      </c>
      <c r="C25" s="9" t="s">
        <v>2013</v>
      </c>
      <c r="D25" s="9" t="s">
        <v>2014</v>
      </c>
      <c r="E25" s="9" t="s">
        <v>2690</v>
      </c>
      <c r="F25" s="9" t="s">
        <v>2015</v>
      </c>
      <c r="G25" s="22" t="s">
        <v>37</v>
      </c>
      <c r="H25" s="22" t="s">
        <v>314</v>
      </c>
      <c r="I25" s="22" t="s">
        <v>39</v>
      </c>
      <c r="J25" s="10"/>
      <c r="K25" s="10" t="str">
        <f>"210,0"</f>
        <v>210,0</v>
      </c>
      <c r="L25" s="10" t="str">
        <f>"122,1255"</f>
        <v>122,1255</v>
      </c>
      <c r="M25" s="9" t="s">
        <v>2016</v>
      </c>
    </row>
    <row r="26" spans="1:13">
      <c r="A26" s="12" t="s">
        <v>349</v>
      </c>
      <c r="B26" s="11" t="s">
        <v>2012</v>
      </c>
      <c r="C26" s="11" t="s">
        <v>2017</v>
      </c>
      <c r="D26" s="11" t="s">
        <v>2014</v>
      </c>
      <c r="E26" s="11" t="s">
        <v>2693</v>
      </c>
      <c r="F26" s="11" t="s">
        <v>2015</v>
      </c>
      <c r="G26" s="24" t="s">
        <v>37</v>
      </c>
      <c r="H26" s="24" t="s">
        <v>314</v>
      </c>
      <c r="I26" s="24" t="s">
        <v>39</v>
      </c>
      <c r="J26" s="12"/>
      <c r="K26" s="12" t="str">
        <f>"210,0"</f>
        <v>210,0</v>
      </c>
      <c r="L26" s="12" t="str">
        <f>"132,1398"</f>
        <v>132,1398</v>
      </c>
      <c r="M26" s="11" t="s">
        <v>2016</v>
      </c>
    </row>
    <row r="27" spans="1:13">
      <c r="A27" s="14" t="s">
        <v>349</v>
      </c>
      <c r="B27" s="13" t="s">
        <v>2018</v>
      </c>
      <c r="C27" s="13" t="s">
        <v>2019</v>
      </c>
      <c r="D27" s="13" t="s">
        <v>2020</v>
      </c>
      <c r="E27" s="13" t="s">
        <v>2694</v>
      </c>
      <c r="F27" s="13" t="s">
        <v>667</v>
      </c>
      <c r="G27" s="27" t="s">
        <v>38</v>
      </c>
      <c r="H27" s="26" t="s">
        <v>38</v>
      </c>
      <c r="I27" s="27" t="s">
        <v>77</v>
      </c>
      <c r="J27" s="14"/>
      <c r="K27" s="14" t="str">
        <f>"200,0"</f>
        <v>200,0</v>
      </c>
      <c r="L27" s="14" t="str">
        <f>"164,3571"</f>
        <v>164,3571</v>
      </c>
      <c r="M27" s="13"/>
    </row>
    <row r="28" spans="1:13">
      <c r="B28" s="5" t="s">
        <v>350</v>
      </c>
    </row>
    <row r="29" spans="1:13" ht="16">
      <c r="A29" s="82" t="s">
        <v>244</v>
      </c>
      <c r="B29" s="82"/>
      <c r="C29" s="82"/>
      <c r="D29" s="82"/>
      <c r="E29" s="82"/>
      <c r="F29" s="82"/>
      <c r="G29" s="82"/>
      <c r="H29" s="82"/>
      <c r="I29" s="82"/>
      <c r="J29" s="82"/>
    </row>
    <row r="30" spans="1:13">
      <c r="A30" s="10" t="s">
        <v>349</v>
      </c>
      <c r="B30" s="9" t="s">
        <v>2021</v>
      </c>
      <c r="C30" s="9" t="s">
        <v>2022</v>
      </c>
      <c r="D30" s="9" t="s">
        <v>1456</v>
      </c>
      <c r="E30" s="9" t="s">
        <v>2690</v>
      </c>
      <c r="F30" s="9" t="s">
        <v>221</v>
      </c>
      <c r="G30" s="22" t="s">
        <v>100</v>
      </c>
      <c r="H30" s="22" t="s">
        <v>578</v>
      </c>
      <c r="I30" s="23" t="s">
        <v>444</v>
      </c>
      <c r="J30" s="10"/>
      <c r="K30" s="10" t="str">
        <f>"247,5"</f>
        <v>247,5</v>
      </c>
      <c r="L30" s="10" t="str">
        <f>"139,5034"</f>
        <v>139,5034</v>
      </c>
      <c r="M30" s="9"/>
    </row>
    <row r="31" spans="1:13">
      <c r="A31" s="14" t="s">
        <v>349</v>
      </c>
      <c r="B31" s="13" t="s">
        <v>1205</v>
      </c>
      <c r="C31" s="13" t="s">
        <v>1206</v>
      </c>
      <c r="D31" s="13" t="s">
        <v>1207</v>
      </c>
      <c r="E31" s="13" t="s">
        <v>2695</v>
      </c>
      <c r="F31" s="13" t="s">
        <v>2623</v>
      </c>
      <c r="G31" s="26" t="s">
        <v>60</v>
      </c>
      <c r="H31" s="26" t="s">
        <v>37</v>
      </c>
      <c r="I31" s="27" t="s">
        <v>32</v>
      </c>
      <c r="J31" s="14"/>
      <c r="K31" s="14" t="str">
        <f>"190,0"</f>
        <v>190,0</v>
      </c>
      <c r="L31" s="14" t="str">
        <f>"138,4785"</f>
        <v>138,4785</v>
      </c>
      <c r="M31" s="13"/>
    </row>
    <row r="32" spans="1:13">
      <c r="B32" s="5" t="s">
        <v>350</v>
      </c>
    </row>
    <row r="33" spans="1:13" ht="16">
      <c r="A33" s="82" t="s">
        <v>276</v>
      </c>
      <c r="B33" s="82"/>
      <c r="C33" s="82"/>
      <c r="D33" s="82"/>
      <c r="E33" s="82"/>
      <c r="F33" s="82"/>
      <c r="G33" s="82"/>
      <c r="H33" s="82"/>
      <c r="I33" s="82"/>
      <c r="J33" s="82"/>
    </row>
    <row r="34" spans="1:13">
      <c r="A34" s="10" t="s">
        <v>349</v>
      </c>
      <c r="B34" s="9" t="s">
        <v>2023</v>
      </c>
      <c r="C34" s="9" t="s">
        <v>2024</v>
      </c>
      <c r="D34" s="9" t="s">
        <v>2025</v>
      </c>
      <c r="E34" s="9" t="s">
        <v>2690</v>
      </c>
      <c r="F34" s="9" t="s">
        <v>2026</v>
      </c>
      <c r="G34" s="22" t="s">
        <v>115</v>
      </c>
      <c r="H34" s="22" t="s">
        <v>2027</v>
      </c>
      <c r="I34" s="22" t="s">
        <v>193</v>
      </c>
      <c r="J34" s="10"/>
      <c r="K34" s="10" t="str">
        <f>"300,0"</f>
        <v>300,0</v>
      </c>
      <c r="L34" s="10" t="str">
        <f>"163,8000"</f>
        <v>163,8000</v>
      </c>
      <c r="M34" s="9" t="s">
        <v>2028</v>
      </c>
    </row>
    <row r="35" spans="1:13">
      <c r="A35" s="12" t="s">
        <v>349</v>
      </c>
      <c r="B35" s="11" t="s">
        <v>2023</v>
      </c>
      <c r="C35" s="11" t="s">
        <v>2029</v>
      </c>
      <c r="D35" s="11" t="s">
        <v>2025</v>
      </c>
      <c r="E35" s="11" t="s">
        <v>2693</v>
      </c>
      <c r="F35" s="11" t="s">
        <v>2026</v>
      </c>
      <c r="G35" s="24" t="s">
        <v>115</v>
      </c>
      <c r="H35" s="24" t="s">
        <v>2027</v>
      </c>
      <c r="I35" s="24" t="s">
        <v>193</v>
      </c>
      <c r="J35" s="12"/>
      <c r="K35" s="12" t="str">
        <f>"300,0"</f>
        <v>300,0</v>
      </c>
      <c r="L35" s="12" t="str">
        <f>"182,3094"</f>
        <v>182,3094</v>
      </c>
      <c r="M35" s="11" t="s">
        <v>2028</v>
      </c>
    </row>
    <row r="36" spans="1:13">
      <c r="A36" s="14" t="s">
        <v>349</v>
      </c>
      <c r="B36" s="13" t="s">
        <v>2030</v>
      </c>
      <c r="C36" s="13" t="s">
        <v>2031</v>
      </c>
      <c r="D36" s="13" t="s">
        <v>290</v>
      </c>
      <c r="E36" s="13" t="s">
        <v>2695</v>
      </c>
      <c r="F36" s="13" t="s">
        <v>462</v>
      </c>
      <c r="G36" s="26" t="s">
        <v>38</v>
      </c>
      <c r="H36" s="26" t="s">
        <v>39</v>
      </c>
      <c r="I36" s="27" t="s">
        <v>77</v>
      </c>
      <c r="J36" s="14"/>
      <c r="K36" s="14" t="str">
        <f>"210,0"</f>
        <v>210,0</v>
      </c>
      <c r="L36" s="14" t="str">
        <f>"131,0964"</f>
        <v>131,0964</v>
      </c>
      <c r="M36" s="13"/>
    </row>
    <row r="37" spans="1:13">
      <c r="B37" s="5" t="s">
        <v>350</v>
      </c>
    </row>
    <row r="38" spans="1:13">
      <c r="B38" s="5" t="s">
        <v>350</v>
      </c>
    </row>
    <row r="39" spans="1:13">
      <c r="B39" s="5" t="s">
        <v>350</v>
      </c>
    </row>
    <row r="40" spans="1:13" ht="18">
      <c r="B40" s="15" t="s">
        <v>316</v>
      </c>
      <c r="C40" s="15"/>
      <c r="F40" s="3"/>
    </row>
    <row r="41" spans="1:13" ht="16">
      <c r="B41" s="16" t="s">
        <v>336</v>
      </c>
      <c r="C41" s="16"/>
      <c r="F41" s="3"/>
    </row>
    <row r="42" spans="1:13" ht="14">
      <c r="B42" s="17"/>
      <c r="C42" s="18" t="s">
        <v>333</v>
      </c>
      <c r="F42" s="3"/>
    </row>
    <row r="43" spans="1:13" ht="14">
      <c r="B43" s="19" t="s">
        <v>319</v>
      </c>
      <c r="C43" s="19" t="s">
        <v>320</v>
      </c>
      <c r="D43" s="19" t="s">
        <v>2593</v>
      </c>
      <c r="E43" s="19" t="s">
        <v>1225</v>
      </c>
      <c r="F43" s="19" t="s">
        <v>1226</v>
      </c>
    </row>
    <row r="44" spans="1:13">
      <c r="B44" s="5" t="s">
        <v>2023</v>
      </c>
      <c r="C44" s="5" t="s">
        <v>335</v>
      </c>
      <c r="D44" s="6" t="s">
        <v>348</v>
      </c>
      <c r="E44" s="6" t="s">
        <v>193</v>
      </c>
      <c r="F44" s="6" t="s">
        <v>2032</v>
      </c>
    </row>
    <row r="45" spans="1:13">
      <c r="B45" s="5" t="s">
        <v>2010</v>
      </c>
      <c r="C45" s="5" t="s">
        <v>760</v>
      </c>
      <c r="D45" s="6" t="s">
        <v>338</v>
      </c>
      <c r="E45" s="6" t="s">
        <v>116</v>
      </c>
      <c r="F45" s="6" t="s">
        <v>2033</v>
      </c>
    </row>
    <row r="46" spans="1:13">
      <c r="B46" s="5" t="s">
        <v>2018</v>
      </c>
      <c r="C46" s="5" t="s">
        <v>760</v>
      </c>
      <c r="D46" s="6" t="s">
        <v>343</v>
      </c>
      <c r="E46" s="6" t="s">
        <v>38</v>
      </c>
      <c r="F46" s="6" t="s">
        <v>2034</v>
      </c>
    </row>
    <row r="47" spans="1:13">
      <c r="B47" s="5" t="s">
        <v>350</v>
      </c>
    </row>
  </sheetData>
  <mergeCells count="19">
    <mergeCell ref="A33:J33"/>
    <mergeCell ref="B3:B4"/>
    <mergeCell ref="A8:J8"/>
    <mergeCell ref="A12:J12"/>
    <mergeCell ref="A17:J17"/>
    <mergeCell ref="A20:J20"/>
    <mergeCell ref="A24:J24"/>
    <mergeCell ref="A29:J29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73"/>
  <sheetViews>
    <sheetView workbookViewId="0">
      <selection activeCell="E57" sqref="E57"/>
    </sheetView>
  </sheetViews>
  <sheetFormatPr baseColWidth="10" defaultColWidth="9.1640625" defaultRowHeight="13"/>
  <cols>
    <col min="1" max="1" width="7.5" style="5" bestFit="1" customWidth="1"/>
    <col min="2" max="2" width="25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71" t="s">
        <v>2644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83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84"/>
      <c r="L4" s="66"/>
      <c r="M4" s="68"/>
    </row>
    <row r="5" spans="1:13" ht="16">
      <c r="A5" s="69" t="s">
        <v>378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352</v>
      </c>
      <c r="B6" s="7" t="s">
        <v>1115</v>
      </c>
      <c r="C6" s="7" t="s">
        <v>1116</v>
      </c>
      <c r="D6" s="7" t="s">
        <v>525</v>
      </c>
      <c r="E6" s="7" t="s">
        <v>2693</v>
      </c>
      <c r="F6" s="7" t="s">
        <v>363</v>
      </c>
      <c r="G6" s="21" t="s">
        <v>34</v>
      </c>
      <c r="H6" s="21" t="s">
        <v>34</v>
      </c>
      <c r="I6" s="21" t="s">
        <v>34</v>
      </c>
      <c r="J6" s="8"/>
      <c r="K6" s="32">
        <v>0</v>
      </c>
      <c r="L6" s="8" t="str">
        <f>"0,0000"</f>
        <v>0,0000</v>
      </c>
      <c r="M6" s="7" t="s">
        <v>1117</v>
      </c>
    </row>
    <row r="7" spans="1:13">
      <c r="B7" s="5" t="s">
        <v>350</v>
      </c>
    </row>
    <row r="8" spans="1:13" ht="16">
      <c r="A8" s="82" t="s">
        <v>26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10" t="s">
        <v>349</v>
      </c>
      <c r="B9" s="9" t="s">
        <v>1118</v>
      </c>
      <c r="C9" s="9" t="s">
        <v>1119</v>
      </c>
      <c r="D9" s="9" t="s">
        <v>1120</v>
      </c>
      <c r="E9" s="9" t="s">
        <v>2691</v>
      </c>
      <c r="F9" s="9" t="s">
        <v>1121</v>
      </c>
      <c r="G9" s="22" t="s">
        <v>84</v>
      </c>
      <c r="H9" s="22" t="s">
        <v>51</v>
      </c>
      <c r="I9" s="23" t="s">
        <v>93</v>
      </c>
      <c r="J9" s="10"/>
      <c r="K9" s="29" t="str">
        <f>"135,0"</f>
        <v>135,0</v>
      </c>
      <c r="L9" s="10" t="str">
        <f>"123,9030"</f>
        <v>123,9030</v>
      </c>
      <c r="M9" s="9" t="s">
        <v>1122</v>
      </c>
    </row>
    <row r="10" spans="1:13">
      <c r="A10" s="14" t="s">
        <v>349</v>
      </c>
      <c r="B10" s="13" t="s">
        <v>1123</v>
      </c>
      <c r="C10" s="13" t="s">
        <v>1124</v>
      </c>
      <c r="D10" s="13" t="s">
        <v>1125</v>
      </c>
      <c r="E10" s="13" t="s">
        <v>2690</v>
      </c>
      <c r="F10" s="13" t="s">
        <v>1126</v>
      </c>
      <c r="G10" s="26" t="s">
        <v>136</v>
      </c>
      <c r="H10" s="27" t="s">
        <v>116</v>
      </c>
      <c r="I10" s="27" t="s">
        <v>116</v>
      </c>
      <c r="J10" s="14"/>
      <c r="K10" s="30" t="str">
        <f>"157,5"</f>
        <v>157,5</v>
      </c>
      <c r="L10" s="14" t="str">
        <f>"143,6951"</f>
        <v>143,6951</v>
      </c>
      <c r="M10" s="13" t="s">
        <v>234</v>
      </c>
    </row>
    <row r="11" spans="1:13">
      <c r="B11" s="5" t="s">
        <v>350</v>
      </c>
    </row>
    <row r="12" spans="1:13" ht="16">
      <c r="A12" s="82" t="s">
        <v>72</v>
      </c>
      <c r="B12" s="82"/>
      <c r="C12" s="82"/>
      <c r="D12" s="82"/>
      <c r="E12" s="82"/>
      <c r="F12" s="82"/>
      <c r="G12" s="82"/>
      <c r="H12" s="82"/>
      <c r="I12" s="82"/>
      <c r="J12" s="82"/>
    </row>
    <row r="13" spans="1:13">
      <c r="A13" s="8" t="s">
        <v>349</v>
      </c>
      <c r="B13" s="7" t="s">
        <v>1127</v>
      </c>
      <c r="C13" s="7" t="s">
        <v>1128</v>
      </c>
      <c r="D13" s="7" t="s">
        <v>1129</v>
      </c>
      <c r="E13" s="7" t="s">
        <v>2690</v>
      </c>
      <c r="F13" s="7" t="s">
        <v>1130</v>
      </c>
      <c r="G13" s="20" t="s">
        <v>154</v>
      </c>
      <c r="H13" s="20" t="s">
        <v>414</v>
      </c>
      <c r="I13" s="21" t="s">
        <v>47</v>
      </c>
      <c r="J13" s="8"/>
      <c r="K13" s="32" t="str">
        <f>"147,5"</f>
        <v>147,5</v>
      </c>
      <c r="L13" s="8" t="str">
        <f>"121,0016"</f>
        <v>121,0016</v>
      </c>
      <c r="M13" s="7" t="s">
        <v>1131</v>
      </c>
    </row>
    <row r="14" spans="1:13">
      <c r="B14" s="5" t="s">
        <v>350</v>
      </c>
    </row>
    <row r="15" spans="1:13" ht="16">
      <c r="A15" s="82" t="s">
        <v>55</v>
      </c>
      <c r="B15" s="82"/>
      <c r="C15" s="82"/>
      <c r="D15" s="82"/>
      <c r="E15" s="82"/>
      <c r="F15" s="82"/>
      <c r="G15" s="82"/>
      <c r="H15" s="82"/>
      <c r="I15" s="82"/>
      <c r="J15" s="82"/>
    </row>
    <row r="16" spans="1:13">
      <c r="A16" s="8" t="s">
        <v>352</v>
      </c>
      <c r="B16" s="7" t="s">
        <v>1132</v>
      </c>
      <c r="C16" s="7" t="s">
        <v>1133</v>
      </c>
      <c r="D16" s="7" t="s">
        <v>564</v>
      </c>
      <c r="E16" s="7" t="s">
        <v>2690</v>
      </c>
      <c r="F16" s="7" t="s">
        <v>1134</v>
      </c>
      <c r="G16" s="21" t="s">
        <v>87</v>
      </c>
      <c r="H16" s="21" t="s">
        <v>129</v>
      </c>
      <c r="I16" s="21" t="s">
        <v>129</v>
      </c>
      <c r="J16" s="8"/>
      <c r="K16" s="32">
        <v>0</v>
      </c>
      <c r="L16" s="8" t="str">
        <f>"0,0000"</f>
        <v>0,0000</v>
      </c>
      <c r="M16" s="7" t="s">
        <v>1135</v>
      </c>
    </row>
    <row r="17" spans="1:13">
      <c r="B17" s="5" t="s">
        <v>350</v>
      </c>
    </row>
    <row r="18" spans="1:13" ht="16">
      <c r="A18" s="82" t="s">
        <v>72</v>
      </c>
      <c r="B18" s="82"/>
      <c r="C18" s="82"/>
      <c r="D18" s="82"/>
      <c r="E18" s="82"/>
      <c r="F18" s="82"/>
      <c r="G18" s="82"/>
      <c r="H18" s="82"/>
      <c r="I18" s="82"/>
      <c r="J18" s="82"/>
    </row>
    <row r="19" spans="1:13">
      <c r="A19" s="10" t="s">
        <v>349</v>
      </c>
      <c r="B19" s="9" t="s">
        <v>1136</v>
      </c>
      <c r="C19" s="9" t="s">
        <v>1137</v>
      </c>
      <c r="D19" s="9" t="s">
        <v>1138</v>
      </c>
      <c r="E19" s="9" t="s">
        <v>2690</v>
      </c>
      <c r="F19" s="9" t="s">
        <v>1139</v>
      </c>
      <c r="G19" s="22" t="s">
        <v>129</v>
      </c>
      <c r="H19" s="22" t="s">
        <v>130</v>
      </c>
      <c r="I19" s="23" t="s">
        <v>119</v>
      </c>
      <c r="J19" s="10"/>
      <c r="K19" s="29" t="str">
        <f>"265,0"</f>
        <v>265,0</v>
      </c>
      <c r="L19" s="10" t="str">
        <f>"174,0255"</f>
        <v>174,0255</v>
      </c>
      <c r="M19" s="9" t="s">
        <v>985</v>
      </c>
    </row>
    <row r="20" spans="1:13">
      <c r="A20" s="12" t="s">
        <v>351</v>
      </c>
      <c r="B20" s="11" t="s">
        <v>1140</v>
      </c>
      <c r="C20" s="11" t="s">
        <v>1141</v>
      </c>
      <c r="D20" s="11" t="s">
        <v>75</v>
      </c>
      <c r="E20" s="11" t="s">
        <v>2690</v>
      </c>
      <c r="F20" s="11" t="s">
        <v>1142</v>
      </c>
      <c r="G20" s="24" t="s">
        <v>592</v>
      </c>
      <c r="H20" s="24" t="s">
        <v>270</v>
      </c>
      <c r="I20" s="24" t="s">
        <v>86</v>
      </c>
      <c r="J20" s="12"/>
      <c r="K20" s="31" t="str">
        <f>"245,0"</f>
        <v>245,0</v>
      </c>
      <c r="L20" s="12" t="str">
        <f>"158,0495"</f>
        <v>158,0495</v>
      </c>
      <c r="M20" s="11"/>
    </row>
    <row r="21" spans="1:13">
      <c r="A21" s="12" t="s">
        <v>353</v>
      </c>
      <c r="B21" s="11" t="s">
        <v>1143</v>
      </c>
      <c r="C21" s="11" t="s">
        <v>1144</v>
      </c>
      <c r="D21" s="11" t="s">
        <v>551</v>
      </c>
      <c r="E21" s="11" t="s">
        <v>2690</v>
      </c>
      <c r="F21" s="11" t="s">
        <v>221</v>
      </c>
      <c r="G21" s="24" t="s">
        <v>195</v>
      </c>
      <c r="H21" s="24" t="s">
        <v>39</v>
      </c>
      <c r="I21" s="25" t="s">
        <v>77</v>
      </c>
      <c r="J21" s="12"/>
      <c r="K21" s="31" t="str">
        <f>"210,0"</f>
        <v>210,0</v>
      </c>
      <c r="L21" s="12" t="str">
        <f>"136,6680"</f>
        <v>136,6680</v>
      </c>
      <c r="M21" s="11"/>
    </row>
    <row r="22" spans="1:13">
      <c r="A22" s="12" t="s">
        <v>349</v>
      </c>
      <c r="B22" s="11" t="s">
        <v>1145</v>
      </c>
      <c r="C22" s="11" t="s">
        <v>1146</v>
      </c>
      <c r="D22" s="11" t="s">
        <v>140</v>
      </c>
      <c r="E22" s="11" t="s">
        <v>2693</v>
      </c>
      <c r="F22" s="11" t="s">
        <v>30</v>
      </c>
      <c r="G22" s="24" t="s">
        <v>38</v>
      </c>
      <c r="H22" s="24" t="s">
        <v>195</v>
      </c>
      <c r="I22" s="24" t="s">
        <v>32</v>
      </c>
      <c r="J22" s="12"/>
      <c r="K22" s="31" t="str">
        <f>"215,0"</f>
        <v>215,0</v>
      </c>
      <c r="L22" s="12" t="str">
        <f>"153,2943"</f>
        <v>153,2943</v>
      </c>
      <c r="M22" s="11" t="s">
        <v>1147</v>
      </c>
    </row>
    <row r="23" spans="1:13">
      <c r="A23" s="14" t="s">
        <v>349</v>
      </c>
      <c r="B23" s="13" t="s">
        <v>1148</v>
      </c>
      <c r="C23" s="13" t="s">
        <v>1149</v>
      </c>
      <c r="D23" s="13" t="s">
        <v>1150</v>
      </c>
      <c r="E23" s="13" t="s">
        <v>2695</v>
      </c>
      <c r="F23" s="13" t="s">
        <v>221</v>
      </c>
      <c r="G23" s="26" t="s">
        <v>52</v>
      </c>
      <c r="H23" s="26" t="s">
        <v>59</v>
      </c>
      <c r="I23" s="27" t="s">
        <v>109</v>
      </c>
      <c r="J23" s="14"/>
      <c r="K23" s="30" t="str">
        <f>"160,0"</f>
        <v>160,0</v>
      </c>
      <c r="L23" s="14" t="str">
        <f>"120,1138"</f>
        <v>120,1138</v>
      </c>
      <c r="M23" s="13"/>
    </row>
    <row r="24" spans="1:13">
      <c r="B24" s="5" t="s">
        <v>350</v>
      </c>
    </row>
    <row r="25" spans="1:13" ht="16">
      <c r="A25" s="82" t="s">
        <v>143</v>
      </c>
      <c r="B25" s="82"/>
      <c r="C25" s="82"/>
      <c r="D25" s="82"/>
      <c r="E25" s="82"/>
      <c r="F25" s="82"/>
      <c r="G25" s="82"/>
      <c r="H25" s="82"/>
      <c r="I25" s="82"/>
      <c r="J25" s="82"/>
    </row>
    <row r="26" spans="1:13">
      <c r="A26" s="10" t="s">
        <v>349</v>
      </c>
      <c r="B26" s="9" t="s">
        <v>1151</v>
      </c>
      <c r="C26" s="9" t="s">
        <v>1152</v>
      </c>
      <c r="D26" s="9" t="s">
        <v>1153</v>
      </c>
      <c r="E26" s="9" t="s">
        <v>2690</v>
      </c>
      <c r="F26" s="9" t="s">
        <v>1154</v>
      </c>
      <c r="G26" s="22" t="s">
        <v>130</v>
      </c>
      <c r="H26" s="22" t="s">
        <v>115</v>
      </c>
      <c r="I26" s="23" t="s">
        <v>1155</v>
      </c>
      <c r="J26" s="10"/>
      <c r="K26" s="29" t="str">
        <f>"280,0"</f>
        <v>280,0</v>
      </c>
      <c r="L26" s="10" t="str">
        <f>"172,9560"</f>
        <v>172,9560</v>
      </c>
      <c r="M26" s="9" t="s">
        <v>1156</v>
      </c>
    </row>
    <row r="27" spans="1:13">
      <c r="A27" s="12" t="s">
        <v>351</v>
      </c>
      <c r="B27" s="11" t="s">
        <v>1157</v>
      </c>
      <c r="C27" s="11" t="s">
        <v>1158</v>
      </c>
      <c r="D27" s="11" t="s">
        <v>1159</v>
      </c>
      <c r="E27" s="11" t="s">
        <v>2690</v>
      </c>
      <c r="F27" s="11" t="s">
        <v>147</v>
      </c>
      <c r="G27" s="24" t="s">
        <v>87</v>
      </c>
      <c r="H27" s="25" t="s">
        <v>130</v>
      </c>
      <c r="I27" s="25" t="s">
        <v>130</v>
      </c>
      <c r="J27" s="12"/>
      <c r="K27" s="31" t="str">
        <f>"250,0"</f>
        <v>250,0</v>
      </c>
      <c r="L27" s="12" t="str">
        <f>"158,9625"</f>
        <v>158,9625</v>
      </c>
      <c r="M27" s="11" t="s">
        <v>1160</v>
      </c>
    </row>
    <row r="28" spans="1:13">
      <c r="A28" s="12" t="s">
        <v>353</v>
      </c>
      <c r="B28" s="11" t="s">
        <v>1161</v>
      </c>
      <c r="C28" s="11" t="s">
        <v>770</v>
      </c>
      <c r="D28" s="11" t="s">
        <v>1162</v>
      </c>
      <c r="E28" s="11" t="s">
        <v>2690</v>
      </c>
      <c r="F28" s="11" t="s">
        <v>1163</v>
      </c>
      <c r="G28" s="24" t="s">
        <v>78</v>
      </c>
      <c r="H28" s="25" t="s">
        <v>100</v>
      </c>
      <c r="I28" s="25" t="s">
        <v>100</v>
      </c>
      <c r="J28" s="12"/>
      <c r="K28" s="31" t="str">
        <f>"230,0"</f>
        <v>230,0</v>
      </c>
      <c r="L28" s="12" t="str">
        <f>"141,0705"</f>
        <v>141,0705</v>
      </c>
      <c r="M28" s="11"/>
    </row>
    <row r="29" spans="1:13">
      <c r="A29" s="12" t="s">
        <v>352</v>
      </c>
      <c r="B29" s="11" t="s">
        <v>1164</v>
      </c>
      <c r="C29" s="11" t="s">
        <v>1165</v>
      </c>
      <c r="D29" s="11" t="s">
        <v>153</v>
      </c>
      <c r="E29" s="11" t="s">
        <v>2690</v>
      </c>
      <c r="F29" s="11" t="s">
        <v>667</v>
      </c>
      <c r="G29" s="25" t="s">
        <v>38</v>
      </c>
      <c r="H29" s="25" t="s">
        <v>38</v>
      </c>
      <c r="I29" s="25" t="s">
        <v>38</v>
      </c>
      <c r="J29" s="12"/>
      <c r="K29" s="31">
        <v>0</v>
      </c>
      <c r="L29" s="12" t="str">
        <f>"0,0000"</f>
        <v>0,0000</v>
      </c>
      <c r="M29" s="11" t="s">
        <v>1166</v>
      </c>
    </row>
    <row r="30" spans="1:13">
      <c r="A30" s="14" t="s">
        <v>349</v>
      </c>
      <c r="B30" s="13" t="s">
        <v>1167</v>
      </c>
      <c r="C30" s="13" t="s">
        <v>1168</v>
      </c>
      <c r="D30" s="13" t="s">
        <v>1169</v>
      </c>
      <c r="E30" s="13" t="s">
        <v>2693</v>
      </c>
      <c r="F30" s="13" t="s">
        <v>1170</v>
      </c>
      <c r="G30" s="26" t="s">
        <v>77</v>
      </c>
      <c r="H30" s="27" t="s">
        <v>100</v>
      </c>
      <c r="I30" s="27" t="s">
        <v>129</v>
      </c>
      <c r="J30" s="14"/>
      <c r="K30" s="30" t="str">
        <f>"220,0"</f>
        <v>220,0</v>
      </c>
      <c r="L30" s="14" t="str">
        <f>"134,8600"</f>
        <v>134,8600</v>
      </c>
      <c r="M30" s="13"/>
    </row>
    <row r="31" spans="1:13">
      <c r="B31" s="5" t="s">
        <v>350</v>
      </c>
    </row>
    <row r="32" spans="1:13" ht="16">
      <c r="A32" s="82" t="s">
        <v>183</v>
      </c>
      <c r="B32" s="82"/>
      <c r="C32" s="82"/>
      <c r="D32" s="82"/>
      <c r="E32" s="82"/>
      <c r="F32" s="82"/>
      <c r="G32" s="82"/>
      <c r="H32" s="82"/>
      <c r="I32" s="82"/>
      <c r="J32" s="82"/>
    </row>
    <row r="33" spans="1:13">
      <c r="A33" s="10" t="s">
        <v>352</v>
      </c>
      <c r="B33" s="9" t="s">
        <v>1171</v>
      </c>
      <c r="C33" s="9" t="s">
        <v>1172</v>
      </c>
      <c r="D33" s="9" t="s">
        <v>1173</v>
      </c>
      <c r="E33" s="9" t="s">
        <v>2690</v>
      </c>
      <c r="F33" s="9" t="s">
        <v>1174</v>
      </c>
      <c r="G33" s="23" t="s">
        <v>193</v>
      </c>
      <c r="H33" s="23" t="s">
        <v>193</v>
      </c>
      <c r="I33" s="23" t="s">
        <v>193</v>
      </c>
      <c r="J33" s="10"/>
      <c r="K33" s="29">
        <v>0</v>
      </c>
      <c r="L33" s="10" t="str">
        <f>"0,0000"</f>
        <v>0,0000</v>
      </c>
      <c r="M33" s="9" t="s">
        <v>1175</v>
      </c>
    </row>
    <row r="34" spans="1:13">
      <c r="A34" s="12" t="s">
        <v>349</v>
      </c>
      <c r="B34" s="11" t="s">
        <v>1176</v>
      </c>
      <c r="C34" s="11" t="s">
        <v>1177</v>
      </c>
      <c r="D34" s="11" t="s">
        <v>1178</v>
      </c>
      <c r="E34" s="11" t="s">
        <v>2695</v>
      </c>
      <c r="F34" s="11" t="s">
        <v>419</v>
      </c>
      <c r="G34" s="24" t="s">
        <v>38</v>
      </c>
      <c r="H34" s="25" t="s">
        <v>77</v>
      </c>
      <c r="I34" s="25" t="s">
        <v>77</v>
      </c>
      <c r="J34" s="12"/>
      <c r="K34" s="31" t="str">
        <f>"200,0"</f>
        <v>200,0</v>
      </c>
      <c r="L34" s="12" t="str">
        <f>"133,7517"</f>
        <v>133,7517</v>
      </c>
      <c r="M34" s="11" t="s">
        <v>1179</v>
      </c>
    </row>
    <row r="35" spans="1:13">
      <c r="A35" s="14" t="s">
        <v>349</v>
      </c>
      <c r="B35" s="13" t="s">
        <v>1180</v>
      </c>
      <c r="C35" s="13" t="s">
        <v>1181</v>
      </c>
      <c r="D35" s="13" t="s">
        <v>225</v>
      </c>
      <c r="E35" s="13" t="s">
        <v>2694</v>
      </c>
      <c r="F35" s="13" t="s">
        <v>1182</v>
      </c>
      <c r="G35" s="26" t="s">
        <v>31</v>
      </c>
      <c r="H35" s="26" t="s">
        <v>611</v>
      </c>
      <c r="I35" s="26" t="s">
        <v>78</v>
      </c>
      <c r="J35" s="14"/>
      <c r="K35" s="30" t="str">
        <f>"230,0"</f>
        <v>230,0</v>
      </c>
      <c r="L35" s="14" t="str">
        <f>"183,9053"</f>
        <v>183,9053</v>
      </c>
      <c r="M35" s="13" t="s">
        <v>1183</v>
      </c>
    </row>
    <row r="36" spans="1:13">
      <c r="B36" s="5" t="s">
        <v>350</v>
      </c>
    </row>
    <row r="37" spans="1:13" ht="16">
      <c r="A37" s="82" t="s">
        <v>244</v>
      </c>
      <c r="B37" s="82"/>
      <c r="C37" s="82"/>
      <c r="D37" s="82"/>
      <c r="E37" s="82"/>
      <c r="F37" s="82"/>
      <c r="G37" s="82"/>
      <c r="H37" s="82"/>
      <c r="I37" s="82"/>
      <c r="J37" s="82"/>
    </row>
    <row r="38" spans="1:13">
      <c r="A38" s="10" t="s">
        <v>349</v>
      </c>
      <c r="B38" s="9" t="s">
        <v>1184</v>
      </c>
      <c r="C38" s="9" t="s">
        <v>1185</v>
      </c>
      <c r="D38" s="9" t="s">
        <v>1186</v>
      </c>
      <c r="E38" s="9" t="s">
        <v>2690</v>
      </c>
      <c r="F38" s="9" t="s">
        <v>1187</v>
      </c>
      <c r="G38" s="22" t="s">
        <v>193</v>
      </c>
      <c r="H38" s="22" t="s">
        <v>211</v>
      </c>
      <c r="I38" s="23" t="s">
        <v>308</v>
      </c>
      <c r="J38" s="10"/>
      <c r="K38" s="29" t="str">
        <f>"310,0"</f>
        <v>310,0</v>
      </c>
      <c r="L38" s="10" t="str">
        <f>"178,3895"</f>
        <v>178,3895</v>
      </c>
      <c r="M38" s="9" t="s">
        <v>1188</v>
      </c>
    </row>
    <row r="39" spans="1:13">
      <c r="A39" s="12" t="s">
        <v>351</v>
      </c>
      <c r="B39" s="11" t="s">
        <v>1189</v>
      </c>
      <c r="C39" s="11" t="s">
        <v>1190</v>
      </c>
      <c r="D39" s="11" t="s">
        <v>692</v>
      </c>
      <c r="E39" s="11" t="s">
        <v>2690</v>
      </c>
      <c r="F39" s="11" t="s">
        <v>984</v>
      </c>
      <c r="G39" s="24" t="s">
        <v>126</v>
      </c>
      <c r="H39" s="25" t="s">
        <v>115</v>
      </c>
      <c r="I39" s="24" t="s">
        <v>165</v>
      </c>
      <c r="J39" s="12"/>
      <c r="K39" s="31" t="str">
        <f>"282,5"</f>
        <v>282,5</v>
      </c>
      <c r="L39" s="12" t="str">
        <f>"159,2735"</f>
        <v>159,2735</v>
      </c>
      <c r="M39" s="11"/>
    </row>
    <row r="40" spans="1:13">
      <c r="A40" s="12" t="s">
        <v>353</v>
      </c>
      <c r="B40" s="11" t="s">
        <v>1191</v>
      </c>
      <c r="C40" s="11" t="s">
        <v>1192</v>
      </c>
      <c r="D40" s="11" t="s">
        <v>1193</v>
      </c>
      <c r="E40" s="11" t="s">
        <v>2690</v>
      </c>
      <c r="F40" s="11" t="s">
        <v>931</v>
      </c>
      <c r="G40" s="24" t="s">
        <v>968</v>
      </c>
      <c r="H40" s="24" t="s">
        <v>114</v>
      </c>
      <c r="I40" s="25" t="s">
        <v>119</v>
      </c>
      <c r="J40" s="12"/>
      <c r="K40" s="31" t="str">
        <f>"272,5"</f>
        <v>272,5</v>
      </c>
      <c r="L40" s="12" t="str">
        <f>"154,8072"</f>
        <v>154,8072</v>
      </c>
      <c r="M40" s="11" t="s">
        <v>1194</v>
      </c>
    </row>
    <row r="41" spans="1:13">
      <c r="A41" s="12" t="s">
        <v>354</v>
      </c>
      <c r="B41" s="11" t="s">
        <v>1195</v>
      </c>
      <c r="C41" s="11" t="s">
        <v>1196</v>
      </c>
      <c r="D41" s="11" t="s">
        <v>1197</v>
      </c>
      <c r="E41" s="11" t="s">
        <v>2690</v>
      </c>
      <c r="F41" s="11" t="s">
        <v>104</v>
      </c>
      <c r="G41" s="24" t="s">
        <v>78</v>
      </c>
      <c r="H41" s="24" t="s">
        <v>100</v>
      </c>
      <c r="I41" s="25" t="s">
        <v>86</v>
      </c>
      <c r="J41" s="12"/>
      <c r="K41" s="31" t="str">
        <f>"240,0"</f>
        <v>240,0</v>
      </c>
      <c r="L41" s="12" t="str">
        <f>"136,1040"</f>
        <v>136,1040</v>
      </c>
      <c r="M41" s="11" t="s">
        <v>1198</v>
      </c>
    </row>
    <row r="42" spans="1:13">
      <c r="A42" s="12" t="s">
        <v>349</v>
      </c>
      <c r="B42" s="11" t="s">
        <v>1189</v>
      </c>
      <c r="C42" s="11" t="s">
        <v>1199</v>
      </c>
      <c r="D42" s="11" t="s">
        <v>692</v>
      </c>
      <c r="E42" s="11" t="s">
        <v>2693</v>
      </c>
      <c r="F42" s="11" t="s">
        <v>984</v>
      </c>
      <c r="G42" s="24" t="s">
        <v>126</v>
      </c>
      <c r="H42" s="25" t="s">
        <v>115</v>
      </c>
      <c r="I42" s="24" t="s">
        <v>165</v>
      </c>
      <c r="J42" s="12"/>
      <c r="K42" s="31" t="str">
        <f>"282,5"</f>
        <v>282,5</v>
      </c>
      <c r="L42" s="12" t="str">
        <f>"168,0335"</f>
        <v>168,0335</v>
      </c>
      <c r="M42" s="11"/>
    </row>
    <row r="43" spans="1:13">
      <c r="A43" s="12" t="s">
        <v>351</v>
      </c>
      <c r="B43" s="11" t="s">
        <v>1200</v>
      </c>
      <c r="C43" s="11" t="s">
        <v>1201</v>
      </c>
      <c r="D43" s="11" t="s">
        <v>1202</v>
      </c>
      <c r="E43" s="11" t="s">
        <v>2693</v>
      </c>
      <c r="F43" s="11" t="s">
        <v>1203</v>
      </c>
      <c r="G43" s="24" t="s">
        <v>94</v>
      </c>
      <c r="H43" s="24" t="s">
        <v>126</v>
      </c>
      <c r="I43" s="25" t="s">
        <v>119</v>
      </c>
      <c r="J43" s="12"/>
      <c r="K43" s="31" t="str">
        <f>"270,0"</f>
        <v>270,0</v>
      </c>
      <c r="L43" s="12" t="str">
        <f>"161,3533"</f>
        <v>161,3533</v>
      </c>
      <c r="M43" s="11"/>
    </row>
    <row r="44" spans="1:13">
      <c r="A44" s="12" t="s">
        <v>353</v>
      </c>
      <c r="B44" s="11" t="s">
        <v>1195</v>
      </c>
      <c r="C44" s="11" t="s">
        <v>1204</v>
      </c>
      <c r="D44" s="11" t="s">
        <v>1197</v>
      </c>
      <c r="E44" s="11" t="s">
        <v>2693</v>
      </c>
      <c r="F44" s="11" t="s">
        <v>104</v>
      </c>
      <c r="G44" s="24" t="s">
        <v>78</v>
      </c>
      <c r="H44" s="24" t="s">
        <v>100</v>
      </c>
      <c r="I44" s="25" t="s">
        <v>86</v>
      </c>
      <c r="J44" s="12"/>
      <c r="K44" s="31" t="str">
        <f>"240,0"</f>
        <v>240,0</v>
      </c>
      <c r="L44" s="12" t="str">
        <f>"145,3591"</f>
        <v>145,3591</v>
      </c>
      <c r="M44" s="11" t="s">
        <v>1198</v>
      </c>
    </row>
    <row r="45" spans="1:13">
      <c r="A45" s="14" t="s">
        <v>349</v>
      </c>
      <c r="B45" s="13" t="s">
        <v>1205</v>
      </c>
      <c r="C45" s="13" t="s">
        <v>1206</v>
      </c>
      <c r="D45" s="13" t="s">
        <v>1207</v>
      </c>
      <c r="E45" s="13" t="s">
        <v>2695</v>
      </c>
      <c r="F45" s="13" t="s">
        <v>2623</v>
      </c>
      <c r="G45" s="26" t="s">
        <v>60</v>
      </c>
      <c r="H45" s="26" t="s">
        <v>37</v>
      </c>
      <c r="I45" s="27" t="s">
        <v>32</v>
      </c>
      <c r="J45" s="14"/>
      <c r="K45" s="30" t="str">
        <f>"190,0"</f>
        <v>190,0</v>
      </c>
      <c r="L45" s="14" t="str">
        <f>"138,4785"</f>
        <v>138,4785</v>
      </c>
      <c r="M45" s="13"/>
    </row>
    <row r="46" spans="1:13">
      <c r="B46" s="5" t="s">
        <v>350</v>
      </c>
    </row>
    <row r="47" spans="1:13" ht="16">
      <c r="A47" s="82" t="s">
        <v>276</v>
      </c>
      <c r="B47" s="82"/>
      <c r="C47" s="82"/>
      <c r="D47" s="82"/>
      <c r="E47" s="82"/>
      <c r="F47" s="82"/>
      <c r="G47" s="82"/>
      <c r="H47" s="82"/>
      <c r="I47" s="82"/>
      <c r="J47" s="82"/>
    </row>
    <row r="48" spans="1:13">
      <c r="A48" s="10" t="s">
        <v>349</v>
      </c>
      <c r="B48" s="9" t="s">
        <v>1208</v>
      </c>
      <c r="C48" s="9" t="s">
        <v>1209</v>
      </c>
      <c r="D48" s="9" t="s">
        <v>1210</v>
      </c>
      <c r="E48" s="9" t="s">
        <v>2690</v>
      </c>
      <c r="F48" s="9" t="s">
        <v>1130</v>
      </c>
      <c r="G48" s="22" t="s">
        <v>196</v>
      </c>
      <c r="H48" s="22" t="s">
        <v>197</v>
      </c>
      <c r="I48" s="22" t="s">
        <v>253</v>
      </c>
      <c r="J48" s="10"/>
      <c r="K48" s="29" t="str">
        <f>"350,0"</f>
        <v>350,0</v>
      </c>
      <c r="L48" s="10" t="str">
        <f>"192,1675"</f>
        <v>192,1675</v>
      </c>
      <c r="M48" s="9"/>
    </row>
    <row r="49" spans="1:13">
      <c r="A49" s="12" t="s">
        <v>351</v>
      </c>
      <c r="B49" s="11" t="s">
        <v>1211</v>
      </c>
      <c r="C49" s="11" t="s">
        <v>1212</v>
      </c>
      <c r="D49" s="11" t="s">
        <v>1213</v>
      </c>
      <c r="E49" s="11" t="s">
        <v>2690</v>
      </c>
      <c r="F49" s="11" t="s">
        <v>1203</v>
      </c>
      <c r="G49" s="24" t="s">
        <v>193</v>
      </c>
      <c r="H49" s="25" t="s">
        <v>211</v>
      </c>
      <c r="I49" s="25" t="s">
        <v>211</v>
      </c>
      <c r="J49" s="12"/>
      <c r="K49" s="31" t="str">
        <f>"300,0"</f>
        <v>300,0</v>
      </c>
      <c r="L49" s="12" t="str">
        <f>"165,2850"</f>
        <v>165,2850</v>
      </c>
      <c r="M49" s="11"/>
    </row>
    <row r="50" spans="1:13">
      <c r="A50" s="12" t="s">
        <v>349</v>
      </c>
      <c r="B50" s="11" t="s">
        <v>1208</v>
      </c>
      <c r="C50" s="11" t="s">
        <v>1214</v>
      </c>
      <c r="D50" s="11" t="s">
        <v>1210</v>
      </c>
      <c r="E50" s="11" t="s">
        <v>2693</v>
      </c>
      <c r="F50" s="11" t="s">
        <v>1130</v>
      </c>
      <c r="G50" s="24" t="s">
        <v>196</v>
      </c>
      <c r="H50" s="24" t="s">
        <v>197</v>
      </c>
      <c r="I50" s="24" t="s">
        <v>253</v>
      </c>
      <c r="J50" s="12"/>
      <c r="K50" s="31" t="str">
        <f>"350,0"</f>
        <v>350,0</v>
      </c>
      <c r="L50" s="12" t="str">
        <f>"194,0892"</f>
        <v>194,0892</v>
      </c>
      <c r="M50" s="11"/>
    </row>
    <row r="51" spans="1:13">
      <c r="A51" s="14" t="s">
        <v>351</v>
      </c>
      <c r="B51" s="13" t="s">
        <v>1215</v>
      </c>
      <c r="C51" s="13" t="s">
        <v>1216</v>
      </c>
      <c r="D51" s="13" t="s">
        <v>1217</v>
      </c>
      <c r="E51" s="13" t="s">
        <v>2693</v>
      </c>
      <c r="F51" s="13" t="s">
        <v>104</v>
      </c>
      <c r="G51" s="26" t="s">
        <v>100</v>
      </c>
      <c r="H51" s="26" t="s">
        <v>87</v>
      </c>
      <c r="I51" s="27" t="s">
        <v>94</v>
      </c>
      <c r="J51" s="14"/>
      <c r="K51" s="30" t="str">
        <f>"250,0"</f>
        <v>250,0</v>
      </c>
      <c r="L51" s="14" t="str">
        <f>"139,4305"</f>
        <v>139,4305</v>
      </c>
      <c r="M51" s="13" t="s">
        <v>1198</v>
      </c>
    </row>
    <row r="52" spans="1:13">
      <c r="B52" s="5" t="s">
        <v>350</v>
      </c>
    </row>
    <row r="53" spans="1:13" ht="16">
      <c r="A53" s="82" t="s">
        <v>299</v>
      </c>
      <c r="B53" s="82"/>
      <c r="C53" s="82"/>
      <c r="D53" s="82"/>
      <c r="E53" s="82"/>
      <c r="F53" s="82"/>
      <c r="G53" s="82"/>
      <c r="H53" s="82"/>
      <c r="I53" s="82"/>
      <c r="J53" s="82"/>
    </row>
    <row r="54" spans="1:13">
      <c r="A54" s="10" t="s">
        <v>349</v>
      </c>
      <c r="B54" s="9" t="s">
        <v>1218</v>
      </c>
      <c r="C54" s="9" t="s">
        <v>1219</v>
      </c>
      <c r="D54" s="9" t="s">
        <v>1220</v>
      </c>
      <c r="E54" s="9" t="s">
        <v>2690</v>
      </c>
      <c r="F54" s="9" t="s">
        <v>1054</v>
      </c>
      <c r="G54" s="22" t="s">
        <v>209</v>
      </c>
      <c r="H54" s="22" t="s">
        <v>211</v>
      </c>
      <c r="I54" s="22" t="s">
        <v>172</v>
      </c>
      <c r="J54" s="10"/>
      <c r="K54" s="29" t="str">
        <f>"320,0"</f>
        <v>320,0</v>
      </c>
      <c r="L54" s="10" t="str">
        <f>"170,1952"</f>
        <v>170,1952</v>
      </c>
      <c r="M54" s="9"/>
    </row>
    <row r="55" spans="1:13">
      <c r="A55" s="12" t="s">
        <v>349</v>
      </c>
      <c r="B55" s="11" t="s">
        <v>1218</v>
      </c>
      <c r="C55" s="11" t="s">
        <v>1221</v>
      </c>
      <c r="D55" s="11" t="s">
        <v>1220</v>
      </c>
      <c r="E55" s="11" t="s">
        <v>2695</v>
      </c>
      <c r="F55" s="11" t="s">
        <v>1054</v>
      </c>
      <c r="G55" s="24" t="s">
        <v>209</v>
      </c>
      <c r="H55" s="24" t="s">
        <v>211</v>
      </c>
      <c r="I55" s="24" t="s">
        <v>172</v>
      </c>
      <c r="J55" s="12"/>
      <c r="K55" s="31" t="str">
        <f>"320,0"</f>
        <v>320,0</v>
      </c>
      <c r="L55" s="12" t="str">
        <f>"219,7220"</f>
        <v>219,7220</v>
      </c>
      <c r="M55" s="11"/>
    </row>
    <row r="56" spans="1:13">
      <c r="A56" s="14" t="s">
        <v>351</v>
      </c>
      <c r="B56" s="13" t="s">
        <v>1222</v>
      </c>
      <c r="C56" s="13" t="s">
        <v>1223</v>
      </c>
      <c r="D56" s="13" t="s">
        <v>1224</v>
      </c>
      <c r="E56" s="13" t="s">
        <v>2695</v>
      </c>
      <c r="F56" s="13" t="s">
        <v>221</v>
      </c>
      <c r="G56" s="27" t="s">
        <v>115</v>
      </c>
      <c r="H56" s="26" t="s">
        <v>115</v>
      </c>
      <c r="I56" s="26" t="s">
        <v>209</v>
      </c>
      <c r="J56" s="14"/>
      <c r="K56" s="30" t="str">
        <f>"290,0"</f>
        <v>290,0</v>
      </c>
      <c r="L56" s="14" t="str">
        <f>"180,1524"</f>
        <v>180,1524</v>
      </c>
      <c r="M56" s="13"/>
    </row>
    <row r="57" spans="1:13">
      <c r="B57" s="5" t="s">
        <v>350</v>
      </c>
    </row>
    <row r="58" spans="1:13">
      <c r="B58" s="5" t="s">
        <v>350</v>
      </c>
    </row>
    <row r="59" spans="1:13">
      <c r="B59" s="5" t="s">
        <v>350</v>
      </c>
    </row>
    <row r="60" spans="1:13" ht="18">
      <c r="B60" s="15" t="s">
        <v>316</v>
      </c>
      <c r="C60" s="15"/>
      <c r="F60" s="3"/>
    </row>
    <row r="61" spans="1:13" ht="16">
      <c r="B61" s="16" t="s">
        <v>336</v>
      </c>
      <c r="C61" s="16"/>
      <c r="F61" s="3"/>
    </row>
    <row r="62" spans="1:13" ht="14">
      <c r="B62" s="17"/>
      <c r="C62" s="18" t="s">
        <v>318</v>
      </c>
      <c r="F62" s="3"/>
    </row>
    <row r="63" spans="1:13" ht="14">
      <c r="B63" s="19" t="s">
        <v>319</v>
      </c>
      <c r="C63" s="19" t="s">
        <v>320</v>
      </c>
      <c r="D63" s="19" t="s">
        <v>2593</v>
      </c>
      <c r="E63" s="19" t="s">
        <v>1225</v>
      </c>
      <c r="F63" s="19" t="s">
        <v>1226</v>
      </c>
    </row>
    <row r="64" spans="1:13">
      <c r="B64" s="5" t="s">
        <v>1208</v>
      </c>
      <c r="C64" s="5" t="s">
        <v>318</v>
      </c>
      <c r="D64" s="6" t="s">
        <v>348</v>
      </c>
      <c r="E64" s="6" t="s">
        <v>253</v>
      </c>
      <c r="F64" s="6" t="s">
        <v>1227</v>
      </c>
    </row>
    <row r="65" spans="2:6">
      <c r="B65" s="5" t="s">
        <v>1184</v>
      </c>
      <c r="C65" s="5" t="s">
        <v>318</v>
      </c>
      <c r="D65" s="6" t="s">
        <v>340</v>
      </c>
      <c r="E65" s="6" t="s">
        <v>211</v>
      </c>
      <c r="F65" s="6" t="s">
        <v>1228</v>
      </c>
    </row>
    <row r="66" spans="2:6">
      <c r="B66" s="5" t="s">
        <v>1136</v>
      </c>
      <c r="C66" s="5" t="s">
        <v>318</v>
      </c>
      <c r="D66" s="6" t="s">
        <v>327</v>
      </c>
      <c r="E66" s="6" t="s">
        <v>130</v>
      </c>
      <c r="F66" s="6" t="s">
        <v>1229</v>
      </c>
    </row>
    <row r="68" spans="2:6" ht="14">
      <c r="B68" s="17"/>
      <c r="C68" s="18" t="s">
        <v>333</v>
      </c>
    </row>
    <row r="69" spans="2:6" ht="14">
      <c r="B69" s="19" t="s">
        <v>319</v>
      </c>
      <c r="C69" s="19" t="s">
        <v>320</v>
      </c>
      <c r="D69" s="19" t="s">
        <v>2593</v>
      </c>
      <c r="E69" s="19" t="s">
        <v>1225</v>
      </c>
      <c r="F69" s="19" t="s">
        <v>1226</v>
      </c>
    </row>
    <row r="70" spans="2:6">
      <c r="B70" s="5" t="s">
        <v>1218</v>
      </c>
      <c r="C70" s="5" t="s">
        <v>334</v>
      </c>
      <c r="D70" s="6" t="s">
        <v>759</v>
      </c>
      <c r="E70" s="6" t="s">
        <v>172</v>
      </c>
      <c r="F70" s="6" t="s">
        <v>1230</v>
      </c>
    </row>
    <row r="71" spans="2:6">
      <c r="B71" s="5" t="s">
        <v>1208</v>
      </c>
      <c r="C71" s="5" t="s">
        <v>335</v>
      </c>
      <c r="D71" s="6" t="s">
        <v>348</v>
      </c>
      <c r="E71" s="6" t="s">
        <v>253</v>
      </c>
      <c r="F71" s="6" t="s">
        <v>1231</v>
      </c>
    </row>
    <row r="72" spans="2:6">
      <c r="B72" s="5" t="s">
        <v>1180</v>
      </c>
      <c r="C72" s="5" t="s">
        <v>760</v>
      </c>
      <c r="D72" s="6" t="s">
        <v>343</v>
      </c>
      <c r="E72" s="6" t="s">
        <v>78</v>
      </c>
      <c r="F72" s="6" t="s">
        <v>1232</v>
      </c>
    </row>
    <row r="73" spans="2:6">
      <c r="B73" s="5" t="s">
        <v>350</v>
      </c>
    </row>
  </sheetData>
  <mergeCells count="21">
    <mergeCell ref="A37:J37"/>
    <mergeCell ref="A47:J47"/>
    <mergeCell ref="A53:J53"/>
    <mergeCell ref="B3:B4"/>
    <mergeCell ref="A8:J8"/>
    <mergeCell ref="A12:J12"/>
    <mergeCell ref="A15:J15"/>
    <mergeCell ref="A18:J18"/>
    <mergeCell ref="A25:J25"/>
    <mergeCell ref="A32:J3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24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7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71" t="s">
        <v>2645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65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68"/>
    </row>
    <row r="5" spans="1:13" ht="16">
      <c r="A5" s="69" t="s">
        <v>55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1691</v>
      </c>
      <c r="C6" s="7" t="s">
        <v>1692</v>
      </c>
      <c r="D6" s="7" t="s">
        <v>1693</v>
      </c>
      <c r="E6" s="7" t="s">
        <v>2690</v>
      </c>
      <c r="F6" s="7" t="s">
        <v>221</v>
      </c>
      <c r="G6" s="21" t="s">
        <v>38</v>
      </c>
      <c r="H6" s="20" t="s">
        <v>38</v>
      </c>
      <c r="I6" s="20" t="s">
        <v>39</v>
      </c>
      <c r="J6" s="8"/>
      <c r="K6" s="8" t="str">
        <f>"210,0"</f>
        <v>210,0</v>
      </c>
      <c r="L6" s="8" t="str">
        <f>"146,7900"</f>
        <v>146,7900</v>
      </c>
      <c r="M6" s="7" t="s">
        <v>1694</v>
      </c>
    </row>
    <row r="7" spans="1:13">
      <c r="B7" s="5" t="s">
        <v>350</v>
      </c>
    </row>
    <row r="8" spans="1:13" ht="16">
      <c r="A8" s="82" t="s">
        <v>72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8" t="s">
        <v>349</v>
      </c>
      <c r="B9" s="7" t="s">
        <v>2104</v>
      </c>
      <c r="C9" s="7" t="s">
        <v>1709</v>
      </c>
      <c r="D9" s="7" t="s">
        <v>581</v>
      </c>
      <c r="E9" s="7" t="s">
        <v>2690</v>
      </c>
      <c r="F9" s="7" t="s">
        <v>1343</v>
      </c>
      <c r="G9" s="20" t="s">
        <v>2105</v>
      </c>
      <c r="H9" s="20" t="s">
        <v>94</v>
      </c>
      <c r="I9" s="20" t="s">
        <v>130</v>
      </c>
      <c r="J9" s="20" t="s">
        <v>126</v>
      </c>
      <c r="K9" s="8" t="str">
        <f>"265,0"</f>
        <v>265,0</v>
      </c>
      <c r="L9" s="8" t="str">
        <f>"171,0840"</f>
        <v>171,0840</v>
      </c>
      <c r="M9" s="7"/>
    </row>
    <row r="10" spans="1:13">
      <c r="B10" s="5" t="s">
        <v>350</v>
      </c>
    </row>
    <row r="11" spans="1:13" ht="16">
      <c r="A11" s="82" t="s">
        <v>183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3">
      <c r="A12" s="8" t="s">
        <v>349</v>
      </c>
      <c r="B12" s="7" t="s">
        <v>2106</v>
      </c>
      <c r="C12" s="7" t="s">
        <v>2107</v>
      </c>
      <c r="D12" s="7" t="s">
        <v>242</v>
      </c>
      <c r="E12" s="7" t="s">
        <v>2695</v>
      </c>
      <c r="F12" s="7" t="s">
        <v>221</v>
      </c>
      <c r="G12" s="20" t="s">
        <v>59</v>
      </c>
      <c r="H12" s="20" t="s">
        <v>60</v>
      </c>
      <c r="I12" s="20" t="s">
        <v>38</v>
      </c>
      <c r="J12" s="8"/>
      <c r="K12" s="8" t="str">
        <f>"200,0"</f>
        <v>200,0</v>
      </c>
      <c r="L12" s="8" t="str">
        <f>"143,5333"</f>
        <v>143,5333</v>
      </c>
      <c r="M12" s="7" t="s">
        <v>2108</v>
      </c>
    </row>
    <row r="13" spans="1:13">
      <c r="B13" s="5" t="s">
        <v>350</v>
      </c>
    </row>
    <row r="14" spans="1:13" ht="16">
      <c r="A14" s="82" t="s">
        <v>244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3">
      <c r="A15" s="10" t="s">
        <v>349</v>
      </c>
      <c r="B15" s="9" t="s">
        <v>2076</v>
      </c>
      <c r="C15" s="9" t="s">
        <v>2077</v>
      </c>
      <c r="D15" s="9" t="s">
        <v>2078</v>
      </c>
      <c r="E15" s="9" t="s">
        <v>2690</v>
      </c>
      <c r="F15" s="9" t="s">
        <v>667</v>
      </c>
      <c r="G15" s="23" t="s">
        <v>2079</v>
      </c>
      <c r="H15" s="22" t="s">
        <v>2079</v>
      </c>
      <c r="I15" s="23" t="s">
        <v>2080</v>
      </c>
      <c r="J15" s="10"/>
      <c r="K15" s="10" t="str">
        <f>"375,0"</f>
        <v>375,0</v>
      </c>
      <c r="L15" s="10" t="str">
        <f>"212,9813"</f>
        <v>212,9813</v>
      </c>
      <c r="M15" s="9"/>
    </row>
    <row r="16" spans="1:13">
      <c r="A16" s="12" t="s">
        <v>351</v>
      </c>
      <c r="B16" s="11" t="s">
        <v>2109</v>
      </c>
      <c r="C16" s="11" t="s">
        <v>2110</v>
      </c>
      <c r="D16" s="11" t="s">
        <v>1467</v>
      </c>
      <c r="E16" s="11" t="s">
        <v>2690</v>
      </c>
      <c r="F16" s="11" t="s">
        <v>667</v>
      </c>
      <c r="G16" s="25" t="s">
        <v>172</v>
      </c>
      <c r="H16" s="24" t="s">
        <v>172</v>
      </c>
      <c r="I16" s="25" t="s">
        <v>2111</v>
      </c>
      <c r="J16" s="12"/>
      <c r="K16" s="12" t="str">
        <f>"320,0"</f>
        <v>320,0</v>
      </c>
      <c r="L16" s="12" t="str">
        <f>"181,2160"</f>
        <v>181,2160</v>
      </c>
      <c r="M16" s="11" t="s">
        <v>2112</v>
      </c>
    </row>
    <row r="17" spans="1:13">
      <c r="A17" s="12" t="s">
        <v>353</v>
      </c>
      <c r="B17" s="11" t="s">
        <v>2113</v>
      </c>
      <c r="C17" s="11" t="s">
        <v>2114</v>
      </c>
      <c r="D17" s="11" t="s">
        <v>2115</v>
      </c>
      <c r="E17" s="11" t="s">
        <v>2690</v>
      </c>
      <c r="F17" s="11" t="s">
        <v>2116</v>
      </c>
      <c r="G17" s="24" t="s">
        <v>100</v>
      </c>
      <c r="H17" s="25" t="s">
        <v>87</v>
      </c>
      <c r="I17" s="24" t="s">
        <v>87</v>
      </c>
      <c r="J17" s="12"/>
      <c r="K17" s="12" t="str">
        <f>"250,0"</f>
        <v>250,0</v>
      </c>
      <c r="L17" s="12" t="str">
        <f>"141,4500"</f>
        <v>141,4500</v>
      </c>
      <c r="M17" s="11"/>
    </row>
    <row r="18" spans="1:13">
      <c r="A18" s="12" t="s">
        <v>349</v>
      </c>
      <c r="B18" s="11" t="s">
        <v>2076</v>
      </c>
      <c r="C18" s="11" t="s">
        <v>2117</v>
      </c>
      <c r="D18" s="11" t="s">
        <v>2078</v>
      </c>
      <c r="E18" s="11" t="s">
        <v>2693</v>
      </c>
      <c r="F18" s="11" t="s">
        <v>667</v>
      </c>
      <c r="G18" s="25" t="s">
        <v>2079</v>
      </c>
      <c r="H18" s="24" t="s">
        <v>2079</v>
      </c>
      <c r="I18" s="25" t="s">
        <v>2080</v>
      </c>
      <c r="J18" s="12"/>
      <c r="K18" s="12" t="str">
        <f>"375,0"</f>
        <v>375,0</v>
      </c>
      <c r="L18" s="12" t="str">
        <f>"227,4640"</f>
        <v>227,4640</v>
      </c>
      <c r="M18" s="11"/>
    </row>
    <row r="19" spans="1:13">
      <c r="A19" s="14" t="s">
        <v>352</v>
      </c>
      <c r="B19" s="13" t="s">
        <v>2118</v>
      </c>
      <c r="C19" s="13" t="s">
        <v>2119</v>
      </c>
      <c r="D19" s="13" t="s">
        <v>2115</v>
      </c>
      <c r="E19" s="13" t="s">
        <v>2693</v>
      </c>
      <c r="F19" s="13" t="s">
        <v>1343</v>
      </c>
      <c r="G19" s="27" t="s">
        <v>87</v>
      </c>
      <c r="H19" s="27" t="s">
        <v>87</v>
      </c>
      <c r="I19" s="27" t="s">
        <v>87</v>
      </c>
      <c r="J19" s="14"/>
      <c r="K19" s="14" t="str">
        <f>"0.00"</f>
        <v>0.00</v>
      </c>
      <c r="L19" s="14" t="str">
        <f>"0,0000"</f>
        <v>0,0000</v>
      </c>
      <c r="M19" s="13" t="s">
        <v>2120</v>
      </c>
    </row>
    <row r="20" spans="1:13">
      <c r="B20" s="5" t="s">
        <v>350</v>
      </c>
    </row>
    <row r="21" spans="1:13" ht="16">
      <c r="A21" s="82" t="s">
        <v>276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3">
      <c r="A22" s="10" t="s">
        <v>349</v>
      </c>
      <c r="B22" s="9" t="s">
        <v>2023</v>
      </c>
      <c r="C22" s="9" t="s">
        <v>2024</v>
      </c>
      <c r="D22" s="9" t="s">
        <v>2025</v>
      </c>
      <c r="E22" s="9" t="s">
        <v>2690</v>
      </c>
      <c r="F22" s="9" t="s">
        <v>2026</v>
      </c>
      <c r="G22" s="22" t="s">
        <v>254</v>
      </c>
      <c r="H22" s="22" t="s">
        <v>2121</v>
      </c>
      <c r="I22" s="23" t="s">
        <v>2122</v>
      </c>
      <c r="J22" s="10"/>
      <c r="K22" s="10" t="str">
        <f>"390,0"</f>
        <v>390,0</v>
      </c>
      <c r="L22" s="10" t="str">
        <f>"212,9400"</f>
        <v>212,9400</v>
      </c>
      <c r="M22" s="9" t="s">
        <v>2028</v>
      </c>
    </row>
    <row r="23" spans="1:13">
      <c r="A23" s="14" t="s">
        <v>349</v>
      </c>
      <c r="B23" s="13" t="s">
        <v>2023</v>
      </c>
      <c r="C23" s="13" t="s">
        <v>2029</v>
      </c>
      <c r="D23" s="13" t="s">
        <v>2025</v>
      </c>
      <c r="E23" s="13" t="s">
        <v>2693</v>
      </c>
      <c r="F23" s="13" t="s">
        <v>2026</v>
      </c>
      <c r="G23" s="26" t="s">
        <v>254</v>
      </c>
      <c r="H23" s="26" t="s">
        <v>2121</v>
      </c>
      <c r="I23" s="27" t="s">
        <v>2122</v>
      </c>
      <c r="J23" s="14"/>
      <c r="K23" s="14" t="str">
        <f>"390,0"</f>
        <v>390,0</v>
      </c>
      <c r="L23" s="14" t="str">
        <f>"237,0022"</f>
        <v>237,0022</v>
      </c>
      <c r="M23" s="13" t="s">
        <v>2028</v>
      </c>
    </row>
    <row r="24" spans="1:13">
      <c r="B24" s="5" t="s">
        <v>350</v>
      </c>
    </row>
  </sheetData>
  <mergeCells count="16">
    <mergeCell ref="A8:J8"/>
    <mergeCell ref="A11:J11"/>
    <mergeCell ref="A14:J14"/>
    <mergeCell ref="A21:J2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45"/>
  <sheetViews>
    <sheetView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71" t="s">
        <v>2646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83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84"/>
      <c r="L4" s="66"/>
      <c r="M4" s="68"/>
    </row>
    <row r="5" spans="1:13" ht="16">
      <c r="A5" s="69" t="s">
        <v>55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2057</v>
      </c>
      <c r="C6" s="7" t="s">
        <v>2058</v>
      </c>
      <c r="D6" s="7" t="s">
        <v>1690</v>
      </c>
      <c r="E6" s="7" t="s">
        <v>2690</v>
      </c>
      <c r="F6" s="7" t="s">
        <v>135</v>
      </c>
      <c r="G6" s="20" t="s">
        <v>60</v>
      </c>
      <c r="H6" s="20" t="s">
        <v>37</v>
      </c>
      <c r="I6" s="21" t="s">
        <v>696</v>
      </c>
      <c r="J6" s="8"/>
      <c r="K6" s="32" t="str">
        <f>"190,0"</f>
        <v>190,0</v>
      </c>
      <c r="L6" s="8" t="str">
        <f>"133,0855"</f>
        <v>133,0855</v>
      </c>
      <c r="M6" s="7" t="s">
        <v>2059</v>
      </c>
    </row>
    <row r="7" spans="1:13">
      <c r="B7" s="5" t="s">
        <v>350</v>
      </c>
    </row>
    <row r="8" spans="1:13" ht="16">
      <c r="A8" s="82" t="s">
        <v>72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10" t="s">
        <v>349</v>
      </c>
      <c r="B9" s="9" t="s">
        <v>2060</v>
      </c>
      <c r="C9" s="9" t="s">
        <v>2061</v>
      </c>
      <c r="D9" s="9" t="s">
        <v>2062</v>
      </c>
      <c r="E9" s="9" t="s">
        <v>2690</v>
      </c>
      <c r="F9" s="9" t="s">
        <v>104</v>
      </c>
      <c r="G9" s="22" t="s">
        <v>119</v>
      </c>
      <c r="H9" s="23" t="s">
        <v>209</v>
      </c>
      <c r="I9" s="23" t="s">
        <v>209</v>
      </c>
      <c r="J9" s="10"/>
      <c r="K9" s="29" t="str">
        <f>"275,0"</f>
        <v>275,0</v>
      </c>
      <c r="L9" s="10" t="str">
        <f>"185,5975"</f>
        <v>185,5975</v>
      </c>
      <c r="M9" s="9"/>
    </row>
    <row r="10" spans="1:13">
      <c r="A10" s="14" t="s">
        <v>352</v>
      </c>
      <c r="B10" s="13" t="s">
        <v>2063</v>
      </c>
      <c r="C10" s="13" t="s">
        <v>2064</v>
      </c>
      <c r="D10" s="13" t="s">
        <v>75</v>
      </c>
      <c r="E10" s="13" t="s">
        <v>2690</v>
      </c>
      <c r="F10" s="13" t="s">
        <v>2065</v>
      </c>
      <c r="G10" s="27" t="s">
        <v>119</v>
      </c>
      <c r="H10" s="27" t="s">
        <v>119</v>
      </c>
      <c r="I10" s="27" t="s">
        <v>119</v>
      </c>
      <c r="J10" s="14"/>
      <c r="K10" s="30">
        <v>0</v>
      </c>
      <c r="L10" s="14" t="str">
        <f>"0,0000"</f>
        <v>0,0000</v>
      </c>
      <c r="M10" s="13" t="s">
        <v>985</v>
      </c>
    </row>
    <row r="11" spans="1:13">
      <c r="B11" s="5" t="s">
        <v>350</v>
      </c>
    </row>
    <row r="12" spans="1:13" ht="16">
      <c r="A12" s="82" t="s">
        <v>143</v>
      </c>
      <c r="B12" s="82"/>
      <c r="C12" s="82"/>
      <c r="D12" s="82"/>
      <c r="E12" s="82"/>
      <c r="F12" s="82"/>
      <c r="G12" s="82"/>
      <c r="H12" s="82"/>
      <c r="I12" s="82"/>
      <c r="J12" s="82"/>
    </row>
    <row r="13" spans="1:13">
      <c r="A13" s="8" t="s">
        <v>349</v>
      </c>
      <c r="B13" s="7" t="s">
        <v>1151</v>
      </c>
      <c r="C13" s="7" t="s">
        <v>1152</v>
      </c>
      <c r="D13" s="7" t="s">
        <v>1153</v>
      </c>
      <c r="E13" s="7" t="s">
        <v>2690</v>
      </c>
      <c r="F13" s="7" t="s">
        <v>1154</v>
      </c>
      <c r="G13" s="21" t="s">
        <v>193</v>
      </c>
      <c r="H13" s="20" t="s">
        <v>193</v>
      </c>
      <c r="I13" s="21" t="s">
        <v>172</v>
      </c>
      <c r="J13" s="8"/>
      <c r="K13" s="32" t="str">
        <f>"300,0"</f>
        <v>300,0</v>
      </c>
      <c r="L13" s="8" t="str">
        <f>"185,3100"</f>
        <v>185,3100</v>
      </c>
      <c r="M13" s="7" t="s">
        <v>1156</v>
      </c>
    </row>
    <row r="14" spans="1:13">
      <c r="B14" s="5" t="s">
        <v>350</v>
      </c>
    </row>
    <row r="15" spans="1:13" ht="16">
      <c r="A15" s="82" t="s">
        <v>183</v>
      </c>
      <c r="B15" s="82"/>
      <c r="C15" s="82"/>
      <c r="D15" s="82"/>
      <c r="E15" s="82"/>
      <c r="F15" s="82"/>
      <c r="G15" s="82"/>
      <c r="H15" s="82"/>
      <c r="I15" s="82"/>
      <c r="J15" s="82"/>
    </row>
    <row r="16" spans="1:13">
      <c r="A16" s="10" t="s">
        <v>349</v>
      </c>
      <c r="B16" s="9" t="s">
        <v>2066</v>
      </c>
      <c r="C16" s="9" t="s">
        <v>2067</v>
      </c>
      <c r="D16" s="9" t="s">
        <v>207</v>
      </c>
      <c r="E16" s="9" t="s">
        <v>2690</v>
      </c>
      <c r="F16" s="9" t="s">
        <v>984</v>
      </c>
      <c r="G16" s="22" t="s">
        <v>197</v>
      </c>
      <c r="H16" s="22" t="s">
        <v>2068</v>
      </c>
      <c r="I16" s="23" t="s">
        <v>2069</v>
      </c>
      <c r="J16" s="10"/>
      <c r="K16" s="29" t="str">
        <f>"355,0"</f>
        <v>355,0</v>
      </c>
      <c r="L16" s="10" t="str">
        <f>"209,1305"</f>
        <v>209,1305</v>
      </c>
      <c r="M16" s="9"/>
    </row>
    <row r="17" spans="1:13">
      <c r="A17" s="12" t="s">
        <v>351</v>
      </c>
      <c r="B17" s="11" t="s">
        <v>2070</v>
      </c>
      <c r="C17" s="11" t="s">
        <v>2071</v>
      </c>
      <c r="D17" s="11" t="s">
        <v>644</v>
      </c>
      <c r="E17" s="11" t="s">
        <v>2690</v>
      </c>
      <c r="F17" s="11" t="s">
        <v>1043</v>
      </c>
      <c r="G17" s="24" t="s">
        <v>172</v>
      </c>
      <c r="H17" s="24" t="s">
        <v>1084</v>
      </c>
      <c r="I17" s="25" t="s">
        <v>253</v>
      </c>
      <c r="J17" s="12"/>
      <c r="K17" s="31" t="str">
        <f>"332,5"</f>
        <v>332,5</v>
      </c>
      <c r="L17" s="12" t="str">
        <f>"193,7810"</f>
        <v>193,7810</v>
      </c>
      <c r="M17" s="11" t="s">
        <v>2072</v>
      </c>
    </row>
    <row r="18" spans="1:13">
      <c r="A18" s="12" t="s">
        <v>352</v>
      </c>
      <c r="B18" s="11" t="s">
        <v>1171</v>
      </c>
      <c r="C18" s="11" t="s">
        <v>1172</v>
      </c>
      <c r="D18" s="11" t="s">
        <v>1173</v>
      </c>
      <c r="E18" s="11" t="s">
        <v>2690</v>
      </c>
      <c r="F18" s="11" t="s">
        <v>1174</v>
      </c>
      <c r="G18" s="25" t="s">
        <v>253</v>
      </c>
      <c r="H18" s="25" t="s">
        <v>253</v>
      </c>
      <c r="I18" s="25" t="s">
        <v>253</v>
      </c>
      <c r="J18" s="12"/>
      <c r="K18" s="31">
        <v>0</v>
      </c>
      <c r="L18" s="12" t="str">
        <f>"0,0000"</f>
        <v>0,0000</v>
      </c>
      <c r="M18" s="11" t="s">
        <v>1175</v>
      </c>
    </row>
    <row r="19" spans="1:13">
      <c r="A19" s="14" t="s">
        <v>352</v>
      </c>
      <c r="B19" s="13" t="s">
        <v>2073</v>
      </c>
      <c r="C19" s="13" t="s">
        <v>2074</v>
      </c>
      <c r="D19" s="13" t="s">
        <v>1053</v>
      </c>
      <c r="E19" s="13" t="s">
        <v>2690</v>
      </c>
      <c r="F19" s="13" t="s">
        <v>221</v>
      </c>
      <c r="G19" s="27" t="s">
        <v>303</v>
      </c>
      <c r="H19" s="27" t="s">
        <v>303</v>
      </c>
      <c r="I19" s="27" t="s">
        <v>1082</v>
      </c>
      <c r="J19" s="14"/>
      <c r="K19" s="30">
        <v>0</v>
      </c>
      <c r="L19" s="14" t="str">
        <f>"0,0000"</f>
        <v>0,0000</v>
      </c>
      <c r="M19" s="13" t="s">
        <v>2075</v>
      </c>
    </row>
    <row r="20" spans="1:13">
      <c r="B20" s="5" t="s">
        <v>350</v>
      </c>
    </row>
    <row r="21" spans="1:13" ht="16">
      <c r="A21" s="82" t="s">
        <v>244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3">
      <c r="A22" s="10" t="s">
        <v>349</v>
      </c>
      <c r="B22" s="9" t="s">
        <v>2076</v>
      </c>
      <c r="C22" s="9" t="s">
        <v>2077</v>
      </c>
      <c r="D22" s="9" t="s">
        <v>2078</v>
      </c>
      <c r="E22" s="9" t="s">
        <v>2690</v>
      </c>
      <c r="F22" s="9" t="s">
        <v>667</v>
      </c>
      <c r="G22" s="23" t="s">
        <v>2079</v>
      </c>
      <c r="H22" s="22" t="s">
        <v>2079</v>
      </c>
      <c r="I22" s="23" t="s">
        <v>2080</v>
      </c>
      <c r="J22" s="10"/>
      <c r="K22" s="29" t="str">
        <f>"375,0"</f>
        <v>375,0</v>
      </c>
      <c r="L22" s="10" t="str">
        <f>"212,9813"</f>
        <v>212,9813</v>
      </c>
      <c r="M22" s="9"/>
    </row>
    <row r="23" spans="1:13">
      <c r="A23" s="12" t="s">
        <v>351</v>
      </c>
      <c r="B23" s="11" t="s">
        <v>2081</v>
      </c>
      <c r="C23" s="11" t="s">
        <v>2082</v>
      </c>
      <c r="D23" s="11" t="s">
        <v>2083</v>
      </c>
      <c r="E23" s="11" t="s">
        <v>2690</v>
      </c>
      <c r="F23" s="11" t="s">
        <v>1545</v>
      </c>
      <c r="G23" s="24" t="s">
        <v>253</v>
      </c>
      <c r="H23" s="25" t="s">
        <v>2079</v>
      </c>
      <c r="I23" s="25" t="s">
        <v>2079</v>
      </c>
      <c r="J23" s="12"/>
      <c r="K23" s="31" t="str">
        <f>"350,0"</f>
        <v>350,0</v>
      </c>
      <c r="L23" s="12" t="str">
        <f>"202,5625"</f>
        <v>202,5625</v>
      </c>
      <c r="M23" s="11"/>
    </row>
    <row r="24" spans="1:13">
      <c r="A24" s="12" t="s">
        <v>353</v>
      </c>
      <c r="B24" s="11" t="s">
        <v>2084</v>
      </c>
      <c r="C24" s="11" t="s">
        <v>2085</v>
      </c>
      <c r="D24" s="11" t="s">
        <v>2086</v>
      </c>
      <c r="E24" s="11" t="s">
        <v>2690</v>
      </c>
      <c r="F24" s="11" t="s">
        <v>626</v>
      </c>
      <c r="G24" s="24" t="s">
        <v>197</v>
      </c>
      <c r="H24" s="25" t="s">
        <v>303</v>
      </c>
      <c r="I24" s="25" t="s">
        <v>303</v>
      </c>
      <c r="J24" s="12"/>
      <c r="K24" s="31" t="str">
        <f>"340,0"</f>
        <v>340,0</v>
      </c>
      <c r="L24" s="12" t="str">
        <f>"193,6470"</f>
        <v>193,6470</v>
      </c>
      <c r="M24" s="11" t="s">
        <v>2087</v>
      </c>
    </row>
    <row r="25" spans="1:13">
      <c r="A25" s="12" t="s">
        <v>354</v>
      </c>
      <c r="B25" s="11" t="s">
        <v>2088</v>
      </c>
      <c r="C25" s="11" t="s">
        <v>2089</v>
      </c>
      <c r="D25" s="11" t="s">
        <v>695</v>
      </c>
      <c r="E25" s="11" t="s">
        <v>2690</v>
      </c>
      <c r="F25" s="11" t="s">
        <v>667</v>
      </c>
      <c r="G25" s="25" t="s">
        <v>172</v>
      </c>
      <c r="H25" s="24" t="s">
        <v>172</v>
      </c>
      <c r="I25" s="25" t="s">
        <v>493</v>
      </c>
      <c r="J25" s="12"/>
      <c r="K25" s="31" t="str">
        <f>"320,0"</f>
        <v>320,0</v>
      </c>
      <c r="L25" s="12" t="str">
        <f>"180,2240"</f>
        <v>180,2240</v>
      </c>
      <c r="M25" s="11"/>
    </row>
    <row r="26" spans="1:13">
      <c r="A26" s="12" t="s">
        <v>352</v>
      </c>
      <c r="B26" s="11" t="s">
        <v>2090</v>
      </c>
      <c r="C26" s="11" t="s">
        <v>2091</v>
      </c>
      <c r="D26" s="11" t="s">
        <v>2078</v>
      </c>
      <c r="E26" s="11" t="s">
        <v>2690</v>
      </c>
      <c r="F26" s="11" t="s">
        <v>135</v>
      </c>
      <c r="G26" s="25" t="s">
        <v>193</v>
      </c>
      <c r="H26" s="25" t="s">
        <v>172</v>
      </c>
      <c r="I26" s="25" t="s">
        <v>196</v>
      </c>
      <c r="J26" s="12"/>
      <c r="K26" s="31">
        <v>0</v>
      </c>
      <c r="L26" s="12" t="str">
        <f>"0,0000"</f>
        <v>0,0000</v>
      </c>
      <c r="M26" s="11" t="s">
        <v>2059</v>
      </c>
    </row>
    <row r="27" spans="1:13">
      <c r="A27" s="12" t="s">
        <v>349</v>
      </c>
      <c r="B27" s="11" t="s">
        <v>2081</v>
      </c>
      <c r="C27" s="11" t="s">
        <v>2092</v>
      </c>
      <c r="D27" s="11" t="s">
        <v>2083</v>
      </c>
      <c r="E27" s="11" t="s">
        <v>2693</v>
      </c>
      <c r="F27" s="11" t="s">
        <v>1545</v>
      </c>
      <c r="G27" s="24" t="s">
        <v>253</v>
      </c>
      <c r="H27" s="25" t="s">
        <v>2079</v>
      </c>
      <c r="I27" s="25" t="s">
        <v>2079</v>
      </c>
      <c r="J27" s="12"/>
      <c r="K27" s="31" t="str">
        <f>"350,0"</f>
        <v>350,0</v>
      </c>
      <c r="L27" s="12" t="str">
        <f>"204,5881"</f>
        <v>204,5881</v>
      </c>
      <c r="M27" s="11"/>
    </row>
    <row r="28" spans="1:13">
      <c r="A28" s="14" t="s">
        <v>351</v>
      </c>
      <c r="B28" s="13" t="s">
        <v>2088</v>
      </c>
      <c r="C28" s="13" t="s">
        <v>2093</v>
      </c>
      <c r="D28" s="13" t="s">
        <v>695</v>
      </c>
      <c r="E28" s="13" t="s">
        <v>2693</v>
      </c>
      <c r="F28" s="13" t="s">
        <v>667</v>
      </c>
      <c r="G28" s="27" t="s">
        <v>172</v>
      </c>
      <c r="H28" s="26" t="s">
        <v>172</v>
      </c>
      <c r="I28" s="27" t="s">
        <v>493</v>
      </c>
      <c r="J28" s="14"/>
      <c r="K28" s="30" t="str">
        <f>"320,0"</f>
        <v>320,0</v>
      </c>
      <c r="L28" s="14" t="str">
        <f>"190,1363"</f>
        <v>190,1363</v>
      </c>
      <c r="M28" s="13"/>
    </row>
    <row r="29" spans="1:13">
      <c r="B29" s="5" t="s">
        <v>350</v>
      </c>
    </row>
    <row r="30" spans="1:13" ht="16">
      <c r="A30" s="82" t="s">
        <v>276</v>
      </c>
      <c r="B30" s="82"/>
      <c r="C30" s="82"/>
      <c r="D30" s="82"/>
      <c r="E30" s="82"/>
      <c r="F30" s="82"/>
      <c r="G30" s="82"/>
      <c r="H30" s="82"/>
      <c r="I30" s="82"/>
      <c r="J30" s="82"/>
    </row>
    <row r="31" spans="1:13">
      <c r="A31" s="10" t="s">
        <v>349</v>
      </c>
      <c r="B31" s="9" t="s">
        <v>2094</v>
      </c>
      <c r="C31" s="9" t="s">
        <v>2095</v>
      </c>
      <c r="D31" s="9" t="s">
        <v>2096</v>
      </c>
      <c r="E31" s="9" t="s">
        <v>2689</v>
      </c>
      <c r="F31" s="9" t="s">
        <v>513</v>
      </c>
      <c r="G31" s="22" t="s">
        <v>193</v>
      </c>
      <c r="H31" s="23" t="s">
        <v>202</v>
      </c>
      <c r="I31" s="23" t="s">
        <v>202</v>
      </c>
      <c r="J31" s="10"/>
      <c r="K31" s="29" t="str">
        <f>"300,0"</f>
        <v>300,0</v>
      </c>
      <c r="L31" s="10" t="str">
        <f>"166,4700"</f>
        <v>166,4700</v>
      </c>
      <c r="M31" s="9"/>
    </row>
    <row r="32" spans="1:13">
      <c r="A32" s="12" t="s">
        <v>349</v>
      </c>
      <c r="B32" s="11" t="s">
        <v>1208</v>
      </c>
      <c r="C32" s="11" t="s">
        <v>1209</v>
      </c>
      <c r="D32" s="11" t="s">
        <v>1210</v>
      </c>
      <c r="E32" s="11" t="s">
        <v>2690</v>
      </c>
      <c r="F32" s="11" t="s">
        <v>1130</v>
      </c>
      <c r="G32" s="24" t="s">
        <v>2079</v>
      </c>
      <c r="H32" s="25" t="s">
        <v>2080</v>
      </c>
      <c r="I32" s="24" t="s">
        <v>2080</v>
      </c>
      <c r="J32" s="12"/>
      <c r="K32" s="31" t="str">
        <f>"385,0"</f>
        <v>385,0</v>
      </c>
      <c r="L32" s="12" t="str">
        <f>"211,3842"</f>
        <v>211,3842</v>
      </c>
      <c r="M32" s="11"/>
    </row>
    <row r="33" spans="1:13">
      <c r="A33" s="12" t="s">
        <v>351</v>
      </c>
      <c r="B33" s="11" t="s">
        <v>2097</v>
      </c>
      <c r="C33" s="11" t="s">
        <v>2098</v>
      </c>
      <c r="D33" s="11" t="s">
        <v>2099</v>
      </c>
      <c r="E33" s="11" t="s">
        <v>2690</v>
      </c>
      <c r="F33" s="11" t="s">
        <v>248</v>
      </c>
      <c r="G33" s="24" t="s">
        <v>197</v>
      </c>
      <c r="H33" s="24" t="s">
        <v>2068</v>
      </c>
      <c r="I33" s="25" t="s">
        <v>2069</v>
      </c>
      <c r="J33" s="12"/>
      <c r="K33" s="31" t="str">
        <f>"355,0"</f>
        <v>355,0</v>
      </c>
      <c r="L33" s="12" t="str">
        <f>"196,2440"</f>
        <v>196,2440</v>
      </c>
      <c r="M33" s="11" t="s">
        <v>2100</v>
      </c>
    </row>
    <row r="34" spans="1:13">
      <c r="A34" s="12" t="s">
        <v>349</v>
      </c>
      <c r="B34" s="11" t="s">
        <v>1208</v>
      </c>
      <c r="C34" s="11" t="s">
        <v>1214</v>
      </c>
      <c r="D34" s="11" t="s">
        <v>1210</v>
      </c>
      <c r="E34" s="11" t="s">
        <v>2693</v>
      </c>
      <c r="F34" s="11" t="s">
        <v>1130</v>
      </c>
      <c r="G34" s="24" t="s">
        <v>2079</v>
      </c>
      <c r="H34" s="25" t="s">
        <v>2080</v>
      </c>
      <c r="I34" s="24" t="s">
        <v>2080</v>
      </c>
      <c r="J34" s="12"/>
      <c r="K34" s="31" t="str">
        <f>"385,0"</f>
        <v>385,0</v>
      </c>
      <c r="L34" s="12" t="str">
        <f>"213,4981"</f>
        <v>213,4981</v>
      </c>
      <c r="M34" s="11"/>
    </row>
    <row r="35" spans="1:13">
      <c r="A35" s="14" t="s">
        <v>349</v>
      </c>
      <c r="B35" s="13" t="s">
        <v>294</v>
      </c>
      <c r="C35" s="13" t="s">
        <v>295</v>
      </c>
      <c r="D35" s="13" t="s">
        <v>296</v>
      </c>
      <c r="E35" s="13" t="s">
        <v>2695</v>
      </c>
      <c r="F35" s="13" t="s">
        <v>297</v>
      </c>
      <c r="G35" s="26" t="s">
        <v>109</v>
      </c>
      <c r="H35" s="27" t="s">
        <v>118</v>
      </c>
      <c r="I35" s="26" t="s">
        <v>118</v>
      </c>
      <c r="J35" s="14"/>
      <c r="K35" s="30" t="str">
        <f>"185,0"</f>
        <v>185,0</v>
      </c>
      <c r="L35" s="14" t="str">
        <f>"120,1229"</f>
        <v>120,1229</v>
      </c>
      <c r="M35" s="13" t="s">
        <v>298</v>
      </c>
    </row>
    <row r="36" spans="1:13">
      <c r="B36" s="5" t="s">
        <v>350</v>
      </c>
    </row>
    <row r="37" spans="1:13">
      <c r="B37" s="5" t="s">
        <v>350</v>
      </c>
    </row>
    <row r="38" spans="1:13">
      <c r="B38" s="5" t="s">
        <v>350</v>
      </c>
    </row>
    <row r="39" spans="1:13" ht="18">
      <c r="B39" s="15" t="s">
        <v>316</v>
      </c>
      <c r="C39" s="15"/>
      <c r="F39" s="3"/>
    </row>
    <row r="40" spans="1:13" ht="16">
      <c r="B40" s="16" t="s">
        <v>336</v>
      </c>
      <c r="C40" s="16"/>
      <c r="F40" s="3"/>
    </row>
    <row r="41" spans="1:13" ht="14">
      <c r="B41" s="17"/>
      <c r="C41" s="18" t="s">
        <v>318</v>
      </c>
      <c r="F41" s="3"/>
    </row>
    <row r="42" spans="1:13" ht="14">
      <c r="B42" s="19" t="s">
        <v>319</v>
      </c>
      <c r="C42" s="19" t="s">
        <v>320</v>
      </c>
      <c r="D42" s="19" t="s">
        <v>2593</v>
      </c>
      <c r="E42" s="19" t="s">
        <v>1225</v>
      </c>
      <c r="F42" s="19" t="s">
        <v>1226</v>
      </c>
    </row>
    <row r="43" spans="1:13">
      <c r="B43" s="5" t="s">
        <v>2076</v>
      </c>
      <c r="C43" s="5" t="s">
        <v>318</v>
      </c>
      <c r="D43" s="6" t="s">
        <v>340</v>
      </c>
      <c r="E43" s="6" t="s">
        <v>2079</v>
      </c>
      <c r="F43" s="6" t="s">
        <v>2101</v>
      </c>
    </row>
    <row r="44" spans="1:13">
      <c r="B44" s="5" t="s">
        <v>1208</v>
      </c>
      <c r="C44" s="5" t="s">
        <v>318</v>
      </c>
      <c r="D44" s="6" t="s">
        <v>348</v>
      </c>
      <c r="E44" s="6" t="s">
        <v>2080</v>
      </c>
      <c r="F44" s="6" t="s">
        <v>2102</v>
      </c>
    </row>
    <row r="45" spans="1:13">
      <c r="B45" s="5" t="s">
        <v>2066</v>
      </c>
      <c r="C45" s="5" t="s">
        <v>318</v>
      </c>
      <c r="D45" s="6" t="s">
        <v>343</v>
      </c>
      <c r="E45" s="6" t="s">
        <v>2068</v>
      </c>
      <c r="F45" s="6" t="s">
        <v>2103</v>
      </c>
    </row>
  </sheetData>
  <mergeCells count="17">
    <mergeCell ref="A30:J30"/>
    <mergeCell ref="A5:J5"/>
    <mergeCell ref="A8:J8"/>
    <mergeCell ref="A12:J12"/>
    <mergeCell ref="A15:J15"/>
    <mergeCell ref="A21:J21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U104"/>
  <sheetViews>
    <sheetView topLeftCell="A58" workbookViewId="0">
      <selection activeCell="E88" sqref="E88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3.5" style="5" bestFit="1" customWidth="1"/>
    <col min="7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17.33203125" style="5" bestFit="1" customWidth="1"/>
    <col min="22" max="16384" width="9.1640625" style="3"/>
  </cols>
  <sheetData>
    <row r="1" spans="1:21" s="2" customFormat="1" ht="29" customHeight="1">
      <c r="A1" s="71" t="s">
        <v>2629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1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65" t="s">
        <v>10</v>
      </c>
      <c r="P3" s="65"/>
      <c r="Q3" s="65"/>
      <c r="R3" s="65"/>
      <c r="S3" s="83" t="s">
        <v>1</v>
      </c>
      <c r="T3" s="65" t="s">
        <v>3</v>
      </c>
      <c r="U3" s="67" t="s">
        <v>2</v>
      </c>
    </row>
    <row r="4" spans="1:21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4"/>
      <c r="T4" s="66"/>
      <c r="U4" s="68"/>
    </row>
    <row r="5" spans="1:21" ht="16">
      <c r="A5" s="69" t="s">
        <v>11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1">
      <c r="A6" s="10" t="s">
        <v>349</v>
      </c>
      <c r="B6" s="9" t="s">
        <v>516</v>
      </c>
      <c r="C6" s="9" t="s">
        <v>517</v>
      </c>
      <c r="D6" s="9" t="s">
        <v>374</v>
      </c>
      <c r="E6" s="9" t="s">
        <v>2689</v>
      </c>
      <c r="F6" s="9" t="s">
        <v>221</v>
      </c>
      <c r="G6" s="23" t="s">
        <v>22</v>
      </c>
      <c r="H6" s="23" t="s">
        <v>22</v>
      </c>
      <c r="I6" s="22" t="s">
        <v>22</v>
      </c>
      <c r="J6" s="10"/>
      <c r="K6" s="22" t="s">
        <v>19</v>
      </c>
      <c r="L6" s="23" t="s">
        <v>20</v>
      </c>
      <c r="M6" s="23" t="s">
        <v>20</v>
      </c>
      <c r="N6" s="10"/>
      <c r="O6" s="22" t="s">
        <v>61</v>
      </c>
      <c r="P6" s="22" t="s">
        <v>23</v>
      </c>
      <c r="Q6" s="22" t="s">
        <v>24</v>
      </c>
      <c r="R6" s="10"/>
      <c r="S6" s="29" t="str">
        <f>"187,5"</f>
        <v>187,5</v>
      </c>
      <c r="T6" s="10" t="str">
        <f>"225,3563"</f>
        <v>225,3563</v>
      </c>
      <c r="U6" s="9" t="s">
        <v>518</v>
      </c>
    </row>
    <row r="7" spans="1:21">
      <c r="A7" s="14" t="s">
        <v>349</v>
      </c>
      <c r="B7" s="13" t="s">
        <v>519</v>
      </c>
      <c r="C7" s="13" t="s">
        <v>520</v>
      </c>
      <c r="D7" s="13" t="s">
        <v>521</v>
      </c>
      <c r="E7" s="13" t="s">
        <v>2690</v>
      </c>
      <c r="F7" s="13" t="s">
        <v>201</v>
      </c>
      <c r="G7" s="26" t="s">
        <v>188</v>
      </c>
      <c r="H7" s="26" t="s">
        <v>66</v>
      </c>
      <c r="I7" s="27" t="s">
        <v>83</v>
      </c>
      <c r="J7" s="14"/>
      <c r="K7" s="26" t="s">
        <v>17</v>
      </c>
      <c r="L7" s="26" t="s">
        <v>18</v>
      </c>
      <c r="M7" s="27" t="s">
        <v>49</v>
      </c>
      <c r="N7" s="14"/>
      <c r="O7" s="26" t="s">
        <v>70</v>
      </c>
      <c r="P7" s="27" t="s">
        <v>376</v>
      </c>
      <c r="Q7" s="14"/>
      <c r="R7" s="14"/>
      <c r="S7" s="30" t="str">
        <f>"300,0"</f>
        <v>300,0</v>
      </c>
      <c r="T7" s="14" t="str">
        <f>"355,4700"</f>
        <v>355,4700</v>
      </c>
      <c r="U7" s="13" t="s">
        <v>522</v>
      </c>
    </row>
    <row r="8" spans="1:21">
      <c r="B8" s="5" t="s">
        <v>350</v>
      </c>
    </row>
    <row r="9" spans="1:21" ht="16">
      <c r="A9" s="82" t="s">
        <v>378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1">
      <c r="A10" s="10" t="s">
        <v>349</v>
      </c>
      <c r="B10" s="9" t="s">
        <v>523</v>
      </c>
      <c r="C10" s="9" t="s">
        <v>524</v>
      </c>
      <c r="D10" s="9" t="s">
        <v>525</v>
      </c>
      <c r="E10" s="9" t="s">
        <v>2690</v>
      </c>
      <c r="F10" s="9" t="s">
        <v>135</v>
      </c>
      <c r="G10" s="22" t="s">
        <v>365</v>
      </c>
      <c r="H10" s="22" t="s">
        <v>154</v>
      </c>
      <c r="I10" s="22" t="s">
        <v>45</v>
      </c>
      <c r="J10" s="10"/>
      <c r="K10" s="22" t="s">
        <v>407</v>
      </c>
      <c r="L10" s="22" t="s">
        <v>458</v>
      </c>
      <c r="M10" s="22" t="s">
        <v>526</v>
      </c>
      <c r="N10" s="10"/>
      <c r="O10" s="22" t="s">
        <v>59</v>
      </c>
      <c r="P10" s="22" t="s">
        <v>148</v>
      </c>
      <c r="Q10" s="23" t="s">
        <v>127</v>
      </c>
      <c r="R10" s="10"/>
      <c r="S10" s="29" t="str">
        <f>"408,0"</f>
        <v>408,0</v>
      </c>
      <c r="T10" s="10" t="str">
        <f>"457,2456"</f>
        <v>457,2456</v>
      </c>
      <c r="U10" s="9" t="s">
        <v>527</v>
      </c>
    </row>
    <row r="11" spans="1:21">
      <c r="A11" s="12" t="s">
        <v>351</v>
      </c>
      <c r="B11" s="11" t="s">
        <v>528</v>
      </c>
      <c r="C11" s="11" t="s">
        <v>529</v>
      </c>
      <c r="D11" s="11" t="s">
        <v>381</v>
      </c>
      <c r="E11" s="9" t="s">
        <v>2690</v>
      </c>
      <c r="F11" s="11" t="s">
        <v>530</v>
      </c>
      <c r="G11" s="24" t="s">
        <v>70</v>
      </c>
      <c r="H11" s="24" t="s">
        <v>51</v>
      </c>
      <c r="I11" s="25" t="s">
        <v>154</v>
      </c>
      <c r="J11" s="12"/>
      <c r="K11" s="24" t="s">
        <v>23</v>
      </c>
      <c r="L11" s="25" t="s">
        <v>24</v>
      </c>
      <c r="M11" s="25" t="s">
        <v>24</v>
      </c>
      <c r="N11" s="12"/>
      <c r="O11" s="24" t="s">
        <v>51</v>
      </c>
      <c r="P11" s="24" t="s">
        <v>154</v>
      </c>
      <c r="Q11" s="24" t="s">
        <v>45</v>
      </c>
      <c r="R11" s="12"/>
      <c r="S11" s="31" t="str">
        <f>"360,0"</f>
        <v>360,0</v>
      </c>
      <c r="T11" s="12" t="str">
        <f>"401,3640"</f>
        <v>401,3640</v>
      </c>
      <c r="U11" s="11" t="s">
        <v>531</v>
      </c>
    </row>
    <row r="12" spans="1:21">
      <c r="A12" s="14" t="s">
        <v>352</v>
      </c>
      <c r="B12" s="13" t="s">
        <v>532</v>
      </c>
      <c r="C12" s="13" t="s">
        <v>533</v>
      </c>
      <c r="D12" s="13" t="s">
        <v>534</v>
      </c>
      <c r="E12" s="9" t="s">
        <v>2690</v>
      </c>
      <c r="F12" s="13" t="s">
        <v>248</v>
      </c>
      <c r="G12" s="27" t="s">
        <v>154</v>
      </c>
      <c r="H12" s="27" t="s">
        <v>154</v>
      </c>
      <c r="I12" s="27" t="s">
        <v>154</v>
      </c>
      <c r="J12" s="14"/>
      <c r="K12" s="27"/>
      <c r="L12" s="14"/>
      <c r="M12" s="14"/>
      <c r="N12" s="14"/>
      <c r="O12" s="27"/>
      <c r="P12" s="14"/>
      <c r="Q12" s="14"/>
      <c r="R12" s="14"/>
      <c r="S12" s="30">
        <v>0</v>
      </c>
      <c r="T12" s="14" t="str">
        <f>"0,0000"</f>
        <v>0,0000</v>
      </c>
      <c r="U12" s="13" t="s">
        <v>2602</v>
      </c>
    </row>
    <row r="13" spans="1:21">
      <c r="B13" s="5" t="s">
        <v>350</v>
      </c>
    </row>
    <row r="14" spans="1:21" ht="16">
      <c r="A14" s="82" t="s">
        <v>26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21">
      <c r="A15" s="10" t="s">
        <v>349</v>
      </c>
      <c r="B15" s="9" t="s">
        <v>535</v>
      </c>
      <c r="C15" s="9" t="s">
        <v>536</v>
      </c>
      <c r="D15" s="9" t="s">
        <v>537</v>
      </c>
      <c r="E15" s="9" t="s">
        <v>2690</v>
      </c>
      <c r="F15" s="9" t="s">
        <v>538</v>
      </c>
      <c r="G15" s="22" t="s">
        <v>166</v>
      </c>
      <c r="H15" s="23" t="s">
        <v>116</v>
      </c>
      <c r="I15" s="22" t="s">
        <v>116</v>
      </c>
      <c r="J15" s="10"/>
      <c r="K15" s="22" t="s">
        <v>188</v>
      </c>
      <c r="L15" s="22" t="s">
        <v>66</v>
      </c>
      <c r="M15" s="23" t="s">
        <v>539</v>
      </c>
      <c r="N15" s="10"/>
      <c r="O15" s="22" t="s">
        <v>60</v>
      </c>
      <c r="P15" s="23" t="s">
        <v>37</v>
      </c>
      <c r="Q15" s="22" t="s">
        <v>37</v>
      </c>
      <c r="R15" s="10"/>
      <c r="S15" s="29" t="str">
        <f>"470,0"</f>
        <v>470,0</v>
      </c>
      <c r="T15" s="10" t="str">
        <f>"497,0720"</f>
        <v>497,0720</v>
      </c>
      <c r="U15" s="9" t="s">
        <v>2603</v>
      </c>
    </row>
    <row r="16" spans="1:21">
      <c r="A16" s="12" t="s">
        <v>351</v>
      </c>
      <c r="B16" s="11" t="s">
        <v>540</v>
      </c>
      <c r="C16" s="11" t="s">
        <v>541</v>
      </c>
      <c r="D16" s="11" t="s">
        <v>542</v>
      </c>
      <c r="E16" s="11" t="s">
        <v>2690</v>
      </c>
      <c r="F16" s="11" t="s">
        <v>530</v>
      </c>
      <c r="G16" s="24" t="s">
        <v>407</v>
      </c>
      <c r="H16" s="25" t="s">
        <v>466</v>
      </c>
      <c r="I16" s="25" t="s">
        <v>466</v>
      </c>
      <c r="J16" s="12"/>
      <c r="K16" s="24" t="s">
        <v>543</v>
      </c>
      <c r="L16" s="25" t="s">
        <v>16</v>
      </c>
      <c r="M16" s="24" t="s">
        <v>375</v>
      </c>
      <c r="N16" s="12"/>
      <c r="O16" s="24" t="s">
        <v>188</v>
      </c>
      <c r="P16" s="24" t="s">
        <v>83</v>
      </c>
      <c r="Q16" s="25" t="s">
        <v>67</v>
      </c>
      <c r="R16" s="12"/>
      <c r="S16" s="31" t="str">
        <f>"257,5"</f>
        <v>257,5</v>
      </c>
      <c r="T16" s="12" t="str">
        <f>"270,4523"</f>
        <v>270,4523</v>
      </c>
      <c r="U16" s="11" t="s">
        <v>544</v>
      </c>
    </row>
    <row r="17" spans="1:21">
      <c r="A17" s="14" t="s">
        <v>349</v>
      </c>
      <c r="B17" s="13" t="s">
        <v>545</v>
      </c>
      <c r="C17" s="13" t="s">
        <v>546</v>
      </c>
      <c r="D17" s="13" t="s">
        <v>547</v>
      </c>
      <c r="E17" s="13" t="s">
        <v>2693</v>
      </c>
      <c r="F17" s="13" t="s">
        <v>221</v>
      </c>
      <c r="G17" s="26" t="s">
        <v>66</v>
      </c>
      <c r="H17" s="27" t="s">
        <v>83</v>
      </c>
      <c r="I17" s="27" t="s">
        <v>83</v>
      </c>
      <c r="J17" s="14"/>
      <c r="K17" s="26" t="s">
        <v>18</v>
      </c>
      <c r="L17" s="26" t="s">
        <v>22</v>
      </c>
      <c r="M17" s="26" t="s">
        <v>398</v>
      </c>
      <c r="N17" s="14"/>
      <c r="O17" s="26" t="s">
        <v>51</v>
      </c>
      <c r="P17" s="26" t="s">
        <v>154</v>
      </c>
      <c r="Q17" s="27" t="s">
        <v>45</v>
      </c>
      <c r="R17" s="14"/>
      <c r="S17" s="30" t="str">
        <f>"317,5"</f>
        <v>317,5</v>
      </c>
      <c r="T17" s="14" t="str">
        <f>"337,8463"</f>
        <v>337,8463</v>
      </c>
      <c r="U17" s="13" t="s">
        <v>548</v>
      </c>
    </row>
    <row r="18" spans="1:21">
      <c r="B18" s="5" t="s">
        <v>350</v>
      </c>
    </row>
    <row r="19" spans="1:21" ht="16">
      <c r="A19" s="82" t="s">
        <v>72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21">
      <c r="A20" s="10" t="s">
        <v>349</v>
      </c>
      <c r="B20" s="9" t="s">
        <v>549</v>
      </c>
      <c r="C20" s="9" t="s">
        <v>550</v>
      </c>
      <c r="D20" s="9" t="s">
        <v>551</v>
      </c>
      <c r="E20" s="9" t="s">
        <v>2692</v>
      </c>
      <c r="F20" s="9" t="s">
        <v>221</v>
      </c>
      <c r="G20" s="22" t="s">
        <v>109</v>
      </c>
      <c r="H20" s="23" t="s">
        <v>60</v>
      </c>
      <c r="I20" s="23" t="s">
        <v>60</v>
      </c>
      <c r="J20" s="10"/>
      <c r="K20" s="23" t="s">
        <v>188</v>
      </c>
      <c r="L20" s="22" t="s">
        <v>188</v>
      </c>
      <c r="M20" s="23" t="s">
        <v>66</v>
      </c>
      <c r="N20" s="10"/>
      <c r="O20" s="22" t="s">
        <v>109</v>
      </c>
      <c r="P20" s="22" t="s">
        <v>60</v>
      </c>
      <c r="Q20" s="23" t="s">
        <v>37</v>
      </c>
      <c r="R20" s="10"/>
      <c r="S20" s="29" t="str">
        <f>"450,0"</f>
        <v>450,0</v>
      </c>
      <c r="T20" s="10" t="str">
        <f>"408,1500"</f>
        <v>408,1500</v>
      </c>
      <c r="U20" s="9" t="s">
        <v>552</v>
      </c>
    </row>
    <row r="21" spans="1:21">
      <c r="A21" s="14" t="s">
        <v>349</v>
      </c>
      <c r="B21" s="13" t="s">
        <v>549</v>
      </c>
      <c r="C21" s="13" t="s">
        <v>553</v>
      </c>
      <c r="D21" s="13" t="s">
        <v>551</v>
      </c>
      <c r="E21" s="13" t="s">
        <v>2690</v>
      </c>
      <c r="F21" s="13" t="s">
        <v>221</v>
      </c>
      <c r="G21" s="26" t="s">
        <v>109</v>
      </c>
      <c r="H21" s="27" t="s">
        <v>60</v>
      </c>
      <c r="I21" s="27" t="s">
        <v>60</v>
      </c>
      <c r="J21" s="14"/>
      <c r="K21" s="27" t="s">
        <v>188</v>
      </c>
      <c r="L21" s="26" t="s">
        <v>188</v>
      </c>
      <c r="M21" s="27" t="s">
        <v>66</v>
      </c>
      <c r="N21" s="14"/>
      <c r="O21" s="26" t="s">
        <v>109</v>
      </c>
      <c r="P21" s="26" t="s">
        <v>60</v>
      </c>
      <c r="Q21" s="27" t="s">
        <v>37</v>
      </c>
      <c r="R21" s="14"/>
      <c r="S21" s="30" t="str">
        <f>"450,0"</f>
        <v>450,0</v>
      </c>
      <c r="T21" s="14" t="str">
        <f>"408,1500"</f>
        <v>408,1500</v>
      </c>
      <c r="U21" s="13" t="s">
        <v>552</v>
      </c>
    </row>
    <row r="22" spans="1:21">
      <c r="B22" s="5" t="s">
        <v>350</v>
      </c>
    </row>
    <row r="23" spans="1:21" ht="16">
      <c r="A23" s="82" t="s">
        <v>55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21">
      <c r="A24" s="10" t="s">
        <v>349</v>
      </c>
      <c r="B24" s="9" t="s">
        <v>554</v>
      </c>
      <c r="C24" s="9" t="s">
        <v>555</v>
      </c>
      <c r="D24" s="9" t="s">
        <v>556</v>
      </c>
      <c r="E24" s="9" t="s">
        <v>2692</v>
      </c>
      <c r="F24" s="9" t="s">
        <v>92</v>
      </c>
      <c r="G24" s="22" t="s">
        <v>70</v>
      </c>
      <c r="H24" s="22" t="s">
        <v>45</v>
      </c>
      <c r="I24" s="23" t="s">
        <v>59</v>
      </c>
      <c r="J24" s="10"/>
      <c r="K24" s="22" t="s">
        <v>34</v>
      </c>
      <c r="L24" s="22" t="s">
        <v>50</v>
      </c>
      <c r="M24" s="23" t="s">
        <v>84</v>
      </c>
      <c r="N24" s="10"/>
      <c r="O24" s="22" t="s">
        <v>84</v>
      </c>
      <c r="P24" s="22" t="s">
        <v>154</v>
      </c>
      <c r="Q24" s="23" t="s">
        <v>52</v>
      </c>
      <c r="R24" s="10"/>
      <c r="S24" s="29" t="str">
        <f>"405,0"</f>
        <v>405,0</v>
      </c>
      <c r="T24" s="10" t="str">
        <f>"295,6500"</f>
        <v>295,6500</v>
      </c>
      <c r="U24" s="9" t="s">
        <v>557</v>
      </c>
    </row>
    <row r="25" spans="1:21">
      <c r="A25" s="12" t="s">
        <v>349</v>
      </c>
      <c r="B25" s="11" t="s">
        <v>558</v>
      </c>
      <c r="C25" s="11" t="s">
        <v>559</v>
      </c>
      <c r="D25" s="11" t="s">
        <v>560</v>
      </c>
      <c r="E25" s="11" t="s">
        <v>2689</v>
      </c>
      <c r="F25" s="11" t="s">
        <v>561</v>
      </c>
      <c r="G25" s="25" t="s">
        <v>70</v>
      </c>
      <c r="H25" s="25" t="s">
        <v>70</v>
      </c>
      <c r="I25" s="24" t="s">
        <v>70</v>
      </c>
      <c r="J25" s="12"/>
      <c r="K25" s="24" t="s">
        <v>24</v>
      </c>
      <c r="L25" s="24" t="s">
        <v>407</v>
      </c>
      <c r="M25" s="12"/>
      <c r="N25" s="12"/>
      <c r="O25" s="24" t="s">
        <v>154</v>
      </c>
      <c r="P25" s="24" t="s">
        <v>52</v>
      </c>
      <c r="Q25" s="24" t="s">
        <v>47</v>
      </c>
      <c r="R25" s="12"/>
      <c r="S25" s="31" t="str">
        <f>"375,0"</f>
        <v>375,0</v>
      </c>
      <c r="T25" s="12" t="str">
        <f>"270,0000"</f>
        <v>270,0000</v>
      </c>
      <c r="U25" s="11"/>
    </row>
    <row r="26" spans="1:21">
      <c r="A26" s="12" t="s">
        <v>349</v>
      </c>
      <c r="B26" s="11" t="s">
        <v>562</v>
      </c>
      <c r="C26" s="11" t="s">
        <v>563</v>
      </c>
      <c r="D26" s="11" t="s">
        <v>564</v>
      </c>
      <c r="E26" s="11" t="s">
        <v>2690</v>
      </c>
      <c r="F26" s="11" t="s">
        <v>135</v>
      </c>
      <c r="G26" s="25" t="s">
        <v>118</v>
      </c>
      <c r="H26" s="24" t="s">
        <v>284</v>
      </c>
      <c r="I26" s="25" t="s">
        <v>38</v>
      </c>
      <c r="J26" s="12"/>
      <c r="K26" s="24" t="s">
        <v>365</v>
      </c>
      <c r="L26" s="24" t="s">
        <v>376</v>
      </c>
      <c r="M26" s="25" t="s">
        <v>154</v>
      </c>
      <c r="N26" s="12"/>
      <c r="O26" s="24" t="s">
        <v>33</v>
      </c>
      <c r="P26" s="24" t="s">
        <v>85</v>
      </c>
      <c r="Q26" s="24" t="s">
        <v>100</v>
      </c>
      <c r="R26" s="12"/>
      <c r="S26" s="31" t="str">
        <f>"572,5"</f>
        <v>572,5</v>
      </c>
      <c r="T26" s="12" t="str">
        <f>"409,8528"</f>
        <v>409,8528</v>
      </c>
      <c r="U26" s="11" t="s">
        <v>565</v>
      </c>
    </row>
    <row r="27" spans="1:21">
      <c r="A27" s="14" t="s">
        <v>352</v>
      </c>
      <c r="B27" s="13" t="s">
        <v>566</v>
      </c>
      <c r="C27" s="13" t="s">
        <v>567</v>
      </c>
      <c r="D27" s="13" t="s">
        <v>65</v>
      </c>
      <c r="E27" s="13" t="s">
        <v>2690</v>
      </c>
      <c r="F27" s="13" t="s">
        <v>370</v>
      </c>
      <c r="G27" s="27" t="s">
        <v>118</v>
      </c>
      <c r="H27" s="27" t="s">
        <v>118</v>
      </c>
      <c r="I27" s="27" t="s">
        <v>118</v>
      </c>
      <c r="J27" s="14"/>
      <c r="K27" s="27"/>
      <c r="L27" s="14"/>
      <c r="M27" s="14"/>
      <c r="N27" s="14"/>
      <c r="O27" s="27"/>
      <c r="P27" s="14"/>
      <c r="Q27" s="14"/>
      <c r="R27" s="14"/>
      <c r="S27" s="30">
        <v>0</v>
      </c>
      <c r="T27" s="14" t="str">
        <f>"0,0000"</f>
        <v>0,0000</v>
      </c>
      <c r="U27" s="13"/>
    </row>
    <row r="28" spans="1:21">
      <c r="B28" s="5" t="s">
        <v>350</v>
      </c>
    </row>
    <row r="29" spans="1:21" ht="16">
      <c r="A29" s="82" t="s">
        <v>72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</row>
    <row r="30" spans="1:21">
      <c r="A30" s="10" t="s">
        <v>349</v>
      </c>
      <c r="B30" s="9" t="s">
        <v>568</v>
      </c>
      <c r="C30" s="9" t="s">
        <v>569</v>
      </c>
      <c r="D30" s="9" t="s">
        <v>570</v>
      </c>
      <c r="E30" s="9" t="s">
        <v>2689</v>
      </c>
      <c r="F30" s="9" t="s">
        <v>92</v>
      </c>
      <c r="G30" s="22" t="s">
        <v>38</v>
      </c>
      <c r="H30" s="22" t="s">
        <v>195</v>
      </c>
      <c r="I30" s="23" t="s">
        <v>269</v>
      </c>
      <c r="J30" s="10"/>
      <c r="K30" s="22" t="s">
        <v>52</v>
      </c>
      <c r="L30" s="22" t="s">
        <v>136</v>
      </c>
      <c r="M30" s="23" t="s">
        <v>166</v>
      </c>
      <c r="N30" s="10"/>
      <c r="O30" s="22" t="s">
        <v>77</v>
      </c>
      <c r="P30" s="22" t="s">
        <v>85</v>
      </c>
      <c r="Q30" s="23" t="s">
        <v>86</v>
      </c>
      <c r="R30" s="10"/>
      <c r="S30" s="29" t="str">
        <f>"600,0"</f>
        <v>600,0</v>
      </c>
      <c r="T30" s="10" t="str">
        <f>"420,3000"</f>
        <v>420,3000</v>
      </c>
      <c r="U30" s="9" t="s">
        <v>95</v>
      </c>
    </row>
    <row r="31" spans="1:21">
      <c r="A31" s="12" t="s">
        <v>349</v>
      </c>
      <c r="B31" s="11" t="s">
        <v>571</v>
      </c>
      <c r="C31" s="11" t="s">
        <v>572</v>
      </c>
      <c r="D31" s="11" t="s">
        <v>573</v>
      </c>
      <c r="E31" s="11" t="s">
        <v>2690</v>
      </c>
      <c r="F31" s="11" t="s">
        <v>574</v>
      </c>
      <c r="G31" s="24" t="s">
        <v>87</v>
      </c>
      <c r="H31" s="25" t="s">
        <v>130</v>
      </c>
      <c r="I31" s="25" t="s">
        <v>130</v>
      </c>
      <c r="J31" s="12"/>
      <c r="K31" s="24" t="s">
        <v>37</v>
      </c>
      <c r="L31" s="24" t="s">
        <v>284</v>
      </c>
      <c r="M31" s="25" t="s">
        <v>38</v>
      </c>
      <c r="N31" s="12"/>
      <c r="O31" s="24" t="s">
        <v>87</v>
      </c>
      <c r="P31" s="24" t="s">
        <v>115</v>
      </c>
      <c r="Q31" s="12"/>
      <c r="R31" s="12"/>
      <c r="S31" s="31" t="str">
        <f>"725,0"</f>
        <v>725,0</v>
      </c>
      <c r="T31" s="12" t="str">
        <f>"488,2150"</f>
        <v>488,2150</v>
      </c>
      <c r="U31" s="11" t="s">
        <v>575</v>
      </c>
    </row>
    <row r="32" spans="1:21">
      <c r="A32" s="12" t="s">
        <v>351</v>
      </c>
      <c r="B32" s="11" t="s">
        <v>576</v>
      </c>
      <c r="C32" s="11" t="s">
        <v>577</v>
      </c>
      <c r="D32" s="11" t="s">
        <v>573</v>
      </c>
      <c r="E32" s="11" t="s">
        <v>2690</v>
      </c>
      <c r="F32" s="11" t="s">
        <v>135</v>
      </c>
      <c r="G32" s="25" t="s">
        <v>270</v>
      </c>
      <c r="H32" s="24" t="s">
        <v>475</v>
      </c>
      <c r="I32" s="25" t="s">
        <v>578</v>
      </c>
      <c r="J32" s="12"/>
      <c r="K32" s="24" t="s">
        <v>51</v>
      </c>
      <c r="L32" s="24" t="s">
        <v>154</v>
      </c>
      <c r="M32" s="25" t="s">
        <v>45</v>
      </c>
      <c r="N32" s="12"/>
      <c r="O32" s="24" t="s">
        <v>87</v>
      </c>
      <c r="P32" s="24" t="s">
        <v>130</v>
      </c>
      <c r="Q32" s="25" t="s">
        <v>119</v>
      </c>
      <c r="R32" s="12"/>
      <c r="S32" s="31" t="str">
        <f>"647,5"</f>
        <v>647,5</v>
      </c>
      <c r="T32" s="12" t="str">
        <f>"436,0265"</f>
        <v>436,0265</v>
      </c>
      <c r="U32" s="11" t="s">
        <v>527</v>
      </c>
    </row>
    <row r="33" spans="1:21">
      <c r="A33" s="12" t="s">
        <v>353</v>
      </c>
      <c r="B33" s="11" t="s">
        <v>579</v>
      </c>
      <c r="C33" s="11" t="s">
        <v>580</v>
      </c>
      <c r="D33" s="11" t="s">
        <v>581</v>
      </c>
      <c r="E33" s="11" t="s">
        <v>2690</v>
      </c>
      <c r="F33" s="11" t="s">
        <v>582</v>
      </c>
      <c r="G33" s="24" t="s">
        <v>284</v>
      </c>
      <c r="H33" s="24" t="s">
        <v>314</v>
      </c>
      <c r="I33" s="24" t="s">
        <v>195</v>
      </c>
      <c r="J33" s="12"/>
      <c r="K33" s="24" t="s">
        <v>52</v>
      </c>
      <c r="L33" s="24" t="s">
        <v>59</v>
      </c>
      <c r="M33" s="24" t="s">
        <v>148</v>
      </c>
      <c r="N33" s="12"/>
      <c r="O33" s="24" t="s">
        <v>100</v>
      </c>
      <c r="P33" s="24" t="s">
        <v>583</v>
      </c>
      <c r="Q33" s="24" t="s">
        <v>130</v>
      </c>
      <c r="R33" s="12"/>
      <c r="S33" s="31" t="str">
        <f>"640,0"</f>
        <v>640,0</v>
      </c>
      <c r="T33" s="12" t="str">
        <f>"429,3760"</f>
        <v>429,3760</v>
      </c>
      <c r="U33" s="11"/>
    </row>
    <row r="34" spans="1:21">
      <c r="A34" s="12" t="s">
        <v>354</v>
      </c>
      <c r="B34" s="11" t="s">
        <v>584</v>
      </c>
      <c r="C34" s="11" t="s">
        <v>585</v>
      </c>
      <c r="D34" s="11" t="s">
        <v>551</v>
      </c>
      <c r="E34" s="11" t="s">
        <v>2690</v>
      </c>
      <c r="F34" s="11" t="s">
        <v>586</v>
      </c>
      <c r="G34" s="24" t="s">
        <v>195</v>
      </c>
      <c r="H34" s="24" t="s">
        <v>77</v>
      </c>
      <c r="I34" s="25" t="s">
        <v>78</v>
      </c>
      <c r="J34" s="12"/>
      <c r="K34" s="24" t="s">
        <v>154</v>
      </c>
      <c r="L34" s="24" t="s">
        <v>52</v>
      </c>
      <c r="M34" s="24" t="s">
        <v>46</v>
      </c>
      <c r="N34" s="12"/>
      <c r="O34" s="24" t="s">
        <v>100</v>
      </c>
      <c r="P34" s="24" t="s">
        <v>87</v>
      </c>
      <c r="Q34" s="24" t="s">
        <v>583</v>
      </c>
      <c r="R34" s="12"/>
      <c r="S34" s="31" t="str">
        <f>"630,0"</f>
        <v>630,0</v>
      </c>
      <c r="T34" s="12" t="str">
        <f>"425,8170"</f>
        <v>425,8170</v>
      </c>
      <c r="U34" s="11" t="s">
        <v>587</v>
      </c>
    </row>
    <row r="35" spans="1:21">
      <c r="A35" s="12" t="s">
        <v>355</v>
      </c>
      <c r="B35" s="11" t="s">
        <v>588</v>
      </c>
      <c r="C35" s="11" t="s">
        <v>589</v>
      </c>
      <c r="D35" s="11" t="s">
        <v>590</v>
      </c>
      <c r="E35" s="11" t="s">
        <v>2690</v>
      </c>
      <c r="F35" s="11" t="s">
        <v>591</v>
      </c>
      <c r="G35" s="25" t="s">
        <v>33</v>
      </c>
      <c r="H35" s="25" t="s">
        <v>33</v>
      </c>
      <c r="I35" s="24" t="s">
        <v>33</v>
      </c>
      <c r="J35" s="12"/>
      <c r="K35" s="24" t="s">
        <v>45</v>
      </c>
      <c r="L35" s="24" t="s">
        <v>52</v>
      </c>
      <c r="M35" s="25" t="s">
        <v>47</v>
      </c>
      <c r="N35" s="12"/>
      <c r="O35" s="24" t="s">
        <v>592</v>
      </c>
      <c r="P35" s="24" t="s">
        <v>85</v>
      </c>
      <c r="Q35" s="25" t="s">
        <v>475</v>
      </c>
      <c r="R35" s="12"/>
      <c r="S35" s="31" t="str">
        <f>"610,0"</f>
        <v>610,0</v>
      </c>
      <c r="T35" s="12" t="str">
        <f>"414,8000"</f>
        <v>414,8000</v>
      </c>
      <c r="U35" s="11" t="s">
        <v>173</v>
      </c>
    </row>
    <row r="36" spans="1:21">
      <c r="A36" s="14" t="s">
        <v>352</v>
      </c>
      <c r="B36" s="13" t="s">
        <v>593</v>
      </c>
      <c r="C36" s="13" t="s">
        <v>594</v>
      </c>
      <c r="D36" s="13" t="s">
        <v>573</v>
      </c>
      <c r="E36" s="11" t="s">
        <v>2690</v>
      </c>
      <c r="F36" s="13" t="s">
        <v>595</v>
      </c>
      <c r="G36" s="27" t="s">
        <v>116</v>
      </c>
      <c r="H36" s="27" t="s">
        <v>116</v>
      </c>
      <c r="I36" s="27" t="s">
        <v>116</v>
      </c>
      <c r="J36" s="14"/>
      <c r="K36" s="27"/>
      <c r="L36" s="14"/>
      <c r="M36" s="14"/>
      <c r="N36" s="14"/>
      <c r="O36" s="27"/>
      <c r="P36" s="14"/>
      <c r="Q36" s="14"/>
      <c r="R36" s="14"/>
      <c r="S36" s="30">
        <v>0</v>
      </c>
      <c r="T36" s="14" t="str">
        <f>"0,0000"</f>
        <v>0,0000</v>
      </c>
      <c r="U36" s="13" t="s">
        <v>403</v>
      </c>
    </row>
    <row r="37" spans="1:21">
      <c r="B37" s="5" t="s">
        <v>350</v>
      </c>
    </row>
    <row r="38" spans="1:21" ht="16">
      <c r="A38" s="82" t="s">
        <v>143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</row>
    <row r="39" spans="1:21">
      <c r="A39" s="10" t="s">
        <v>349</v>
      </c>
      <c r="B39" s="9" t="s">
        <v>596</v>
      </c>
      <c r="C39" s="9" t="s">
        <v>597</v>
      </c>
      <c r="D39" s="9" t="s">
        <v>598</v>
      </c>
      <c r="E39" s="9" t="s">
        <v>2689</v>
      </c>
      <c r="F39" s="9" t="s">
        <v>599</v>
      </c>
      <c r="G39" s="22" t="s">
        <v>78</v>
      </c>
      <c r="H39" s="22" t="s">
        <v>100</v>
      </c>
      <c r="I39" s="23" t="s">
        <v>87</v>
      </c>
      <c r="J39" s="10"/>
      <c r="K39" s="22" t="s">
        <v>52</v>
      </c>
      <c r="L39" s="22" t="s">
        <v>59</v>
      </c>
      <c r="M39" s="22" t="s">
        <v>166</v>
      </c>
      <c r="N39" s="10"/>
      <c r="O39" s="22" t="s">
        <v>87</v>
      </c>
      <c r="P39" s="22" t="s">
        <v>94</v>
      </c>
      <c r="Q39" s="22" t="s">
        <v>119</v>
      </c>
      <c r="R39" s="10"/>
      <c r="S39" s="29" t="str">
        <f>"680,0"</f>
        <v>680,0</v>
      </c>
      <c r="T39" s="10" t="str">
        <f>"442,2040"</f>
        <v>442,2040</v>
      </c>
      <c r="U39" s="9"/>
    </row>
    <row r="40" spans="1:21">
      <c r="A40" s="12" t="s">
        <v>349</v>
      </c>
      <c r="B40" s="11" t="s">
        <v>600</v>
      </c>
      <c r="C40" s="11" t="s">
        <v>601</v>
      </c>
      <c r="D40" s="11" t="s">
        <v>442</v>
      </c>
      <c r="E40" s="11" t="s">
        <v>2690</v>
      </c>
      <c r="F40" s="11" t="s">
        <v>602</v>
      </c>
      <c r="G40" s="24" t="s">
        <v>130</v>
      </c>
      <c r="H40" s="24" t="s">
        <v>119</v>
      </c>
      <c r="I40" s="25" t="s">
        <v>115</v>
      </c>
      <c r="J40" s="12"/>
      <c r="K40" s="24" t="s">
        <v>109</v>
      </c>
      <c r="L40" s="24" t="s">
        <v>60</v>
      </c>
      <c r="M40" s="24" t="s">
        <v>118</v>
      </c>
      <c r="N40" s="12"/>
      <c r="O40" s="24" t="s">
        <v>115</v>
      </c>
      <c r="P40" s="25" t="s">
        <v>603</v>
      </c>
      <c r="Q40" s="25" t="s">
        <v>193</v>
      </c>
      <c r="R40" s="12"/>
      <c r="S40" s="31" t="str">
        <f>"740,0"</f>
        <v>740,0</v>
      </c>
      <c r="T40" s="12" t="str">
        <f>"475,1540"</f>
        <v>475,1540</v>
      </c>
      <c r="U40" s="11"/>
    </row>
    <row r="41" spans="1:21">
      <c r="A41" s="12" t="s">
        <v>351</v>
      </c>
      <c r="B41" s="11" t="s">
        <v>604</v>
      </c>
      <c r="C41" s="11" t="s">
        <v>605</v>
      </c>
      <c r="D41" s="11" t="s">
        <v>153</v>
      </c>
      <c r="E41" s="11" t="s">
        <v>2690</v>
      </c>
      <c r="F41" s="11" t="s">
        <v>606</v>
      </c>
      <c r="G41" s="24" t="s">
        <v>100</v>
      </c>
      <c r="H41" s="24" t="s">
        <v>444</v>
      </c>
      <c r="I41" s="25" t="s">
        <v>583</v>
      </c>
      <c r="J41" s="12"/>
      <c r="K41" s="24" t="s">
        <v>166</v>
      </c>
      <c r="L41" s="24" t="s">
        <v>116</v>
      </c>
      <c r="M41" s="25" t="s">
        <v>128</v>
      </c>
      <c r="N41" s="12"/>
      <c r="O41" s="24" t="s">
        <v>126</v>
      </c>
      <c r="P41" s="24" t="s">
        <v>120</v>
      </c>
      <c r="Q41" s="25" t="s">
        <v>292</v>
      </c>
      <c r="R41" s="12"/>
      <c r="S41" s="31" t="str">
        <f>"712,5"</f>
        <v>712,5</v>
      </c>
      <c r="T41" s="12" t="str">
        <f>"457,7100"</f>
        <v>457,7100</v>
      </c>
      <c r="U41" s="11"/>
    </row>
    <row r="42" spans="1:21">
      <c r="A42" s="12" t="s">
        <v>353</v>
      </c>
      <c r="B42" s="11" t="s">
        <v>607</v>
      </c>
      <c r="C42" s="11" t="s">
        <v>608</v>
      </c>
      <c r="D42" s="11" t="s">
        <v>609</v>
      </c>
      <c r="E42" s="11" t="s">
        <v>2690</v>
      </c>
      <c r="F42" s="11" t="s">
        <v>610</v>
      </c>
      <c r="G42" s="24" t="s">
        <v>611</v>
      </c>
      <c r="H42" s="24" t="s">
        <v>270</v>
      </c>
      <c r="I42" s="25" t="s">
        <v>475</v>
      </c>
      <c r="J42" s="12"/>
      <c r="K42" s="24" t="s">
        <v>226</v>
      </c>
      <c r="L42" s="24" t="s">
        <v>148</v>
      </c>
      <c r="M42" s="24" t="s">
        <v>109</v>
      </c>
      <c r="N42" s="12"/>
      <c r="O42" s="24" t="s">
        <v>85</v>
      </c>
      <c r="P42" s="24" t="s">
        <v>86</v>
      </c>
      <c r="Q42" s="12"/>
      <c r="R42" s="12"/>
      <c r="S42" s="31" t="str">
        <f>"652,5"</f>
        <v>652,5</v>
      </c>
      <c r="T42" s="12" t="str">
        <f>"423,0157"</f>
        <v>423,0157</v>
      </c>
      <c r="U42" s="11" t="s">
        <v>612</v>
      </c>
    </row>
    <row r="43" spans="1:21">
      <c r="A43" s="12" t="s">
        <v>354</v>
      </c>
      <c r="B43" s="11" t="s">
        <v>613</v>
      </c>
      <c r="C43" s="11" t="s">
        <v>614</v>
      </c>
      <c r="D43" s="11" t="s">
        <v>615</v>
      </c>
      <c r="E43" s="11" t="s">
        <v>2690</v>
      </c>
      <c r="F43" s="11" t="s">
        <v>363</v>
      </c>
      <c r="G43" s="24" t="s">
        <v>38</v>
      </c>
      <c r="H43" s="24" t="s">
        <v>32</v>
      </c>
      <c r="I43" s="24" t="s">
        <v>592</v>
      </c>
      <c r="J43" s="12"/>
      <c r="K43" s="24" t="s">
        <v>52</v>
      </c>
      <c r="L43" s="24" t="s">
        <v>59</v>
      </c>
      <c r="M43" s="25" t="s">
        <v>166</v>
      </c>
      <c r="N43" s="12"/>
      <c r="O43" s="24" t="s">
        <v>38</v>
      </c>
      <c r="P43" s="24" t="s">
        <v>77</v>
      </c>
      <c r="Q43" s="24" t="s">
        <v>85</v>
      </c>
      <c r="R43" s="12"/>
      <c r="S43" s="31" t="str">
        <f>"622,5"</f>
        <v>622,5</v>
      </c>
      <c r="T43" s="12" t="str">
        <f>"399,0225"</f>
        <v>399,0225</v>
      </c>
      <c r="U43" s="11"/>
    </row>
    <row r="44" spans="1:21">
      <c r="A44" s="12" t="s">
        <v>355</v>
      </c>
      <c r="B44" s="11" t="s">
        <v>616</v>
      </c>
      <c r="C44" s="11" t="s">
        <v>617</v>
      </c>
      <c r="D44" s="11" t="s">
        <v>618</v>
      </c>
      <c r="E44" s="11" t="s">
        <v>2690</v>
      </c>
      <c r="F44" s="11" t="s">
        <v>76</v>
      </c>
      <c r="G44" s="25" t="s">
        <v>118</v>
      </c>
      <c r="H44" s="24" t="s">
        <v>284</v>
      </c>
      <c r="I44" s="25" t="s">
        <v>32</v>
      </c>
      <c r="J44" s="12"/>
      <c r="K44" s="24" t="s">
        <v>154</v>
      </c>
      <c r="L44" s="24" t="s">
        <v>52</v>
      </c>
      <c r="M44" s="25" t="s">
        <v>47</v>
      </c>
      <c r="N44" s="12"/>
      <c r="O44" s="24" t="s">
        <v>86</v>
      </c>
      <c r="P44" s="24" t="s">
        <v>94</v>
      </c>
      <c r="Q44" s="25" t="s">
        <v>114</v>
      </c>
      <c r="R44" s="12"/>
      <c r="S44" s="31" t="str">
        <f>"605,0"</f>
        <v>605,0</v>
      </c>
      <c r="T44" s="12" t="str">
        <f>"391,4955"</f>
        <v>391,4955</v>
      </c>
      <c r="U44" s="11" t="s">
        <v>619</v>
      </c>
    </row>
    <row r="45" spans="1:21">
      <c r="A45" s="12" t="s">
        <v>349</v>
      </c>
      <c r="B45" s="11" t="s">
        <v>620</v>
      </c>
      <c r="C45" s="11" t="s">
        <v>621</v>
      </c>
      <c r="D45" s="11" t="s">
        <v>622</v>
      </c>
      <c r="E45" s="11" t="s">
        <v>2693</v>
      </c>
      <c r="F45" s="11" t="s">
        <v>491</v>
      </c>
      <c r="G45" s="24" t="s">
        <v>60</v>
      </c>
      <c r="H45" s="24" t="s">
        <v>37</v>
      </c>
      <c r="I45" s="24" t="s">
        <v>284</v>
      </c>
      <c r="J45" s="12"/>
      <c r="K45" s="24" t="s">
        <v>154</v>
      </c>
      <c r="L45" s="25" t="s">
        <v>45</v>
      </c>
      <c r="M45" s="24" t="s">
        <v>45</v>
      </c>
      <c r="N45" s="12"/>
      <c r="O45" s="24" t="s">
        <v>78</v>
      </c>
      <c r="P45" s="24" t="s">
        <v>100</v>
      </c>
      <c r="Q45" s="24" t="s">
        <v>86</v>
      </c>
      <c r="R45" s="12"/>
      <c r="S45" s="31" t="str">
        <f>"585,0"</f>
        <v>585,0</v>
      </c>
      <c r="T45" s="12" t="str">
        <f>"407,3239"</f>
        <v>407,3239</v>
      </c>
      <c r="U45" s="11" t="s">
        <v>623</v>
      </c>
    </row>
    <row r="46" spans="1:21">
      <c r="A46" s="14" t="s">
        <v>349</v>
      </c>
      <c r="B46" s="13" t="s">
        <v>624</v>
      </c>
      <c r="C46" s="13" t="s">
        <v>625</v>
      </c>
      <c r="D46" s="13" t="s">
        <v>447</v>
      </c>
      <c r="E46" s="13" t="s">
        <v>2695</v>
      </c>
      <c r="F46" s="13" t="s">
        <v>626</v>
      </c>
      <c r="G46" s="26" t="s">
        <v>226</v>
      </c>
      <c r="H46" s="26" t="s">
        <v>127</v>
      </c>
      <c r="I46" s="26" t="s">
        <v>60</v>
      </c>
      <c r="J46" s="14"/>
      <c r="K46" s="26" t="s">
        <v>407</v>
      </c>
      <c r="L46" s="26" t="s">
        <v>466</v>
      </c>
      <c r="M46" s="26" t="s">
        <v>627</v>
      </c>
      <c r="N46" s="14"/>
      <c r="O46" s="26" t="s">
        <v>37</v>
      </c>
      <c r="P46" s="26" t="s">
        <v>31</v>
      </c>
      <c r="Q46" s="27" t="s">
        <v>39</v>
      </c>
      <c r="R46" s="14"/>
      <c r="S46" s="30" t="str">
        <f>"482,5"</f>
        <v>482,5</v>
      </c>
      <c r="T46" s="14" t="str">
        <f>"402,2658"</f>
        <v>402,2658</v>
      </c>
      <c r="U46" s="13" t="s">
        <v>628</v>
      </c>
    </row>
    <row r="47" spans="1:21">
      <c r="B47" s="5" t="s">
        <v>350</v>
      </c>
    </row>
    <row r="48" spans="1:21" ht="16">
      <c r="A48" s="82" t="s">
        <v>183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</row>
    <row r="49" spans="1:21">
      <c r="A49" s="10" t="s">
        <v>349</v>
      </c>
      <c r="B49" s="9" t="s">
        <v>629</v>
      </c>
      <c r="C49" s="9" t="s">
        <v>630</v>
      </c>
      <c r="D49" s="9" t="s">
        <v>225</v>
      </c>
      <c r="E49" s="9" t="s">
        <v>2689</v>
      </c>
      <c r="F49" s="9" t="s">
        <v>92</v>
      </c>
      <c r="G49" s="22" t="s">
        <v>120</v>
      </c>
      <c r="H49" s="23" t="s">
        <v>292</v>
      </c>
      <c r="I49" s="22" t="s">
        <v>292</v>
      </c>
      <c r="J49" s="10"/>
      <c r="K49" s="22" t="s">
        <v>37</v>
      </c>
      <c r="L49" s="23" t="s">
        <v>160</v>
      </c>
      <c r="M49" s="22" t="s">
        <v>160</v>
      </c>
      <c r="N49" s="10"/>
      <c r="O49" s="22" t="s">
        <v>211</v>
      </c>
      <c r="P49" s="22" t="s">
        <v>196</v>
      </c>
      <c r="Q49" s="23" t="s">
        <v>197</v>
      </c>
      <c r="R49" s="10"/>
      <c r="S49" s="29" t="str">
        <f>"822,5"</f>
        <v>822,5</v>
      </c>
      <c r="T49" s="10" t="str">
        <f>"503,8635"</f>
        <v>503,8635</v>
      </c>
      <c r="U49" s="9" t="s">
        <v>40</v>
      </c>
    </row>
    <row r="50" spans="1:21">
      <c r="A50" s="12" t="s">
        <v>351</v>
      </c>
      <c r="B50" s="11" t="s">
        <v>631</v>
      </c>
      <c r="C50" s="11" t="s">
        <v>632</v>
      </c>
      <c r="D50" s="11" t="s">
        <v>633</v>
      </c>
      <c r="E50" s="9" t="s">
        <v>2689</v>
      </c>
      <c r="F50" s="11" t="s">
        <v>92</v>
      </c>
      <c r="G50" s="24" t="s">
        <v>100</v>
      </c>
      <c r="H50" s="24" t="s">
        <v>129</v>
      </c>
      <c r="I50" s="25" t="s">
        <v>130</v>
      </c>
      <c r="J50" s="12"/>
      <c r="K50" s="24" t="s">
        <v>166</v>
      </c>
      <c r="L50" s="24" t="s">
        <v>127</v>
      </c>
      <c r="M50" s="24" t="s">
        <v>60</v>
      </c>
      <c r="N50" s="12"/>
      <c r="O50" s="24" t="s">
        <v>94</v>
      </c>
      <c r="P50" s="24" t="s">
        <v>115</v>
      </c>
      <c r="Q50" s="25" t="s">
        <v>193</v>
      </c>
      <c r="R50" s="12"/>
      <c r="S50" s="31" t="str">
        <f>"715,0"</f>
        <v>715,0</v>
      </c>
      <c r="T50" s="12" t="str">
        <f>"439,7250"</f>
        <v>439,7250</v>
      </c>
      <c r="U50" s="11" t="s">
        <v>40</v>
      </c>
    </row>
    <row r="51" spans="1:21">
      <c r="A51" s="12" t="s">
        <v>353</v>
      </c>
      <c r="B51" s="11" t="s">
        <v>634</v>
      </c>
      <c r="C51" s="11" t="s">
        <v>635</v>
      </c>
      <c r="D51" s="11" t="s">
        <v>636</v>
      </c>
      <c r="E51" s="9" t="s">
        <v>2689</v>
      </c>
      <c r="F51" s="11" t="s">
        <v>637</v>
      </c>
      <c r="G51" s="24" t="s">
        <v>39</v>
      </c>
      <c r="H51" s="24" t="s">
        <v>77</v>
      </c>
      <c r="I51" s="25" t="s">
        <v>78</v>
      </c>
      <c r="J51" s="12"/>
      <c r="K51" s="24" t="s">
        <v>59</v>
      </c>
      <c r="L51" s="24" t="s">
        <v>109</v>
      </c>
      <c r="M51" s="24" t="s">
        <v>127</v>
      </c>
      <c r="N51" s="12"/>
      <c r="O51" s="24" t="s">
        <v>100</v>
      </c>
      <c r="P51" s="24" t="s">
        <v>94</v>
      </c>
      <c r="Q51" s="24" t="s">
        <v>130</v>
      </c>
      <c r="R51" s="12"/>
      <c r="S51" s="31" t="str">
        <f>"657,5"</f>
        <v>657,5</v>
      </c>
      <c r="T51" s="12" t="str">
        <f>"418,5645"</f>
        <v>418,5645</v>
      </c>
      <c r="U51" s="11"/>
    </row>
    <row r="52" spans="1:21">
      <c r="A52" s="12" t="s">
        <v>352</v>
      </c>
      <c r="B52" s="11" t="s">
        <v>638</v>
      </c>
      <c r="C52" s="11" t="s">
        <v>639</v>
      </c>
      <c r="D52" s="11" t="s">
        <v>640</v>
      </c>
      <c r="E52" s="9" t="s">
        <v>2689</v>
      </c>
      <c r="F52" s="11" t="s">
        <v>641</v>
      </c>
      <c r="G52" s="25" t="s">
        <v>94</v>
      </c>
      <c r="H52" s="24" t="s">
        <v>94</v>
      </c>
      <c r="I52" s="25" t="s">
        <v>114</v>
      </c>
      <c r="J52" s="12"/>
      <c r="K52" s="25" t="s">
        <v>284</v>
      </c>
      <c r="L52" s="25" t="s">
        <v>284</v>
      </c>
      <c r="M52" s="25" t="s">
        <v>284</v>
      </c>
      <c r="N52" s="12"/>
      <c r="O52" s="25"/>
      <c r="P52" s="12"/>
      <c r="Q52" s="12"/>
      <c r="R52" s="12"/>
      <c r="S52" s="31">
        <v>0</v>
      </c>
      <c r="T52" s="12" t="str">
        <f>"0,0000"</f>
        <v>0,0000</v>
      </c>
      <c r="U52" s="11"/>
    </row>
    <row r="53" spans="1:21">
      <c r="A53" s="12" t="s">
        <v>352</v>
      </c>
      <c r="B53" s="11" t="s">
        <v>642</v>
      </c>
      <c r="C53" s="11" t="s">
        <v>643</v>
      </c>
      <c r="D53" s="11" t="s">
        <v>644</v>
      </c>
      <c r="E53" s="9" t="s">
        <v>2689</v>
      </c>
      <c r="F53" s="11" t="s">
        <v>595</v>
      </c>
      <c r="G53" s="25" t="s">
        <v>39</v>
      </c>
      <c r="H53" s="25" t="s">
        <v>32</v>
      </c>
      <c r="I53" s="25" t="s">
        <v>32</v>
      </c>
      <c r="J53" s="12"/>
      <c r="K53" s="25"/>
      <c r="L53" s="12"/>
      <c r="M53" s="12"/>
      <c r="N53" s="12"/>
      <c r="O53" s="25"/>
      <c r="P53" s="12"/>
      <c r="Q53" s="12"/>
      <c r="R53" s="12"/>
      <c r="S53" s="31">
        <v>0</v>
      </c>
      <c r="T53" s="12" t="str">
        <f>"0,0000"</f>
        <v>0,0000</v>
      </c>
      <c r="U53" s="11" t="s">
        <v>403</v>
      </c>
    </row>
    <row r="54" spans="1:21">
      <c r="A54" s="12" t="s">
        <v>349</v>
      </c>
      <c r="B54" s="11" t="s">
        <v>645</v>
      </c>
      <c r="C54" s="11" t="s">
        <v>646</v>
      </c>
      <c r="D54" s="11" t="s">
        <v>472</v>
      </c>
      <c r="E54" s="11" t="s">
        <v>2690</v>
      </c>
      <c r="F54" s="11" t="s">
        <v>586</v>
      </c>
      <c r="G54" s="24" t="s">
        <v>130</v>
      </c>
      <c r="H54" s="24" t="s">
        <v>120</v>
      </c>
      <c r="I54" s="24" t="s">
        <v>292</v>
      </c>
      <c r="J54" s="12"/>
      <c r="K54" s="25" t="s">
        <v>38</v>
      </c>
      <c r="L54" s="24" t="s">
        <v>38</v>
      </c>
      <c r="M54" s="12"/>
      <c r="N54" s="12"/>
      <c r="O54" s="24" t="s">
        <v>194</v>
      </c>
      <c r="P54" s="24" t="s">
        <v>514</v>
      </c>
      <c r="Q54" s="24" t="s">
        <v>647</v>
      </c>
      <c r="R54" s="12"/>
      <c r="S54" s="31" t="str">
        <f>"847,5"</f>
        <v>847,5</v>
      </c>
      <c r="T54" s="12" t="str">
        <f>"515,7885"</f>
        <v>515,7885</v>
      </c>
      <c r="U54" s="11"/>
    </row>
    <row r="55" spans="1:21">
      <c r="A55" s="12" t="s">
        <v>351</v>
      </c>
      <c r="B55" s="11" t="s">
        <v>648</v>
      </c>
      <c r="C55" s="11" t="s">
        <v>13</v>
      </c>
      <c r="D55" s="11" t="s">
        <v>225</v>
      </c>
      <c r="E55" s="11" t="s">
        <v>2690</v>
      </c>
      <c r="F55" s="11" t="s">
        <v>649</v>
      </c>
      <c r="G55" s="24" t="s">
        <v>171</v>
      </c>
      <c r="H55" s="24" t="s">
        <v>212</v>
      </c>
      <c r="I55" s="25" t="s">
        <v>203</v>
      </c>
      <c r="J55" s="12"/>
      <c r="K55" s="24" t="s">
        <v>284</v>
      </c>
      <c r="L55" s="24" t="s">
        <v>38</v>
      </c>
      <c r="M55" s="25" t="s">
        <v>31</v>
      </c>
      <c r="N55" s="12"/>
      <c r="O55" s="24" t="s">
        <v>171</v>
      </c>
      <c r="P55" s="24" t="s">
        <v>194</v>
      </c>
      <c r="Q55" s="24" t="s">
        <v>650</v>
      </c>
      <c r="R55" s="12"/>
      <c r="S55" s="31" t="str">
        <f>"835,0"</f>
        <v>835,0</v>
      </c>
      <c r="T55" s="12" t="str">
        <f>"511,5210"</f>
        <v>511,5210</v>
      </c>
      <c r="U55" s="11" t="s">
        <v>651</v>
      </c>
    </row>
    <row r="56" spans="1:21">
      <c r="A56" s="12" t="s">
        <v>353</v>
      </c>
      <c r="B56" s="11" t="s">
        <v>652</v>
      </c>
      <c r="C56" s="11" t="s">
        <v>653</v>
      </c>
      <c r="D56" s="11" t="s">
        <v>225</v>
      </c>
      <c r="E56" s="11" t="s">
        <v>2690</v>
      </c>
      <c r="F56" s="11" t="s">
        <v>491</v>
      </c>
      <c r="G56" s="24" t="s">
        <v>115</v>
      </c>
      <c r="H56" s="25" t="s">
        <v>209</v>
      </c>
      <c r="I56" s="12"/>
      <c r="J56" s="12"/>
      <c r="K56" s="24" t="s">
        <v>37</v>
      </c>
      <c r="L56" s="24" t="s">
        <v>38</v>
      </c>
      <c r="M56" s="24" t="s">
        <v>39</v>
      </c>
      <c r="N56" s="12"/>
      <c r="O56" s="24" t="s">
        <v>209</v>
      </c>
      <c r="P56" s="25" t="s">
        <v>211</v>
      </c>
      <c r="Q56" s="12"/>
      <c r="R56" s="12"/>
      <c r="S56" s="31" t="str">
        <f>"780,0"</f>
        <v>780,0</v>
      </c>
      <c r="T56" s="12" t="str">
        <f>"477,8280"</f>
        <v>477,8280</v>
      </c>
      <c r="U56" s="11" t="s">
        <v>575</v>
      </c>
    </row>
    <row r="57" spans="1:21">
      <c r="A57" s="12" t="s">
        <v>354</v>
      </c>
      <c r="B57" s="11" t="s">
        <v>654</v>
      </c>
      <c r="C57" s="11" t="s">
        <v>655</v>
      </c>
      <c r="D57" s="11" t="s">
        <v>656</v>
      </c>
      <c r="E57" s="11" t="s">
        <v>2690</v>
      </c>
      <c r="F57" s="11" t="s">
        <v>363</v>
      </c>
      <c r="G57" s="24" t="s">
        <v>126</v>
      </c>
      <c r="H57" s="24" t="s">
        <v>115</v>
      </c>
      <c r="I57" s="25" t="s">
        <v>120</v>
      </c>
      <c r="J57" s="12"/>
      <c r="K57" s="24" t="s">
        <v>37</v>
      </c>
      <c r="L57" s="25" t="s">
        <v>38</v>
      </c>
      <c r="M57" s="25" t="s">
        <v>38</v>
      </c>
      <c r="N57" s="12"/>
      <c r="O57" s="24" t="s">
        <v>115</v>
      </c>
      <c r="P57" s="24" t="s">
        <v>292</v>
      </c>
      <c r="Q57" s="25" t="s">
        <v>171</v>
      </c>
      <c r="R57" s="12"/>
      <c r="S57" s="31" t="str">
        <f>"765,0"</f>
        <v>765,0</v>
      </c>
      <c r="T57" s="12" t="str">
        <f>"466,1145"</f>
        <v>466,1145</v>
      </c>
      <c r="U57" s="11" t="s">
        <v>657</v>
      </c>
    </row>
    <row r="58" spans="1:21">
      <c r="A58" s="12" t="s">
        <v>355</v>
      </c>
      <c r="B58" s="11" t="s">
        <v>658</v>
      </c>
      <c r="C58" s="11" t="s">
        <v>659</v>
      </c>
      <c r="D58" s="11" t="s">
        <v>215</v>
      </c>
      <c r="E58" s="11" t="s">
        <v>2690</v>
      </c>
      <c r="F58" s="11" t="s">
        <v>135</v>
      </c>
      <c r="G58" s="24" t="s">
        <v>86</v>
      </c>
      <c r="H58" s="24" t="s">
        <v>129</v>
      </c>
      <c r="I58" s="24" t="s">
        <v>94</v>
      </c>
      <c r="J58" s="12"/>
      <c r="K58" s="24" t="s">
        <v>59</v>
      </c>
      <c r="L58" s="24" t="s">
        <v>166</v>
      </c>
      <c r="M58" s="25" t="s">
        <v>148</v>
      </c>
      <c r="N58" s="12"/>
      <c r="O58" s="24" t="s">
        <v>603</v>
      </c>
      <c r="P58" s="25" t="s">
        <v>212</v>
      </c>
      <c r="Q58" s="25" t="s">
        <v>212</v>
      </c>
      <c r="R58" s="12"/>
      <c r="S58" s="31" t="str">
        <f>"722,5"</f>
        <v>722,5</v>
      </c>
      <c r="T58" s="12" t="str">
        <f>"440,5805"</f>
        <v>440,5805</v>
      </c>
      <c r="U58" s="11" t="s">
        <v>660</v>
      </c>
    </row>
    <row r="59" spans="1:21">
      <c r="A59" s="12" t="s">
        <v>356</v>
      </c>
      <c r="B59" s="11" t="s">
        <v>661</v>
      </c>
      <c r="C59" s="11" t="s">
        <v>662</v>
      </c>
      <c r="D59" s="11" t="s">
        <v>663</v>
      </c>
      <c r="E59" s="11" t="s">
        <v>2690</v>
      </c>
      <c r="F59" s="11" t="s">
        <v>76</v>
      </c>
      <c r="G59" s="25" t="s">
        <v>87</v>
      </c>
      <c r="H59" s="24" t="s">
        <v>87</v>
      </c>
      <c r="I59" s="24" t="s">
        <v>126</v>
      </c>
      <c r="J59" s="12"/>
      <c r="K59" s="24" t="s">
        <v>118</v>
      </c>
      <c r="L59" s="25" t="s">
        <v>284</v>
      </c>
      <c r="M59" s="12"/>
      <c r="N59" s="12"/>
      <c r="O59" s="24" t="s">
        <v>100</v>
      </c>
      <c r="P59" s="24" t="s">
        <v>129</v>
      </c>
      <c r="Q59" s="12"/>
      <c r="R59" s="12"/>
      <c r="S59" s="31" t="str">
        <f>"710,0"</f>
        <v>710,0</v>
      </c>
      <c r="T59" s="12" t="str">
        <f>"442,0460"</f>
        <v>442,0460</v>
      </c>
      <c r="U59" s="11" t="s">
        <v>664</v>
      </c>
    </row>
    <row r="60" spans="1:21">
      <c r="A60" s="12" t="s">
        <v>357</v>
      </c>
      <c r="B60" s="11" t="s">
        <v>665</v>
      </c>
      <c r="C60" s="11" t="s">
        <v>666</v>
      </c>
      <c r="D60" s="11" t="s">
        <v>215</v>
      </c>
      <c r="E60" s="11" t="s">
        <v>2690</v>
      </c>
      <c r="F60" s="11" t="s">
        <v>667</v>
      </c>
      <c r="G60" s="24" t="s">
        <v>86</v>
      </c>
      <c r="H60" s="25" t="s">
        <v>94</v>
      </c>
      <c r="I60" s="25" t="s">
        <v>94</v>
      </c>
      <c r="J60" s="12"/>
      <c r="K60" s="24" t="s">
        <v>60</v>
      </c>
      <c r="L60" s="24" t="s">
        <v>118</v>
      </c>
      <c r="M60" s="25" t="s">
        <v>37</v>
      </c>
      <c r="N60" s="12"/>
      <c r="O60" s="24" t="s">
        <v>94</v>
      </c>
      <c r="P60" s="25" t="s">
        <v>126</v>
      </c>
      <c r="Q60" s="25" t="s">
        <v>126</v>
      </c>
      <c r="R60" s="12"/>
      <c r="S60" s="31" t="str">
        <f>"690,0"</f>
        <v>690,0</v>
      </c>
      <c r="T60" s="12" t="str">
        <f>"420,7620"</f>
        <v>420,7620</v>
      </c>
      <c r="U60" s="11"/>
    </row>
    <row r="61" spans="1:21">
      <c r="A61" s="12" t="s">
        <v>358</v>
      </c>
      <c r="B61" s="11" t="s">
        <v>668</v>
      </c>
      <c r="C61" s="11" t="s">
        <v>669</v>
      </c>
      <c r="D61" s="11" t="s">
        <v>237</v>
      </c>
      <c r="E61" s="11" t="s">
        <v>2690</v>
      </c>
      <c r="F61" s="11" t="s">
        <v>670</v>
      </c>
      <c r="G61" s="24" t="s">
        <v>32</v>
      </c>
      <c r="H61" s="24" t="s">
        <v>33</v>
      </c>
      <c r="I61" s="25" t="s">
        <v>483</v>
      </c>
      <c r="J61" s="12"/>
      <c r="K61" s="24" t="s">
        <v>166</v>
      </c>
      <c r="L61" s="24" t="s">
        <v>127</v>
      </c>
      <c r="M61" s="24" t="s">
        <v>128</v>
      </c>
      <c r="N61" s="12"/>
      <c r="O61" s="24" t="s">
        <v>100</v>
      </c>
      <c r="P61" s="24" t="s">
        <v>444</v>
      </c>
      <c r="Q61" s="24" t="s">
        <v>94</v>
      </c>
      <c r="R61" s="12"/>
      <c r="S61" s="31" t="str">
        <f>"662,5"</f>
        <v>662,5</v>
      </c>
      <c r="T61" s="12" t="str">
        <f>"405,3175"</f>
        <v>405,3175</v>
      </c>
      <c r="U61" s="11" t="s">
        <v>587</v>
      </c>
    </row>
    <row r="62" spans="1:21">
      <c r="A62" s="12" t="s">
        <v>761</v>
      </c>
      <c r="B62" s="11" t="s">
        <v>671</v>
      </c>
      <c r="C62" s="11" t="s">
        <v>672</v>
      </c>
      <c r="D62" s="11" t="s">
        <v>673</v>
      </c>
      <c r="E62" s="11" t="s">
        <v>2690</v>
      </c>
      <c r="F62" s="11" t="s">
        <v>674</v>
      </c>
      <c r="G62" s="24" t="s">
        <v>33</v>
      </c>
      <c r="H62" s="24" t="s">
        <v>100</v>
      </c>
      <c r="I62" s="24" t="s">
        <v>86</v>
      </c>
      <c r="J62" s="12"/>
      <c r="K62" s="24" t="s">
        <v>675</v>
      </c>
      <c r="L62" s="24" t="s">
        <v>47</v>
      </c>
      <c r="M62" s="25" t="s">
        <v>59</v>
      </c>
      <c r="N62" s="12"/>
      <c r="O62" s="24" t="s">
        <v>77</v>
      </c>
      <c r="P62" s="24" t="s">
        <v>33</v>
      </c>
      <c r="Q62" s="24" t="s">
        <v>78</v>
      </c>
      <c r="R62" s="12"/>
      <c r="S62" s="31" t="str">
        <f>"630,0"</f>
        <v>630,0</v>
      </c>
      <c r="T62" s="12" t="str">
        <f>"387,9540"</f>
        <v>387,9540</v>
      </c>
      <c r="U62" s="11" t="s">
        <v>173</v>
      </c>
    </row>
    <row r="63" spans="1:21">
      <c r="A63" s="12" t="s">
        <v>762</v>
      </c>
      <c r="B63" s="11" t="s">
        <v>676</v>
      </c>
      <c r="C63" s="11" t="s">
        <v>677</v>
      </c>
      <c r="D63" s="11" t="s">
        <v>678</v>
      </c>
      <c r="E63" s="11" t="s">
        <v>2690</v>
      </c>
      <c r="F63" s="11" t="s">
        <v>679</v>
      </c>
      <c r="G63" s="24" t="s">
        <v>31</v>
      </c>
      <c r="H63" s="25" t="s">
        <v>32</v>
      </c>
      <c r="I63" s="25" t="s">
        <v>32</v>
      </c>
      <c r="J63" s="12"/>
      <c r="K63" s="25" t="s">
        <v>59</v>
      </c>
      <c r="L63" s="24" t="s">
        <v>59</v>
      </c>
      <c r="M63" s="25" t="s">
        <v>148</v>
      </c>
      <c r="N63" s="12"/>
      <c r="O63" s="25" t="s">
        <v>78</v>
      </c>
      <c r="P63" s="24" t="s">
        <v>78</v>
      </c>
      <c r="Q63" s="24" t="s">
        <v>129</v>
      </c>
      <c r="R63" s="12"/>
      <c r="S63" s="31" t="str">
        <f>"620,0"</f>
        <v>620,0</v>
      </c>
      <c r="T63" s="12" t="str">
        <f>"386,1980"</f>
        <v>386,1980</v>
      </c>
      <c r="U63" s="11" t="s">
        <v>587</v>
      </c>
    </row>
    <row r="64" spans="1:21">
      <c r="A64" s="12" t="s">
        <v>352</v>
      </c>
      <c r="B64" s="11" t="s">
        <v>680</v>
      </c>
      <c r="C64" s="11" t="s">
        <v>681</v>
      </c>
      <c r="D64" s="11" t="s">
        <v>682</v>
      </c>
      <c r="E64" s="11" t="s">
        <v>2690</v>
      </c>
      <c r="F64" s="11" t="s">
        <v>221</v>
      </c>
      <c r="G64" s="25" t="s">
        <v>94</v>
      </c>
      <c r="H64" s="25" t="s">
        <v>94</v>
      </c>
      <c r="I64" s="25" t="s">
        <v>94</v>
      </c>
      <c r="J64" s="12"/>
      <c r="K64" s="25" t="s">
        <v>47</v>
      </c>
      <c r="L64" s="12"/>
      <c r="M64" s="12"/>
      <c r="N64" s="12"/>
      <c r="O64" s="25" t="s">
        <v>120</v>
      </c>
      <c r="P64" s="12"/>
      <c r="Q64" s="12"/>
      <c r="R64" s="12"/>
      <c r="S64" s="31" t="s">
        <v>2598</v>
      </c>
      <c r="T64" s="12" t="str">
        <f>"0,0000"</f>
        <v>0,0000</v>
      </c>
      <c r="U64" s="11"/>
    </row>
    <row r="65" spans="1:21">
      <c r="A65" s="12" t="s">
        <v>352</v>
      </c>
      <c r="B65" s="11" t="s">
        <v>683</v>
      </c>
      <c r="C65" s="11" t="s">
        <v>684</v>
      </c>
      <c r="D65" s="11" t="s">
        <v>685</v>
      </c>
      <c r="E65" s="11" t="s">
        <v>2693</v>
      </c>
      <c r="F65" s="11" t="s">
        <v>187</v>
      </c>
      <c r="G65" s="24" t="s">
        <v>78</v>
      </c>
      <c r="H65" s="25" t="s">
        <v>100</v>
      </c>
      <c r="I65" s="25" t="s">
        <v>100</v>
      </c>
      <c r="J65" s="12"/>
      <c r="K65" s="25" t="s">
        <v>154</v>
      </c>
      <c r="L65" s="25" t="s">
        <v>154</v>
      </c>
      <c r="M65" s="25" t="s">
        <v>154</v>
      </c>
      <c r="N65" s="12"/>
      <c r="O65" s="25" t="s">
        <v>78</v>
      </c>
      <c r="P65" s="12"/>
      <c r="Q65" s="12"/>
      <c r="R65" s="12"/>
      <c r="S65" s="31">
        <v>0</v>
      </c>
      <c r="T65" s="12" t="str">
        <f>"0,0000"</f>
        <v>0,0000</v>
      </c>
      <c r="U65" s="11"/>
    </row>
    <row r="66" spans="1:21">
      <c r="A66" s="14" t="s">
        <v>349</v>
      </c>
      <c r="B66" s="13" t="s">
        <v>686</v>
      </c>
      <c r="C66" s="13" t="s">
        <v>687</v>
      </c>
      <c r="D66" s="13" t="s">
        <v>688</v>
      </c>
      <c r="E66" s="13" t="s">
        <v>2694</v>
      </c>
      <c r="F66" s="13" t="s">
        <v>689</v>
      </c>
      <c r="G66" s="26" t="s">
        <v>51</v>
      </c>
      <c r="H66" s="27" t="s">
        <v>52</v>
      </c>
      <c r="I66" s="26" t="s">
        <v>52</v>
      </c>
      <c r="J66" s="14"/>
      <c r="K66" s="26" t="s">
        <v>188</v>
      </c>
      <c r="L66" s="26" t="s">
        <v>83</v>
      </c>
      <c r="M66" s="26" t="s">
        <v>67</v>
      </c>
      <c r="N66" s="14"/>
      <c r="O66" s="26" t="s">
        <v>59</v>
      </c>
      <c r="P66" s="26" t="s">
        <v>60</v>
      </c>
      <c r="Q66" s="26" t="s">
        <v>38</v>
      </c>
      <c r="R66" s="14"/>
      <c r="S66" s="30" t="str">
        <f>"465,0"</f>
        <v>465,0</v>
      </c>
      <c r="T66" s="14" t="str">
        <f>"429,2010"</f>
        <v>429,2010</v>
      </c>
      <c r="U66" s="13"/>
    </row>
    <row r="67" spans="1:21">
      <c r="B67" s="5" t="s">
        <v>350</v>
      </c>
    </row>
    <row r="68" spans="1:21" ht="16">
      <c r="A68" s="82" t="s">
        <v>244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</row>
    <row r="69" spans="1:21">
      <c r="A69" s="10" t="s">
        <v>349</v>
      </c>
      <c r="B69" s="9" t="s">
        <v>690</v>
      </c>
      <c r="C69" s="9" t="s">
        <v>691</v>
      </c>
      <c r="D69" s="9" t="s">
        <v>692</v>
      </c>
      <c r="E69" s="9" t="s">
        <v>2689</v>
      </c>
      <c r="F69" s="9" t="s">
        <v>221</v>
      </c>
      <c r="G69" s="22" t="s">
        <v>94</v>
      </c>
      <c r="H69" s="22" t="s">
        <v>115</v>
      </c>
      <c r="I69" s="23" t="s">
        <v>209</v>
      </c>
      <c r="J69" s="10"/>
      <c r="K69" s="22" t="s">
        <v>109</v>
      </c>
      <c r="L69" s="22" t="s">
        <v>60</v>
      </c>
      <c r="M69" s="23" t="s">
        <v>37</v>
      </c>
      <c r="N69" s="10"/>
      <c r="O69" s="22" t="s">
        <v>209</v>
      </c>
      <c r="P69" s="23" t="s">
        <v>211</v>
      </c>
      <c r="Q69" s="23" t="s">
        <v>211</v>
      </c>
      <c r="R69" s="10"/>
      <c r="S69" s="29" t="str">
        <f>"750,0"</f>
        <v>750,0</v>
      </c>
      <c r="T69" s="10" t="str">
        <f>"442,5000"</f>
        <v>442,5000</v>
      </c>
      <c r="U69" s="9" t="s">
        <v>985</v>
      </c>
    </row>
    <row r="70" spans="1:21">
      <c r="A70" s="12" t="s">
        <v>349</v>
      </c>
      <c r="B70" s="11" t="s">
        <v>693</v>
      </c>
      <c r="C70" s="11" t="s">
        <v>694</v>
      </c>
      <c r="D70" s="11" t="s">
        <v>695</v>
      </c>
      <c r="E70" s="11" t="s">
        <v>2690</v>
      </c>
      <c r="F70" s="11" t="s">
        <v>243</v>
      </c>
      <c r="G70" s="24" t="s">
        <v>193</v>
      </c>
      <c r="H70" s="24" t="s">
        <v>212</v>
      </c>
      <c r="I70" s="24" t="s">
        <v>172</v>
      </c>
      <c r="J70" s="12"/>
      <c r="K70" s="24" t="s">
        <v>39</v>
      </c>
      <c r="L70" s="24" t="s">
        <v>696</v>
      </c>
      <c r="M70" s="25" t="s">
        <v>33</v>
      </c>
      <c r="N70" s="12"/>
      <c r="O70" s="24" t="s">
        <v>196</v>
      </c>
      <c r="P70" s="24" t="s">
        <v>197</v>
      </c>
      <c r="Q70" s="12"/>
      <c r="R70" s="12"/>
      <c r="S70" s="31" t="str">
        <f>"877,5"</f>
        <v>877,5</v>
      </c>
      <c r="T70" s="12" t="str">
        <f>"517,1107"</f>
        <v>517,1107</v>
      </c>
      <c r="U70" s="11" t="s">
        <v>697</v>
      </c>
    </row>
    <row r="71" spans="1:21">
      <c r="A71" s="12" t="s">
        <v>351</v>
      </c>
      <c r="B71" s="11" t="s">
        <v>698</v>
      </c>
      <c r="C71" s="11" t="s">
        <v>699</v>
      </c>
      <c r="D71" s="11" t="s">
        <v>700</v>
      </c>
      <c r="E71" s="11" t="s">
        <v>2690</v>
      </c>
      <c r="F71" s="11" t="s">
        <v>701</v>
      </c>
      <c r="G71" s="24" t="s">
        <v>292</v>
      </c>
      <c r="H71" s="24" t="s">
        <v>202</v>
      </c>
      <c r="I71" s="25" t="s">
        <v>194</v>
      </c>
      <c r="J71" s="12"/>
      <c r="K71" s="24" t="s">
        <v>118</v>
      </c>
      <c r="L71" s="24" t="s">
        <v>284</v>
      </c>
      <c r="M71" s="24" t="s">
        <v>38</v>
      </c>
      <c r="N71" s="12"/>
      <c r="O71" s="24" t="s">
        <v>194</v>
      </c>
      <c r="P71" s="24" t="s">
        <v>196</v>
      </c>
      <c r="Q71" s="25" t="s">
        <v>493</v>
      </c>
      <c r="R71" s="12"/>
      <c r="S71" s="31" t="str">
        <f>"837,5"</f>
        <v>837,5</v>
      </c>
      <c r="T71" s="12" t="str">
        <f>"493,4550"</f>
        <v>493,4550</v>
      </c>
      <c r="U71" s="11" t="s">
        <v>40</v>
      </c>
    </row>
    <row r="72" spans="1:21">
      <c r="A72" s="12" t="s">
        <v>353</v>
      </c>
      <c r="B72" s="11" t="s">
        <v>702</v>
      </c>
      <c r="C72" s="11" t="s">
        <v>703</v>
      </c>
      <c r="D72" s="11" t="s">
        <v>704</v>
      </c>
      <c r="E72" s="11" t="s">
        <v>2690</v>
      </c>
      <c r="F72" s="11" t="s">
        <v>221</v>
      </c>
      <c r="G72" s="24" t="s">
        <v>209</v>
      </c>
      <c r="H72" s="25" t="s">
        <v>171</v>
      </c>
      <c r="I72" s="25" t="s">
        <v>171</v>
      </c>
      <c r="J72" s="12"/>
      <c r="K72" s="24" t="s">
        <v>32</v>
      </c>
      <c r="L72" s="25" t="s">
        <v>77</v>
      </c>
      <c r="M72" s="25" t="s">
        <v>77</v>
      </c>
      <c r="N72" s="12"/>
      <c r="O72" s="24" t="s">
        <v>115</v>
      </c>
      <c r="P72" s="24" t="s">
        <v>209</v>
      </c>
      <c r="Q72" s="25" t="s">
        <v>193</v>
      </c>
      <c r="R72" s="12"/>
      <c r="S72" s="31" t="str">
        <f>"795,0"</f>
        <v>795,0</v>
      </c>
      <c r="T72" s="12" t="str">
        <f>"469,2090"</f>
        <v>469,2090</v>
      </c>
      <c r="U72" s="11" t="s">
        <v>705</v>
      </c>
    </row>
    <row r="73" spans="1:21">
      <c r="A73" s="12" t="s">
        <v>354</v>
      </c>
      <c r="B73" s="11" t="s">
        <v>706</v>
      </c>
      <c r="C73" s="11" t="s">
        <v>707</v>
      </c>
      <c r="D73" s="11" t="s">
        <v>708</v>
      </c>
      <c r="E73" s="11" t="s">
        <v>2690</v>
      </c>
      <c r="F73" s="11" t="s">
        <v>92</v>
      </c>
      <c r="G73" s="24" t="s">
        <v>33</v>
      </c>
      <c r="H73" s="24" t="s">
        <v>100</v>
      </c>
      <c r="I73" s="24" t="s">
        <v>87</v>
      </c>
      <c r="J73" s="12"/>
      <c r="K73" s="24" t="s">
        <v>60</v>
      </c>
      <c r="L73" s="24" t="s">
        <v>159</v>
      </c>
      <c r="M73" s="25" t="s">
        <v>31</v>
      </c>
      <c r="N73" s="12"/>
      <c r="O73" s="24" t="s">
        <v>78</v>
      </c>
      <c r="P73" s="24" t="s">
        <v>87</v>
      </c>
      <c r="Q73" s="25" t="s">
        <v>114</v>
      </c>
      <c r="R73" s="12"/>
      <c r="S73" s="31" t="str">
        <f>"692,5"</f>
        <v>692,5</v>
      </c>
      <c r="T73" s="12" t="str">
        <f>"409,4060"</f>
        <v>409,4060</v>
      </c>
      <c r="U73" s="11" t="s">
        <v>557</v>
      </c>
    </row>
    <row r="74" spans="1:21">
      <c r="A74" s="12" t="s">
        <v>349</v>
      </c>
      <c r="B74" s="11" t="s">
        <v>712</v>
      </c>
      <c r="C74" s="11" t="s">
        <v>713</v>
      </c>
      <c r="D74" s="11" t="s">
        <v>714</v>
      </c>
      <c r="E74" s="11" t="s">
        <v>2693</v>
      </c>
      <c r="F74" s="11" t="s">
        <v>715</v>
      </c>
      <c r="G74" s="25" t="s">
        <v>78</v>
      </c>
      <c r="H74" s="24" t="s">
        <v>78</v>
      </c>
      <c r="I74" s="24" t="s">
        <v>100</v>
      </c>
      <c r="J74" s="12"/>
      <c r="K74" s="24" t="s">
        <v>37</v>
      </c>
      <c r="L74" s="25" t="s">
        <v>284</v>
      </c>
      <c r="M74" s="25" t="s">
        <v>284</v>
      </c>
      <c r="N74" s="12"/>
      <c r="O74" s="24" t="s">
        <v>100</v>
      </c>
      <c r="P74" s="12"/>
      <c r="Q74" s="12"/>
      <c r="R74" s="12"/>
      <c r="S74" s="31" t="str">
        <f>"670,0"</f>
        <v>670,0</v>
      </c>
      <c r="T74" s="12" t="str">
        <f>"420,4574"</f>
        <v>420,4574</v>
      </c>
      <c r="U74" s="11"/>
    </row>
    <row r="75" spans="1:21">
      <c r="A75" s="14" t="s">
        <v>351</v>
      </c>
      <c r="B75" s="13" t="s">
        <v>716</v>
      </c>
      <c r="C75" s="13" t="s">
        <v>717</v>
      </c>
      <c r="D75" s="13" t="s">
        <v>718</v>
      </c>
      <c r="E75" s="13" t="s">
        <v>2693</v>
      </c>
      <c r="F75" s="13" t="s">
        <v>187</v>
      </c>
      <c r="G75" s="26" t="s">
        <v>32</v>
      </c>
      <c r="H75" s="26" t="s">
        <v>611</v>
      </c>
      <c r="I75" s="26" t="s">
        <v>78</v>
      </c>
      <c r="J75" s="14"/>
      <c r="K75" s="26" t="s">
        <v>59</v>
      </c>
      <c r="L75" s="26" t="s">
        <v>148</v>
      </c>
      <c r="M75" s="26" t="s">
        <v>116</v>
      </c>
      <c r="N75" s="14"/>
      <c r="O75" s="26" t="s">
        <v>77</v>
      </c>
      <c r="P75" s="26" t="s">
        <v>85</v>
      </c>
      <c r="Q75" s="27" t="s">
        <v>87</v>
      </c>
      <c r="R75" s="14"/>
      <c r="S75" s="30" t="str">
        <f>"640,0"</f>
        <v>640,0</v>
      </c>
      <c r="T75" s="14" t="str">
        <f>"404,0550"</f>
        <v>404,0550</v>
      </c>
      <c r="U75" s="13" t="s">
        <v>719</v>
      </c>
    </row>
    <row r="76" spans="1:21">
      <c r="B76" s="5" t="s">
        <v>350</v>
      </c>
    </row>
    <row r="77" spans="1:21" ht="16">
      <c r="A77" s="82" t="s">
        <v>276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</row>
    <row r="78" spans="1:21">
      <c r="A78" s="10" t="s">
        <v>349</v>
      </c>
      <c r="B78" s="9" t="s">
        <v>720</v>
      </c>
      <c r="C78" s="9" t="s">
        <v>721</v>
      </c>
      <c r="D78" s="9" t="s">
        <v>722</v>
      </c>
      <c r="E78" s="9" t="s">
        <v>2690</v>
      </c>
      <c r="F78" s="9" t="s">
        <v>723</v>
      </c>
      <c r="G78" s="22" t="s">
        <v>196</v>
      </c>
      <c r="H78" s="22" t="s">
        <v>253</v>
      </c>
      <c r="I78" s="23" t="s">
        <v>254</v>
      </c>
      <c r="J78" s="10"/>
      <c r="K78" s="22" t="s">
        <v>77</v>
      </c>
      <c r="L78" s="22" t="s">
        <v>78</v>
      </c>
      <c r="M78" s="23" t="s">
        <v>100</v>
      </c>
      <c r="N78" s="10"/>
      <c r="O78" s="22" t="s">
        <v>172</v>
      </c>
      <c r="P78" s="22" t="s">
        <v>196</v>
      </c>
      <c r="Q78" s="22" t="s">
        <v>197</v>
      </c>
      <c r="R78" s="10"/>
      <c r="S78" s="29" t="str">
        <f>"920,0"</f>
        <v>920,0</v>
      </c>
      <c r="T78" s="10" t="str">
        <f>"525,9640"</f>
        <v>525,9640</v>
      </c>
      <c r="U78" s="9"/>
    </row>
    <row r="79" spans="1:21">
      <c r="A79" s="12" t="s">
        <v>351</v>
      </c>
      <c r="B79" s="11" t="s">
        <v>724</v>
      </c>
      <c r="C79" s="11" t="s">
        <v>725</v>
      </c>
      <c r="D79" s="11" t="s">
        <v>726</v>
      </c>
      <c r="E79" s="9" t="s">
        <v>2690</v>
      </c>
      <c r="F79" s="11" t="s">
        <v>595</v>
      </c>
      <c r="G79" s="24" t="s">
        <v>209</v>
      </c>
      <c r="H79" s="24" t="s">
        <v>171</v>
      </c>
      <c r="I79" s="25" t="s">
        <v>194</v>
      </c>
      <c r="J79" s="12"/>
      <c r="K79" s="24" t="s">
        <v>39</v>
      </c>
      <c r="L79" s="24" t="s">
        <v>696</v>
      </c>
      <c r="M79" s="24" t="s">
        <v>77</v>
      </c>
      <c r="N79" s="12"/>
      <c r="O79" s="24" t="s">
        <v>193</v>
      </c>
      <c r="P79" s="25" t="s">
        <v>211</v>
      </c>
      <c r="Q79" s="25" t="s">
        <v>194</v>
      </c>
      <c r="R79" s="12"/>
      <c r="S79" s="31" t="str">
        <f>"825,0"</f>
        <v>825,0</v>
      </c>
      <c r="T79" s="12" t="str">
        <f>"473,3025"</f>
        <v>473,3025</v>
      </c>
      <c r="U79" s="11" t="s">
        <v>2604</v>
      </c>
    </row>
    <row r="80" spans="1:21">
      <c r="A80" s="12" t="s">
        <v>353</v>
      </c>
      <c r="B80" s="11" t="s">
        <v>727</v>
      </c>
      <c r="C80" s="11" t="s">
        <v>728</v>
      </c>
      <c r="D80" s="11" t="s">
        <v>729</v>
      </c>
      <c r="E80" s="9" t="s">
        <v>2690</v>
      </c>
      <c r="F80" s="11" t="s">
        <v>730</v>
      </c>
      <c r="G80" s="24" t="s">
        <v>126</v>
      </c>
      <c r="H80" s="24" t="s">
        <v>115</v>
      </c>
      <c r="I80" s="24" t="s">
        <v>120</v>
      </c>
      <c r="J80" s="12"/>
      <c r="K80" s="24" t="s">
        <v>37</v>
      </c>
      <c r="L80" s="24" t="s">
        <v>38</v>
      </c>
      <c r="M80" s="25" t="s">
        <v>31</v>
      </c>
      <c r="N80" s="12"/>
      <c r="O80" s="24" t="s">
        <v>209</v>
      </c>
      <c r="P80" s="24" t="s">
        <v>211</v>
      </c>
      <c r="Q80" s="12"/>
      <c r="R80" s="12"/>
      <c r="S80" s="31" t="str">
        <f>"795,0"</f>
        <v>795,0</v>
      </c>
      <c r="T80" s="12" t="str">
        <f>"465,7110"</f>
        <v>465,7110</v>
      </c>
      <c r="U80" s="11"/>
    </row>
    <row r="81" spans="1:21">
      <c r="A81" s="12" t="s">
        <v>354</v>
      </c>
      <c r="B81" s="11" t="s">
        <v>731</v>
      </c>
      <c r="C81" s="11" t="s">
        <v>732</v>
      </c>
      <c r="D81" s="11" t="s">
        <v>733</v>
      </c>
      <c r="E81" s="9" t="s">
        <v>2690</v>
      </c>
      <c r="F81" s="11" t="s">
        <v>164</v>
      </c>
      <c r="G81" s="25" t="s">
        <v>115</v>
      </c>
      <c r="H81" s="24" t="s">
        <v>115</v>
      </c>
      <c r="I81" s="25" t="s">
        <v>292</v>
      </c>
      <c r="J81" s="12"/>
      <c r="K81" s="24" t="s">
        <v>31</v>
      </c>
      <c r="L81" s="25" t="s">
        <v>269</v>
      </c>
      <c r="M81" s="24" t="s">
        <v>269</v>
      </c>
      <c r="N81" s="12"/>
      <c r="O81" s="24" t="s">
        <v>193</v>
      </c>
      <c r="P81" s="25" t="s">
        <v>172</v>
      </c>
      <c r="Q81" s="25" t="s">
        <v>172</v>
      </c>
      <c r="R81" s="12"/>
      <c r="S81" s="31" t="str">
        <f>"792,5"</f>
        <v>792,5</v>
      </c>
      <c r="T81" s="12" t="str">
        <f>"457,1140"</f>
        <v>457,1140</v>
      </c>
      <c r="U81" s="11"/>
    </row>
    <row r="82" spans="1:21">
      <c r="A82" s="12" t="s">
        <v>352</v>
      </c>
      <c r="B82" s="11" t="s">
        <v>734</v>
      </c>
      <c r="C82" s="11" t="s">
        <v>735</v>
      </c>
      <c r="D82" s="11" t="s">
        <v>722</v>
      </c>
      <c r="E82" s="9" t="s">
        <v>2690</v>
      </c>
      <c r="F82" s="11" t="s">
        <v>736</v>
      </c>
      <c r="G82" s="24" t="s">
        <v>193</v>
      </c>
      <c r="H82" s="25" t="s">
        <v>211</v>
      </c>
      <c r="I82" s="25" t="s">
        <v>211</v>
      </c>
      <c r="J82" s="12"/>
      <c r="K82" s="24" t="s">
        <v>32</v>
      </c>
      <c r="L82" s="25" t="s">
        <v>78</v>
      </c>
      <c r="M82" s="12"/>
      <c r="N82" s="12"/>
      <c r="O82" s="25" t="s">
        <v>253</v>
      </c>
      <c r="P82" s="25" t="s">
        <v>253</v>
      </c>
      <c r="Q82" s="25" t="s">
        <v>253</v>
      </c>
      <c r="R82" s="12"/>
      <c r="S82" s="31">
        <v>0</v>
      </c>
      <c r="T82" s="12" t="str">
        <f>"0,0000"</f>
        <v>0,0000</v>
      </c>
      <c r="U82" s="11"/>
    </row>
    <row r="83" spans="1:21">
      <c r="A83" s="14" t="s">
        <v>349</v>
      </c>
      <c r="B83" s="13" t="s">
        <v>737</v>
      </c>
      <c r="C83" s="13" t="s">
        <v>738</v>
      </c>
      <c r="D83" s="13" t="s">
        <v>739</v>
      </c>
      <c r="E83" s="13" t="s">
        <v>2693</v>
      </c>
      <c r="F83" s="13" t="s">
        <v>187</v>
      </c>
      <c r="G83" s="26" t="s">
        <v>78</v>
      </c>
      <c r="H83" s="26" t="s">
        <v>475</v>
      </c>
      <c r="I83" s="26" t="s">
        <v>444</v>
      </c>
      <c r="J83" s="14"/>
      <c r="K83" s="26" t="s">
        <v>59</v>
      </c>
      <c r="L83" s="26" t="s">
        <v>109</v>
      </c>
      <c r="M83" s="26" t="s">
        <v>60</v>
      </c>
      <c r="N83" s="14"/>
      <c r="O83" s="26" t="s">
        <v>100</v>
      </c>
      <c r="P83" s="26" t="s">
        <v>129</v>
      </c>
      <c r="Q83" s="26" t="s">
        <v>130</v>
      </c>
      <c r="R83" s="14"/>
      <c r="S83" s="30" t="str">
        <f>"697,5"</f>
        <v>697,5</v>
      </c>
      <c r="T83" s="14" t="str">
        <f>"405,8287"</f>
        <v>405,8287</v>
      </c>
      <c r="U83" s="13" t="s">
        <v>719</v>
      </c>
    </row>
    <row r="84" spans="1:21">
      <c r="B84" s="5" t="s">
        <v>350</v>
      </c>
    </row>
    <row r="85" spans="1:21" ht="16">
      <c r="A85" s="82" t="s">
        <v>299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</row>
    <row r="86" spans="1:21">
      <c r="A86" s="10" t="s">
        <v>352</v>
      </c>
      <c r="B86" s="9" t="s">
        <v>740</v>
      </c>
      <c r="C86" s="9" t="s">
        <v>741</v>
      </c>
      <c r="D86" s="9" t="s">
        <v>742</v>
      </c>
      <c r="E86" s="9" t="s">
        <v>2690</v>
      </c>
      <c r="F86" s="9" t="s">
        <v>743</v>
      </c>
      <c r="G86" s="22" t="s">
        <v>193</v>
      </c>
      <c r="H86" s="22" t="s">
        <v>212</v>
      </c>
      <c r="I86" s="23" t="s">
        <v>650</v>
      </c>
      <c r="J86" s="10"/>
      <c r="K86" s="23" t="s">
        <v>284</v>
      </c>
      <c r="L86" s="23" t="s">
        <v>284</v>
      </c>
      <c r="M86" s="23" t="s">
        <v>284</v>
      </c>
      <c r="N86" s="10"/>
      <c r="O86" s="23"/>
      <c r="P86" s="10"/>
      <c r="Q86" s="10"/>
      <c r="R86" s="10"/>
      <c r="S86" s="29">
        <v>0</v>
      </c>
      <c r="T86" s="10" t="str">
        <f>"0,0000"</f>
        <v>0,0000</v>
      </c>
      <c r="U86" s="9"/>
    </row>
    <row r="87" spans="1:21">
      <c r="A87" s="14" t="s">
        <v>349</v>
      </c>
      <c r="B87" s="13" t="s">
        <v>744</v>
      </c>
      <c r="C87" s="13" t="s">
        <v>745</v>
      </c>
      <c r="D87" s="13" t="s">
        <v>746</v>
      </c>
      <c r="E87" s="13" t="s">
        <v>2693</v>
      </c>
      <c r="F87" s="13" t="s">
        <v>221</v>
      </c>
      <c r="G87" s="26" t="s">
        <v>86</v>
      </c>
      <c r="H87" s="27" t="s">
        <v>94</v>
      </c>
      <c r="I87" s="27" t="s">
        <v>130</v>
      </c>
      <c r="J87" s="14"/>
      <c r="K87" s="26" t="s">
        <v>37</v>
      </c>
      <c r="L87" s="26" t="s">
        <v>284</v>
      </c>
      <c r="M87" s="26" t="s">
        <v>38</v>
      </c>
      <c r="N87" s="14"/>
      <c r="O87" s="26" t="s">
        <v>94</v>
      </c>
      <c r="P87" s="26" t="s">
        <v>115</v>
      </c>
      <c r="Q87" s="27" t="s">
        <v>209</v>
      </c>
      <c r="R87" s="14"/>
      <c r="S87" s="30" t="str">
        <f>"725,0"</f>
        <v>725,0</v>
      </c>
      <c r="T87" s="14" t="str">
        <f>"439,9345"</f>
        <v>439,9345</v>
      </c>
      <c r="U87" s="13"/>
    </row>
    <row r="88" spans="1:21">
      <c r="B88" s="5" t="s">
        <v>350</v>
      </c>
    </row>
    <row r="89" spans="1:21">
      <c r="B89" s="5" t="s">
        <v>350</v>
      </c>
    </row>
    <row r="90" spans="1:21">
      <c r="B90" s="5" t="s">
        <v>350</v>
      </c>
    </row>
    <row r="91" spans="1:21" ht="18">
      <c r="B91" s="15" t="s">
        <v>316</v>
      </c>
      <c r="C91" s="15"/>
      <c r="F91" s="3"/>
    </row>
    <row r="92" spans="1:21" ht="16">
      <c r="B92" s="16" t="s">
        <v>317</v>
      </c>
      <c r="C92" s="16"/>
      <c r="F92" s="3"/>
    </row>
    <row r="93" spans="1:21" ht="14">
      <c r="B93" s="17"/>
      <c r="C93" s="18" t="s">
        <v>318</v>
      </c>
      <c r="F93" s="3"/>
    </row>
    <row r="94" spans="1:21" ht="14">
      <c r="B94" s="19" t="s">
        <v>319</v>
      </c>
      <c r="C94" s="19" t="s">
        <v>320</v>
      </c>
      <c r="D94" s="19" t="s">
        <v>2593</v>
      </c>
      <c r="E94" s="19" t="s">
        <v>322</v>
      </c>
      <c r="F94" s="19" t="s">
        <v>323</v>
      </c>
    </row>
    <row r="95" spans="1:21">
      <c r="B95" s="5" t="s">
        <v>535</v>
      </c>
      <c r="C95" s="5" t="s">
        <v>318</v>
      </c>
      <c r="D95" s="6" t="s">
        <v>324</v>
      </c>
      <c r="E95" s="6" t="s">
        <v>749</v>
      </c>
      <c r="F95" s="6" t="s">
        <v>750</v>
      </c>
    </row>
    <row r="96" spans="1:21">
      <c r="B96" s="5" t="s">
        <v>523</v>
      </c>
      <c r="C96" s="5" t="s">
        <v>318</v>
      </c>
      <c r="D96" s="6" t="s">
        <v>494</v>
      </c>
      <c r="E96" s="6" t="s">
        <v>751</v>
      </c>
      <c r="F96" s="6" t="s">
        <v>752</v>
      </c>
    </row>
    <row r="97" spans="2:6">
      <c r="B97" s="5" t="s">
        <v>549</v>
      </c>
      <c r="C97" s="5" t="s">
        <v>318</v>
      </c>
      <c r="D97" s="6" t="s">
        <v>327</v>
      </c>
      <c r="E97" s="6" t="s">
        <v>747</v>
      </c>
      <c r="F97" s="6" t="s">
        <v>748</v>
      </c>
    </row>
    <row r="99" spans="2:6" ht="16">
      <c r="B99" s="16" t="s">
        <v>336</v>
      </c>
      <c r="C99" s="16"/>
    </row>
    <row r="100" spans="2:6" ht="14">
      <c r="B100" s="17"/>
      <c r="C100" s="18" t="s">
        <v>318</v>
      </c>
    </row>
    <row r="101" spans="2:6" ht="14">
      <c r="B101" s="19" t="s">
        <v>319</v>
      </c>
      <c r="C101" s="19" t="s">
        <v>320</v>
      </c>
      <c r="D101" s="19" t="s">
        <v>2593</v>
      </c>
      <c r="E101" s="19" t="s">
        <v>322</v>
      </c>
      <c r="F101" s="19" t="s">
        <v>323</v>
      </c>
    </row>
    <row r="102" spans="2:6">
      <c r="B102" s="5" t="s">
        <v>720</v>
      </c>
      <c r="C102" s="5" t="s">
        <v>318</v>
      </c>
      <c r="D102" s="6" t="s">
        <v>348</v>
      </c>
      <c r="E102" s="6" t="s">
        <v>753</v>
      </c>
      <c r="F102" s="6" t="s">
        <v>754</v>
      </c>
    </row>
    <row r="103" spans="2:6">
      <c r="B103" s="5" t="s">
        <v>693</v>
      </c>
      <c r="C103" s="5" t="s">
        <v>318</v>
      </c>
      <c r="D103" s="6" t="s">
        <v>340</v>
      </c>
      <c r="E103" s="6" t="s">
        <v>755</v>
      </c>
      <c r="F103" s="6" t="s">
        <v>756</v>
      </c>
    </row>
    <row r="104" spans="2:6">
      <c r="B104" s="5" t="s">
        <v>645</v>
      </c>
      <c r="C104" s="5" t="s">
        <v>318</v>
      </c>
      <c r="D104" s="6" t="s">
        <v>343</v>
      </c>
      <c r="E104" s="6" t="s">
        <v>757</v>
      </c>
      <c r="F104" s="6" t="s">
        <v>758</v>
      </c>
    </row>
  </sheetData>
  <mergeCells count="24">
    <mergeCell ref="A48:R48"/>
    <mergeCell ref="A68:R68"/>
    <mergeCell ref="A77:R77"/>
    <mergeCell ref="A85:R85"/>
    <mergeCell ref="B3:B4"/>
    <mergeCell ref="A9:R9"/>
    <mergeCell ref="A14:R14"/>
    <mergeCell ref="A19:R19"/>
    <mergeCell ref="A23:R23"/>
    <mergeCell ref="A29:R29"/>
    <mergeCell ref="A38:R38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71" t="s">
        <v>2626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65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68"/>
    </row>
    <row r="5" spans="1:13" ht="16">
      <c r="A5" s="69" t="s">
        <v>72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2565</v>
      </c>
      <c r="C6" s="7" t="s">
        <v>2566</v>
      </c>
      <c r="D6" s="7" t="s">
        <v>1302</v>
      </c>
      <c r="E6" s="7" t="s">
        <v>2696</v>
      </c>
      <c r="F6" s="7" t="s">
        <v>2567</v>
      </c>
      <c r="G6" s="20" t="s">
        <v>408</v>
      </c>
      <c r="H6" s="20" t="s">
        <v>543</v>
      </c>
      <c r="I6" s="21" t="s">
        <v>17</v>
      </c>
      <c r="J6" s="8"/>
      <c r="K6" s="8" t="str">
        <f>"50,0"</f>
        <v>50,0</v>
      </c>
      <c r="L6" s="8" t="str">
        <f>"71,0785"</f>
        <v>71,0785</v>
      </c>
      <c r="M6" s="7" t="s">
        <v>2568</v>
      </c>
    </row>
    <row r="7" spans="1:13">
      <c r="B7" s="5" t="s">
        <v>350</v>
      </c>
    </row>
    <row r="8" spans="1:13" ht="16">
      <c r="A8" s="82" t="s">
        <v>26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8" t="s">
        <v>349</v>
      </c>
      <c r="B9" s="7" t="s">
        <v>2569</v>
      </c>
      <c r="C9" s="7" t="s">
        <v>2570</v>
      </c>
      <c r="D9" s="7" t="s">
        <v>2571</v>
      </c>
      <c r="E9" s="7" t="s">
        <v>2695</v>
      </c>
      <c r="F9" s="7" t="s">
        <v>2567</v>
      </c>
      <c r="G9" s="20" t="s">
        <v>466</v>
      </c>
      <c r="H9" s="20" t="s">
        <v>188</v>
      </c>
      <c r="I9" s="21" t="s">
        <v>66</v>
      </c>
      <c r="J9" s="8"/>
      <c r="K9" s="8" t="str">
        <f>"100,0"</f>
        <v>100,0</v>
      </c>
      <c r="L9" s="8" t="str">
        <f>"103,9902"</f>
        <v>103,9902</v>
      </c>
      <c r="M9" s="7" t="s">
        <v>2563</v>
      </c>
    </row>
    <row r="10" spans="1:13">
      <c r="B10" s="5" t="s">
        <v>350</v>
      </c>
    </row>
    <row r="11" spans="1:13" ht="16">
      <c r="A11" s="82" t="s">
        <v>72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3">
      <c r="A12" s="10" t="s">
        <v>349</v>
      </c>
      <c r="B12" s="9" t="s">
        <v>2572</v>
      </c>
      <c r="C12" s="9" t="s">
        <v>2573</v>
      </c>
      <c r="D12" s="9" t="s">
        <v>1317</v>
      </c>
      <c r="E12" s="9" t="s">
        <v>2694</v>
      </c>
      <c r="F12" s="9" t="s">
        <v>2678</v>
      </c>
      <c r="G12" s="23" t="s">
        <v>83</v>
      </c>
      <c r="H12" s="22" t="s">
        <v>34</v>
      </c>
      <c r="I12" s="22" t="s">
        <v>67</v>
      </c>
      <c r="J12" s="10"/>
      <c r="K12" s="10" t="str">
        <f>"115,0"</f>
        <v>115,0</v>
      </c>
      <c r="L12" s="10" t="str">
        <f>"102,5641"</f>
        <v>102,5641</v>
      </c>
      <c r="M12" s="9" t="s">
        <v>2568</v>
      </c>
    </row>
    <row r="13" spans="1:13">
      <c r="A13" s="14" t="s">
        <v>349</v>
      </c>
      <c r="B13" s="13" t="s">
        <v>2574</v>
      </c>
      <c r="C13" s="13" t="s">
        <v>2575</v>
      </c>
      <c r="D13" s="13" t="s">
        <v>2496</v>
      </c>
      <c r="E13" s="13" t="s">
        <v>2698</v>
      </c>
      <c r="F13" s="13" t="s">
        <v>2567</v>
      </c>
      <c r="G13" s="26" t="s">
        <v>2462</v>
      </c>
      <c r="H13" s="26" t="s">
        <v>2437</v>
      </c>
      <c r="I13" s="26" t="s">
        <v>2438</v>
      </c>
      <c r="J13" s="14"/>
      <c r="K13" s="14" t="str">
        <f>"30,0"</f>
        <v>30,0</v>
      </c>
      <c r="L13" s="14" t="str">
        <f>"41,3157"</f>
        <v>41,3157</v>
      </c>
      <c r="M13" s="13" t="s">
        <v>2563</v>
      </c>
    </row>
    <row r="14" spans="1:13">
      <c r="B14" s="5" t="s">
        <v>350</v>
      </c>
    </row>
    <row r="15" spans="1:13" ht="16">
      <c r="A15" s="82" t="s">
        <v>183</v>
      </c>
      <c r="B15" s="82"/>
      <c r="C15" s="82"/>
      <c r="D15" s="82"/>
      <c r="E15" s="82"/>
      <c r="F15" s="82"/>
      <c r="G15" s="82"/>
      <c r="H15" s="82"/>
      <c r="I15" s="82"/>
      <c r="J15" s="82"/>
    </row>
    <row r="16" spans="1:13">
      <c r="A16" s="10" t="s">
        <v>349</v>
      </c>
      <c r="B16" s="9" t="s">
        <v>2576</v>
      </c>
      <c r="C16" s="9" t="s">
        <v>2577</v>
      </c>
      <c r="D16" s="9" t="s">
        <v>242</v>
      </c>
      <c r="E16" s="9" t="s">
        <v>2693</v>
      </c>
      <c r="F16" s="9" t="s">
        <v>2567</v>
      </c>
      <c r="G16" s="22" t="s">
        <v>24</v>
      </c>
      <c r="H16" s="23" t="s">
        <v>466</v>
      </c>
      <c r="I16" s="22" t="s">
        <v>466</v>
      </c>
      <c r="J16" s="10"/>
      <c r="K16" s="10" t="str">
        <f>"95,0"</f>
        <v>95,0</v>
      </c>
      <c r="L16" s="10" t="str">
        <f>"55,6558"</f>
        <v>55,6558</v>
      </c>
      <c r="M16" s="9" t="s">
        <v>2568</v>
      </c>
    </row>
    <row r="17" spans="1:13">
      <c r="A17" s="12" t="s">
        <v>349</v>
      </c>
      <c r="B17" s="11" t="s">
        <v>2578</v>
      </c>
      <c r="C17" s="11" t="s">
        <v>2579</v>
      </c>
      <c r="D17" s="11" t="s">
        <v>1880</v>
      </c>
      <c r="E17" s="11" t="s">
        <v>2695</v>
      </c>
      <c r="F17" s="11" t="s">
        <v>2564</v>
      </c>
      <c r="G17" s="24" t="s">
        <v>188</v>
      </c>
      <c r="H17" s="24" t="s">
        <v>853</v>
      </c>
      <c r="I17" s="24" t="s">
        <v>83</v>
      </c>
      <c r="J17" s="12"/>
      <c r="K17" s="12" t="str">
        <f>"110,0"</f>
        <v>110,0</v>
      </c>
      <c r="L17" s="12" t="str">
        <f>"73,4057"</f>
        <v>73,4057</v>
      </c>
      <c r="M17" s="11" t="s">
        <v>2677</v>
      </c>
    </row>
    <row r="18" spans="1:13">
      <c r="A18" s="12" t="s">
        <v>349</v>
      </c>
      <c r="B18" s="11" t="s">
        <v>2580</v>
      </c>
      <c r="C18" s="11" t="s">
        <v>2581</v>
      </c>
      <c r="D18" s="11" t="s">
        <v>229</v>
      </c>
      <c r="E18" s="11" t="s">
        <v>2694</v>
      </c>
      <c r="F18" s="11" t="s">
        <v>2582</v>
      </c>
      <c r="G18" s="24" t="s">
        <v>34</v>
      </c>
      <c r="H18" s="25" t="s">
        <v>35</v>
      </c>
      <c r="I18" s="24" t="s">
        <v>35</v>
      </c>
      <c r="J18" s="12"/>
      <c r="K18" s="12" t="str">
        <f>"117,5"</f>
        <v>117,5</v>
      </c>
      <c r="L18" s="12" t="str">
        <f>"102,8445"</f>
        <v>102,8445</v>
      </c>
      <c r="M18" s="11" t="s">
        <v>2563</v>
      </c>
    </row>
    <row r="19" spans="1:13">
      <c r="A19" s="14" t="s">
        <v>349</v>
      </c>
      <c r="B19" s="13" t="s">
        <v>2583</v>
      </c>
      <c r="C19" s="13" t="s">
        <v>2584</v>
      </c>
      <c r="D19" s="13" t="s">
        <v>2585</v>
      </c>
      <c r="E19" s="13" t="s">
        <v>2696</v>
      </c>
      <c r="F19" s="13" t="s">
        <v>2567</v>
      </c>
      <c r="G19" s="26" t="s">
        <v>17</v>
      </c>
      <c r="H19" s="26" t="s">
        <v>18</v>
      </c>
      <c r="I19" s="26" t="s">
        <v>22</v>
      </c>
      <c r="J19" s="14"/>
      <c r="K19" s="14" t="str">
        <f>"70,0"</f>
        <v>70,0</v>
      </c>
      <c r="L19" s="14" t="str">
        <f>"76,0745"</f>
        <v>76,0745</v>
      </c>
      <c r="M19" s="13" t="s">
        <v>2568</v>
      </c>
    </row>
    <row r="20" spans="1:13">
      <c r="B20" s="5" t="s">
        <v>350</v>
      </c>
    </row>
    <row r="21" spans="1:13" ht="16">
      <c r="A21" s="82" t="s">
        <v>244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3">
      <c r="A22" s="8" t="s">
        <v>349</v>
      </c>
      <c r="B22" s="7" t="s">
        <v>2586</v>
      </c>
      <c r="C22" s="7" t="s">
        <v>2587</v>
      </c>
      <c r="D22" s="7" t="s">
        <v>2588</v>
      </c>
      <c r="E22" s="7" t="s">
        <v>2695</v>
      </c>
      <c r="F22" s="7" t="s">
        <v>2567</v>
      </c>
      <c r="G22" s="20" t="s">
        <v>70</v>
      </c>
      <c r="H22" s="20" t="s">
        <v>154</v>
      </c>
      <c r="I22" s="20" t="s">
        <v>45</v>
      </c>
      <c r="J22" s="8"/>
      <c r="K22" s="8" t="str">
        <f>"145,0"</f>
        <v>145,0</v>
      </c>
      <c r="L22" s="8" t="str">
        <f>"95,7725"</f>
        <v>95,7725</v>
      </c>
      <c r="M22" s="7"/>
    </row>
    <row r="23" spans="1:13">
      <c r="B23" s="5" t="s">
        <v>350</v>
      </c>
    </row>
    <row r="24" spans="1:13">
      <c r="B24" s="5" t="s">
        <v>350</v>
      </c>
    </row>
    <row r="25" spans="1:13">
      <c r="B25" s="5" t="s">
        <v>350</v>
      </c>
    </row>
    <row r="26" spans="1:13" ht="18">
      <c r="B26" s="15" t="s">
        <v>316</v>
      </c>
      <c r="C26" s="15"/>
      <c r="F26" s="3"/>
    </row>
    <row r="27" spans="1:13" ht="16">
      <c r="B27" s="16" t="s">
        <v>336</v>
      </c>
      <c r="C27" s="16"/>
      <c r="F27" s="3"/>
    </row>
    <row r="28" spans="1:13" ht="14">
      <c r="B28" s="17"/>
      <c r="C28" s="18" t="s">
        <v>333</v>
      </c>
      <c r="F28" s="3"/>
    </row>
    <row r="29" spans="1:13" ht="14">
      <c r="B29" s="19" t="s">
        <v>319</v>
      </c>
      <c r="C29" s="19" t="s">
        <v>320</v>
      </c>
      <c r="D29" s="19" t="s">
        <v>2676</v>
      </c>
      <c r="E29" s="19" t="s">
        <v>1225</v>
      </c>
      <c r="F29" s="19" t="s">
        <v>1226</v>
      </c>
    </row>
    <row r="30" spans="1:13">
      <c r="B30" s="5" t="s">
        <v>2569</v>
      </c>
      <c r="C30" s="5" t="s">
        <v>334</v>
      </c>
      <c r="D30" s="6" t="s">
        <v>324</v>
      </c>
      <c r="E30" s="6" t="s">
        <v>188</v>
      </c>
      <c r="F30" s="6" t="s">
        <v>2589</v>
      </c>
    </row>
    <row r="31" spans="1:13">
      <c r="B31" s="5" t="s">
        <v>2580</v>
      </c>
      <c r="C31" s="5" t="s">
        <v>760</v>
      </c>
      <c r="D31" s="6" t="s">
        <v>343</v>
      </c>
      <c r="E31" s="6" t="s">
        <v>35</v>
      </c>
      <c r="F31" s="6" t="s">
        <v>2590</v>
      </c>
    </row>
    <row r="32" spans="1:13">
      <c r="B32" s="5" t="s">
        <v>2572</v>
      </c>
      <c r="C32" s="5" t="s">
        <v>760</v>
      </c>
      <c r="D32" s="6" t="s">
        <v>327</v>
      </c>
      <c r="E32" s="6" t="s">
        <v>67</v>
      </c>
      <c r="F32" s="6" t="s">
        <v>2591</v>
      </c>
    </row>
    <row r="33" spans="2:2">
      <c r="B33" s="5" t="s">
        <v>350</v>
      </c>
    </row>
  </sheetData>
  <mergeCells count="16">
    <mergeCell ref="A8:J8"/>
    <mergeCell ref="A11:J11"/>
    <mergeCell ref="A15:J15"/>
    <mergeCell ref="A21:J2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124"/>
  <sheetViews>
    <sheetView workbookViewId="0">
      <selection activeCell="E101" sqref="E101"/>
    </sheetView>
  </sheetViews>
  <sheetFormatPr baseColWidth="10" defaultColWidth="9.1640625" defaultRowHeight="13"/>
  <cols>
    <col min="1" max="1" width="7.5" style="5" bestFit="1" customWidth="1"/>
    <col min="2" max="2" width="22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0" width="5.5" style="6" customWidth="1"/>
    <col min="11" max="11" width="10.5" style="28" bestFit="1" customWidth="1"/>
    <col min="12" max="12" width="8.5" style="53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71" t="s">
        <v>2647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10</v>
      </c>
      <c r="H3" s="65"/>
      <c r="I3" s="65"/>
      <c r="J3" s="65"/>
      <c r="K3" s="83" t="s">
        <v>1233</v>
      </c>
      <c r="L3" s="87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84"/>
      <c r="L4" s="88"/>
      <c r="M4" s="68"/>
    </row>
    <row r="5" spans="1:13" ht="16">
      <c r="A5" s="69" t="s">
        <v>774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10" t="s">
        <v>349</v>
      </c>
      <c r="B6" s="9" t="s">
        <v>785</v>
      </c>
      <c r="C6" s="9" t="s">
        <v>786</v>
      </c>
      <c r="D6" s="9" t="s">
        <v>787</v>
      </c>
      <c r="E6" s="9" t="s">
        <v>2690</v>
      </c>
      <c r="F6" s="9" t="s">
        <v>788</v>
      </c>
      <c r="G6" s="23" t="s">
        <v>45</v>
      </c>
      <c r="H6" s="22" t="s">
        <v>52</v>
      </c>
      <c r="I6" s="22" t="s">
        <v>47</v>
      </c>
      <c r="J6" s="10"/>
      <c r="K6" s="29" t="str">
        <f>"155,0"</f>
        <v>155,0</v>
      </c>
      <c r="L6" s="54" t="str">
        <f>"206,8630"</f>
        <v>206,8630</v>
      </c>
      <c r="M6" s="9" t="s">
        <v>789</v>
      </c>
    </row>
    <row r="7" spans="1:13">
      <c r="A7" s="12" t="s">
        <v>351</v>
      </c>
      <c r="B7" s="11" t="s">
        <v>790</v>
      </c>
      <c r="C7" s="11" t="s">
        <v>791</v>
      </c>
      <c r="D7" s="11" t="s">
        <v>792</v>
      </c>
      <c r="E7" s="11" t="s">
        <v>2690</v>
      </c>
      <c r="F7" s="11" t="s">
        <v>192</v>
      </c>
      <c r="G7" s="24" t="s">
        <v>36</v>
      </c>
      <c r="H7" s="24" t="s">
        <v>365</v>
      </c>
      <c r="I7" s="25" t="s">
        <v>93</v>
      </c>
      <c r="J7" s="12"/>
      <c r="K7" s="31" t="str">
        <f>"132,5"</f>
        <v>132,5</v>
      </c>
      <c r="L7" s="55" t="str">
        <f>"180,1205"</f>
        <v>180,1205</v>
      </c>
      <c r="M7" s="11" t="s">
        <v>793</v>
      </c>
    </row>
    <row r="8" spans="1:13">
      <c r="A8" s="14" t="s">
        <v>353</v>
      </c>
      <c r="B8" s="13" t="s">
        <v>2233</v>
      </c>
      <c r="C8" s="13" t="s">
        <v>2234</v>
      </c>
      <c r="D8" s="13" t="s">
        <v>792</v>
      </c>
      <c r="E8" s="13" t="s">
        <v>2690</v>
      </c>
      <c r="F8" s="13" t="s">
        <v>667</v>
      </c>
      <c r="G8" s="26" t="s">
        <v>407</v>
      </c>
      <c r="H8" s="26" t="s">
        <v>188</v>
      </c>
      <c r="I8" s="27" t="s">
        <v>66</v>
      </c>
      <c r="J8" s="14"/>
      <c r="K8" s="30" t="str">
        <f>"100,0"</f>
        <v>100,0</v>
      </c>
      <c r="L8" s="56" t="str">
        <f>"135,9400"</f>
        <v>135,9400</v>
      </c>
      <c r="M8" s="13" t="s">
        <v>2235</v>
      </c>
    </row>
    <row r="9" spans="1:13">
      <c r="B9" s="5" t="s">
        <v>350</v>
      </c>
    </row>
    <row r="10" spans="1:13" ht="16">
      <c r="A10" s="82" t="s">
        <v>359</v>
      </c>
      <c r="B10" s="82"/>
      <c r="C10" s="82"/>
      <c r="D10" s="82"/>
      <c r="E10" s="82"/>
      <c r="F10" s="82"/>
      <c r="G10" s="82"/>
      <c r="H10" s="82"/>
      <c r="I10" s="82"/>
      <c r="J10" s="82"/>
    </row>
    <row r="11" spans="1:13">
      <c r="A11" s="10" t="s">
        <v>349</v>
      </c>
      <c r="B11" s="9" t="s">
        <v>360</v>
      </c>
      <c r="C11" s="9" t="s">
        <v>361</v>
      </c>
      <c r="D11" s="9" t="s">
        <v>362</v>
      </c>
      <c r="E11" s="9" t="s">
        <v>2691</v>
      </c>
      <c r="F11" s="9" t="s">
        <v>363</v>
      </c>
      <c r="G11" s="22" t="s">
        <v>84</v>
      </c>
      <c r="H11" s="22" t="s">
        <v>365</v>
      </c>
      <c r="I11" s="22" t="s">
        <v>154</v>
      </c>
      <c r="J11" s="23" t="s">
        <v>93</v>
      </c>
      <c r="K11" s="29" t="str">
        <f>"140,0"</f>
        <v>140,0</v>
      </c>
      <c r="L11" s="54" t="str">
        <f>"174,5240"</f>
        <v>174,5240</v>
      </c>
      <c r="M11" s="9" t="s">
        <v>366</v>
      </c>
    </row>
    <row r="12" spans="1:13">
      <c r="A12" s="12" t="s">
        <v>349</v>
      </c>
      <c r="B12" s="11" t="s">
        <v>802</v>
      </c>
      <c r="C12" s="11" t="s">
        <v>803</v>
      </c>
      <c r="D12" s="11" t="s">
        <v>800</v>
      </c>
      <c r="E12" s="11" t="s">
        <v>2690</v>
      </c>
      <c r="F12" s="11" t="s">
        <v>221</v>
      </c>
      <c r="G12" s="25" t="s">
        <v>365</v>
      </c>
      <c r="H12" s="25" t="s">
        <v>376</v>
      </c>
      <c r="I12" s="24" t="s">
        <v>376</v>
      </c>
      <c r="J12" s="12"/>
      <c r="K12" s="31" t="str">
        <f>"137,5"</f>
        <v>137,5</v>
      </c>
      <c r="L12" s="55" t="str">
        <f>"172,4387"</f>
        <v>172,4387</v>
      </c>
      <c r="M12" s="11" t="s">
        <v>789</v>
      </c>
    </row>
    <row r="13" spans="1:13">
      <c r="A13" s="12" t="s">
        <v>351</v>
      </c>
      <c r="B13" s="11" t="s">
        <v>2236</v>
      </c>
      <c r="C13" s="11" t="s">
        <v>2237</v>
      </c>
      <c r="D13" s="11" t="s">
        <v>2238</v>
      </c>
      <c r="E13" s="11" t="s">
        <v>2690</v>
      </c>
      <c r="F13" s="11" t="s">
        <v>221</v>
      </c>
      <c r="G13" s="24" t="s">
        <v>83</v>
      </c>
      <c r="H13" s="24" t="s">
        <v>35</v>
      </c>
      <c r="I13" s="24" t="s">
        <v>36</v>
      </c>
      <c r="J13" s="12"/>
      <c r="K13" s="31" t="str">
        <f>"122,5"</f>
        <v>122,5</v>
      </c>
      <c r="L13" s="55" t="str">
        <f>"153,8600"</f>
        <v>153,8600</v>
      </c>
      <c r="M13" s="11" t="s">
        <v>2239</v>
      </c>
    </row>
    <row r="14" spans="1:13">
      <c r="A14" s="12" t="s">
        <v>353</v>
      </c>
      <c r="B14" s="11" t="s">
        <v>812</v>
      </c>
      <c r="C14" s="11" t="s">
        <v>813</v>
      </c>
      <c r="D14" s="11" t="s">
        <v>814</v>
      </c>
      <c r="E14" s="11" t="s">
        <v>2690</v>
      </c>
      <c r="F14" s="11" t="s">
        <v>221</v>
      </c>
      <c r="G14" s="24" t="s">
        <v>66</v>
      </c>
      <c r="H14" s="24" t="s">
        <v>34</v>
      </c>
      <c r="I14" s="24" t="s">
        <v>35</v>
      </c>
      <c r="J14" s="12"/>
      <c r="K14" s="31" t="str">
        <f>"117,5"</f>
        <v>117,5</v>
      </c>
      <c r="L14" s="55" t="str">
        <f>"150,9405"</f>
        <v>150,9405</v>
      </c>
      <c r="M14" s="11" t="s">
        <v>815</v>
      </c>
    </row>
    <row r="15" spans="1:13">
      <c r="A15" s="12" t="s">
        <v>354</v>
      </c>
      <c r="B15" s="11" t="s">
        <v>2240</v>
      </c>
      <c r="C15" s="11" t="s">
        <v>2241</v>
      </c>
      <c r="D15" s="11" t="s">
        <v>1552</v>
      </c>
      <c r="E15" s="11" t="s">
        <v>2690</v>
      </c>
      <c r="F15" s="11" t="s">
        <v>221</v>
      </c>
      <c r="G15" s="24" t="s">
        <v>364</v>
      </c>
      <c r="H15" s="24" t="s">
        <v>853</v>
      </c>
      <c r="I15" s="24" t="s">
        <v>34</v>
      </c>
      <c r="J15" s="12"/>
      <c r="K15" s="31" t="str">
        <f>"112,5"</f>
        <v>112,5</v>
      </c>
      <c r="L15" s="55" t="str">
        <f>"141,7162"</f>
        <v>141,7162</v>
      </c>
      <c r="M15" s="11" t="s">
        <v>2242</v>
      </c>
    </row>
    <row r="16" spans="1:13">
      <c r="A16" s="12" t="s">
        <v>355</v>
      </c>
      <c r="B16" s="11" t="s">
        <v>2243</v>
      </c>
      <c r="C16" s="11" t="s">
        <v>2244</v>
      </c>
      <c r="D16" s="11" t="s">
        <v>1556</v>
      </c>
      <c r="E16" s="11" t="s">
        <v>2690</v>
      </c>
      <c r="F16" s="11" t="s">
        <v>462</v>
      </c>
      <c r="G16" s="24" t="s">
        <v>407</v>
      </c>
      <c r="H16" s="25" t="s">
        <v>458</v>
      </c>
      <c r="I16" s="25" t="s">
        <v>458</v>
      </c>
      <c r="J16" s="12"/>
      <c r="K16" s="31" t="str">
        <f>"90,0"</f>
        <v>90,0</v>
      </c>
      <c r="L16" s="55" t="str">
        <f>"112,3650"</f>
        <v>112,3650</v>
      </c>
      <c r="M16" s="11"/>
    </row>
    <row r="17" spans="1:13">
      <c r="A17" s="14" t="s">
        <v>356</v>
      </c>
      <c r="B17" s="13" t="s">
        <v>2245</v>
      </c>
      <c r="C17" s="13" t="s">
        <v>2246</v>
      </c>
      <c r="D17" s="13" t="s">
        <v>2247</v>
      </c>
      <c r="E17" s="13" t="s">
        <v>2690</v>
      </c>
      <c r="F17" s="13" t="s">
        <v>370</v>
      </c>
      <c r="G17" s="26" t="s">
        <v>22</v>
      </c>
      <c r="H17" s="27" t="s">
        <v>61</v>
      </c>
      <c r="I17" s="27" t="s">
        <v>61</v>
      </c>
      <c r="J17" s="14"/>
      <c r="K17" s="30" t="str">
        <f>"70,0"</f>
        <v>70,0</v>
      </c>
      <c r="L17" s="56" t="str">
        <f>"88,0460"</f>
        <v>88,0460</v>
      </c>
      <c r="M17" s="13"/>
    </row>
    <row r="18" spans="1:13">
      <c r="B18" s="5" t="s">
        <v>350</v>
      </c>
    </row>
    <row r="19" spans="1:13" ht="16">
      <c r="A19" s="82" t="s">
        <v>11</v>
      </c>
      <c r="B19" s="82"/>
      <c r="C19" s="82"/>
      <c r="D19" s="82"/>
      <c r="E19" s="82"/>
      <c r="F19" s="82"/>
      <c r="G19" s="82"/>
      <c r="H19" s="82"/>
      <c r="I19" s="82"/>
      <c r="J19" s="82"/>
    </row>
    <row r="20" spans="1:13">
      <c r="A20" s="10" t="s">
        <v>349</v>
      </c>
      <c r="B20" s="9" t="s">
        <v>826</v>
      </c>
      <c r="C20" s="9" t="s">
        <v>827</v>
      </c>
      <c r="D20" s="9" t="s">
        <v>828</v>
      </c>
      <c r="E20" s="9" t="s">
        <v>2690</v>
      </c>
      <c r="F20" s="9" t="s">
        <v>829</v>
      </c>
      <c r="G20" s="22" t="s">
        <v>51</v>
      </c>
      <c r="H20" s="22" t="s">
        <v>45</v>
      </c>
      <c r="I20" s="23" t="s">
        <v>46</v>
      </c>
      <c r="J20" s="10"/>
      <c r="K20" s="29" t="str">
        <f>"145,0"</f>
        <v>145,0</v>
      </c>
      <c r="L20" s="54" t="str">
        <f>"171,3320"</f>
        <v>171,3320</v>
      </c>
      <c r="M20" s="9" t="s">
        <v>830</v>
      </c>
    </row>
    <row r="21" spans="1:13">
      <c r="A21" s="12" t="s">
        <v>351</v>
      </c>
      <c r="B21" s="11" t="s">
        <v>2248</v>
      </c>
      <c r="C21" s="11" t="s">
        <v>2249</v>
      </c>
      <c r="D21" s="11" t="s">
        <v>2250</v>
      </c>
      <c r="E21" s="11" t="s">
        <v>2690</v>
      </c>
      <c r="F21" s="11" t="s">
        <v>221</v>
      </c>
      <c r="G21" s="24" t="s">
        <v>66</v>
      </c>
      <c r="H21" s="24" t="s">
        <v>50</v>
      </c>
      <c r="I21" s="24" t="s">
        <v>391</v>
      </c>
      <c r="J21" s="12"/>
      <c r="K21" s="31" t="str">
        <f>"127,5"</f>
        <v>127,5</v>
      </c>
      <c r="L21" s="55" t="str">
        <f>"154,7978"</f>
        <v>154,7978</v>
      </c>
      <c r="M21" s="11" t="s">
        <v>2362</v>
      </c>
    </row>
    <row r="22" spans="1:13">
      <c r="A22" s="12" t="s">
        <v>353</v>
      </c>
      <c r="B22" s="11" t="s">
        <v>2251</v>
      </c>
      <c r="C22" s="11" t="s">
        <v>2252</v>
      </c>
      <c r="D22" s="11" t="s">
        <v>2253</v>
      </c>
      <c r="E22" s="11" t="s">
        <v>2690</v>
      </c>
      <c r="F22" s="11" t="s">
        <v>221</v>
      </c>
      <c r="G22" s="25" t="s">
        <v>364</v>
      </c>
      <c r="H22" s="24" t="s">
        <v>364</v>
      </c>
      <c r="I22" s="25" t="s">
        <v>66</v>
      </c>
      <c r="J22" s="12"/>
      <c r="K22" s="31" t="str">
        <f>"102,5"</f>
        <v>102,5</v>
      </c>
      <c r="L22" s="55" t="str">
        <f>"123,9020"</f>
        <v>123,9020</v>
      </c>
      <c r="M22" s="11" t="s">
        <v>815</v>
      </c>
    </row>
    <row r="23" spans="1:13">
      <c r="A23" s="12" t="s">
        <v>354</v>
      </c>
      <c r="B23" s="11" t="s">
        <v>2254</v>
      </c>
      <c r="C23" s="11" t="s">
        <v>2255</v>
      </c>
      <c r="D23" s="11" t="s">
        <v>2256</v>
      </c>
      <c r="E23" s="11" t="s">
        <v>2690</v>
      </c>
      <c r="F23" s="11" t="s">
        <v>221</v>
      </c>
      <c r="G23" s="25" t="s">
        <v>24</v>
      </c>
      <c r="H23" s="24" t="s">
        <v>466</v>
      </c>
      <c r="I23" s="24" t="s">
        <v>364</v>
      </c>
      <c r="J23" s="12"/>
      <c r="K23" s="31" t="str">
        <f>"102,5"</f>
        <v>102,5</v>
      </c>
      <c r="L23" s="55" t="str">
        <f>"123,7278"</f>
        <v>123,7278</v>
      </c>
      <c r="M23" s="11" t="s">
        <v>1442</v>
      </c>
    </row>
    <row r="24" spans="1:13">
      <c r="A24" s="14" t="s">
        <v>352</v>
      </c>
      <c r="B24" s="13" t="s">
        <v>2257</v>
      </c>
      <c r="C24" s="13" t="s">
        <v>2258</v>
      </c>
      <c r="D24" s="13" t="s">
        <v>2259</v>
      </c>
      <c r="E24" s="13" t="s">
        <v>2690</v>
      </c>
      <c r="F24" s="13" t="s">
        <v>221</v>
      </c>
      <c r="G24" s="27" t="s">
        <v>83</v>
      </c>
      <c r="H24" s="27" t="s">
        <v>83</v>
      </c>
      <c r="I24" s="27" t="s">
        <v>83</v>
      </c>
      <c r="J24" s="14"/>
      <c r="K24" s="30">
        <v>0</v>
      </c>
      <c r="L24" s="56" t="str">
        <f>"0,0000"</f>
        <v>0,0000</v>
      </c>
      <c r="M24" s="13" t="s">
        <v>2260</v>
      </c>
    </row>
    <row r="25" spans="1:13">
      <c r="B25" s="5" t="s">
        <v>350</v>
      </c>
    </row>
    <row r="26" spans="1:13" ht="16">
      <c r="A26" s="82" t="s">
        <v>378</v>
      </c>
      <c r="B26" s="82"/>
      <c r="C26" s="82"/>
      <c r="D26" s="82"/>
      <c r="E26" s="82"/>
      <c r="F26" s="82"/>
      <c r="G26" s="82"/>
      <c r="H26" s="82"/>
      <c r="I26" s="82"/>
      <c r="J26" s="82"/>
    </row>
    <row r="27" spans="1:13">
      <c r="A27" s="8" t="s">
        <v>349</v>
      </c>
      <c r="B27" s="7" t="s">
        <v>844</v>
      </c>
      <c r="C27" s="7" t="s">
        <v>845</v>
      </c>
      <c r="D27" s="7" t="s">
        <v>381</v>
      </c>
      <c r="E27" s="7" t="s">
        <v>2690</v>
      </c>
      <c r="F27" s="7" t="s">
        <v>846</v>
      </c>
      <c r="G27" s="20" t="s">
        <v>52</v>
      </c>
      <c r="H27" s="21" t="s">
        <v>136</v>
      </c>
      <c r="I27" s="20" t="s">
        <v>136</v>
      </c>
      <c r="J27" s="8"/>
      <c r="K27" s="32" t="str">
        <f>"157,5"</f>
        <v>157,5</v>
      </c>
      <c r="L27" s="57" t="str">
        <f>"175,5967"</f>
        <v>175,5967</v>
      </c>
      <c r="M27" s="7" t="s">
        <v>847</v>
      </c>
    </row>
    <row r="28" spans="1:13">
      <c r="B28" s="5" t="s">
        <v>350</v>
      </c>
    </row>
    <row r="29" spans="1:13" ht="16">
      <c r="A29" s="82" t="s">
        <v>26</v>
      </c>
      <c r="B29" s="82"/>
      <c r="C29" s="82"/>
      <c r="D29" s="82"/>
      <c r="E29" s="82"/>
      <c r="F29" s="82"/>
      <c r="G29" s="82"/>
      <c r="H29" s="82"/>
      <c r="I29" s="82"/>
      <c r="J29" s="82"/>
    </row>
    <row r="30" spans="1:13">
      <c r="A30" s="10" t="s">
        <v>349</v>
      </c>
      <c r="B30" s="9" t="s">
        <v>2261</v>
      </c>
      <c r="C30" s="9" t="s">
        <v>2262</v>
      </c>
      <c r="D30" s="9" t="s">
        <v>1626</v>
      </c>
      <c r="E30" s="9" t="s">
        <v>2690</v>
      </c>
      <c r="F30" s="9" t="s">
        <v>221</v>
      </c>
      <c r="G30" s="23" t="s">
        <v>50</v>
      </c>
      <c r="H30" s="22" t="s">
        <v>51</v>
      </c>
      <c r="I30" s="23" t="s">
        <v>45</v>
      </c>
      <c r="J30" s="10"/>
      <c r="K30" s="29" t="str">
        <f>"135,0"</f>
        <v>135,0</v>
      </c>
      <c r="L30" s="54" t="str">
        <f>"138,6720"</f>
        <v>138,6720</v>
      </c>
      <c r="M30" s="9" t="s">
        <v>2263</v>
      </c>
    </row>
    <row r="31" spans="1:13">
      <c r="A31" s="12" t="s">
        <v>351</v>
      </c>
      <c r="B31" s="11" t="s">
        <v>2264</v>
      </c>
      <c r="C31" s="11" t="s">
        <v>2265</v>
      </c>
      <c r="D31" s="11" t="s">
        <v>1125</v>
      </c>
      <c r="E31" s="11" t="s">
        <v>2690</v>
      </c>
      <c r="F31" s="11" t="s">
        <v>221</v>
      </c>
      <c r="G31" s="25" t="s">
        <v>70</v>
      </c>
      <c r="H31" s="24" t="s">
        <v>70</v>
      </c>
      <c r="I31" s="25" t="s">
        <v>51</v>
      </c>
      <c r="J31" s="12"/>
      <c r="K31" s="31" t="str">
        <f>"130,0"</f>
        <v>130,0</v>
      </c>
      <c r="L31" s="55" t="str">
        <f>"134,4070"</f>
        <v>134,4070</v>
      </c>
      <c r="M31" s="11"/>
    </row>
    <row r="32" spans="1:13">
      <c r="A32" s="12" t="s">
        <v>353</v>
      </c>
      <c r="B32" s="11" t="s">
        <v>2266</v>
      </c>
      <c r="C32" s="11" t="s">
        <v>2267</v>
      </c>
      <c r="D32" s="11" t="s">
        <v>2268</v>
      </c>
      <c r="E32" s="11" t="s">
        <v>2690</v>
      </c>
      <c r="F32" s="11" t="s">
        <v>221</v>
      </c>
      <c r="G32" s="25" t="s">
        <v>67</v>
      </c>
      <c r="H32" s="24" t="s">
        <v>35</v>
      </c>
      <c r="I32" s="25" t="s">
        <v>36</v>
      </c>
      <c r="J32" s="12"/>
      <c r="K32" s="31" t="str">
        <f>"117,5"</f>
        <v>117,5</v>
      </c>
      <c r="L32" s="55" t="str">
        <f>"126,4888"</f>
        <v>126,4888</v>
      </c>
      <c r="M32" s="11" t="s">
        <v>2269</v>
      </c>
    </row>
    <row r="33" spans="1:13">
      <c r="A33" s="14" t="s">
        <v>354</v>
      </c>
      <c r="B33" s="13" t="s">
        <v>392</v>
      </c>
      <c r="C33" s="13" t="s">
        <v>393</v>
      </c>
      <c r="D33" s="13" t="s">
        <v>394</v>
      </c>
      <c r="E33" s="13" t="s">
        <v>2690</v>
      </c>
      <c r="F33" s="13" t="s">
        <v>92</v>
      </c>
      <c r="G33" s="26" t="s">
        <v>66</v>
      </c>
      <c r="H33" s="26" t="s">
        <v>67</v>
      </c>
      <c r="I33" s="27" t="s">
        <v>84</v>
      </c>
      <c r="J33" s="14"/>
      <c r="K33" s="30" t="str">
        <f>"115,0"</f>
        <v>115,0</v>
      </c>
      <c r="L33" s="56" t="str">
        <f>"119,4275"</f>
        <v>119,4275</v>
      </c>
      <c r="M33" s="13" t="s">
        <v>95</v>
      </c>
    </row>
    <row r="34" spans="1:13">
      <c r="B34" s="5" t="s">
        <v>350</v>
      </c>
    </row>
    <row r="35" spans="1:13" ht="16">
      <c r="A35" s="82" t="s">
        <v>55</v>
      </c>
      <c r="B35" s="82"/>
      <c r="C35" s="82"/>
      <c r="D35" s="82"/>
      <c r="E35" s="82"/>
      <c r="F35" s="82"/>
      <c r="G35" s="82"/>
      <c r="H35" s="82"/>
      <c r="I35" s="82"/>
      <c r="J35" s="82"/>
    </row>
    <row r="36" spans="1:13">
      <c r="A36" s="33" t="s">
        <v>349</v>
      </c>
      <c r="B36" s="39" t="s">
        <v>2270</v>
      </c>
      <c r="C36" s="39" t="s">
        <v>306</v>
      </c>
      <c r="D36" s="39" t="s">
        <v>2271</v>
      </c>
      <c r="E36" s="39" t="s">
        <v>2690</v>
      </c>
      <c r="F36" s="39" t="s">
        <v>243</v>
      </c>
      <c r="G36" s="22" t="s">
        <v>37</v>
      </c>
      <c r="H36" s="49" t="s">
        <v>160</v>
      </c>
      <c r="I36" s="45" t="s">
        <v>31</v>
      </c>
      <c r="J36" s="40"/>
      <c r="K36" s="50" t="str">
        <f>"197,5"</f>
        <v>197,5</v>
      </c>
      <c r="L36" s="58" t="str">
        <f>"200,7192"</f>
        <v>200,7192</v>
      </c>
      <c r="M36" s="34" t="s">
        <v>789</v>
      </c>
    </row>
    <row r="37" spans="1:13">
      <c r="A37" s="35" t="s">
        <v>351</v>
      </c>
      <c r="B37" s="41" t="s">
        <v>874</v>
      </c>
      <c r="C37" s="41" t="s">
        <v>875</v>
      </c>
      <c r="D37" s="41" t="s">
        <v>876</v>
      </c>
      <c r="E37" s="41" t="s">
        <v>2690</v>
      </c>
      <c r="F37" s="41" t="s">
        <v>877</v>
      </c>
      <c r="G37" s="24" t="s">
        <v>51</v>
      </c>
      <c r="H37" s="46" t="s">
        <v>45</v>
      </c>
      <c r="I37" s="46" t="s">
        <v>46</v>
      </c>
      <c r="J37" s="42"/>
      <c r="K37" s="51" t="str">
        <f>"152,5"</f>
        <v>152,5</v>
      </c>
      <c r="L37" s="59" t="str">
        <f>"150,6852"</f>
        <v>150,6852</v>
      </c>
      <c r="M37" s="36" t="s">
        <v>878</v>
      </c>
    </row>
    <row r="38" spans="1:13">
      <c r="A38" s="35" t="s">
        <v>353</v>
      </c>
      <c r="B38" s="41" t="s">
        <v>2272</v>
      </c>
      <c r="C38" s="41" t="s">
        <v>2273</v>
      </c>
      <c r="D38" s="41" t="s">
        <v>2274</v>
      </c>
      <c r="E38" s="41" t="s">
        <v>2690</v>
      </c>
      <c r="F38" s="41" t="s">
        <v>641</v>
      </c>
      <c r="G38" s="24" t="s">
        <v>50</v>
      </c>
      <c r="H38" s="46" t="s">
        <v>84</v>
      </c>
      <c r="I38" s="46" t="s">
        <v>391</v>
      </c>
      <c r="J38" s="42"/>
      <c r="K38" s="51" t="str">
        <f>"127,5"</f>
        <v>127,5</v>
      </c>
      <c r="L38" s="59" t="str">
        <f>"125,8553"</f>
        <v>125,8553</v>
      </c>
      <c r="M38" s="36" t="s">
        <v>2275</v>
      </c>
    </row>
    <row r="39" spans="1:13">
      <c r="A39" s="35" t="s">
        <v>354</v>
      </c>
      <c r="B39" s="41" t="s">
        <v>63</v>
      </c>
      <c r="C39" s="41" t="s">
        <v>64</v>
      </c>
      <c r="D39" s="41" t="s">
        <v>65</v>
      </c>
      <c r="E39" s="41" t="s">
        <v>2690</v>
      </c>
      <c r="F39" s="41" t="s">
        <v>15</v>
      </c>
      <c r="G39" s="24" t="s">
        <v>67</v>
      </c>
      <c r="H39" s="46" t="s">
        <v>36</v>
      </c>
      <c r="I39" s="46" t="s">
        <v>391</v>
      </c>
      <c r="J39" s="42"/>
      <c r="K39" s="51" t="str">
        <f>"127,5"</f>
        <v>127,5</v>
      </c>
      <c r="L39" s="59" t="str">
        <f>"123,3180"</f>
        <v>123,3180</v>
      </c>
      <c r="M39" s="36" t="s">
        <v>25</v>
      </c>
    </row>
    <row r="40" spans="1:13">
      <c r="A40" s="35" t="s">
        <v>355</v>
      </c>
      <c r="B40" s="41" t="s">
        <v>2276</v>
      </c>
      <c r="C40" s="41" t="s">
        <v>2277</v>
      </c>
      <c r="D40" s="41" t="s">
        <v>1697</v>
      </c>
      <c r="E40" s="41" t="s">
        <v>2690</v>
      </c>
      <c r="F40" s="41" t="s">
        <v>2278</v>
      </c>
      <c r="G40" s="25" t="s">
        <v>67</v>
      </c>
      <c r="H40" s="46" t="s">
        <v>35</v>
      </c>
      <c r="I40" s="47" t="s">
        <v>391</v>
      </c>
      <c r="J40" s="42"/>
      <c r="K40" s="51" t="str">
        <f>"117,5"</f>
        <v>117,5</v>
      </c>
      <c r="L40" s="59" t="str">
        <f>"113,4462"</f>
        <v>113,4462</v>
      </c>
      <c r="M40" s="36"/>
    </row>
    <row r="41" spans="1:13">
      <c r="A41" s="35" t="s">
        <v>349</v>
      </c>
      <c r="B41" s="41" t="s">
        <v>411</v>
      </c>
      <c r="C41" s="41" t="s">
        <v>412</v>
      </c>
      <c r="D41" s="41" t="s">
        <v>413</v>
      </c>
      <c r="E41" s="41" t="s">
        <v>2693</v>
      </c>
      <c r="F41" s="41" t="s">
        <v>402</v>
      </c>
      <c r="G41" s="24" t="s">
        <v>70</v>
      </c>
      <c r="H41" s="46" t="s">
        <v>154</v>
      </c>
      <c r="I41" s="47" t="s">
        <v>414</v>
      </c>
      <c r="J41" s="42"/>
      <c r="K41" s="51">
        <v>140</v>
      </c>
      <c r="L41" s="59" t="e">
        <f>K41*E41</f>
        <v>#VALUE!</v>
      </c>
      <c r="M41" s="36" t="s">
        <v>415</v>
      </c>
    </row>
    <row r="42" spans="1:13">
      <c r="A42" s="37" t="s">
        <v>351</v>
      </c>
      <c r="B42" s="43" t="s">
        <v>2279</v>
      </c>
      <c r="C42" s="43" t="s">
        <v>2280</v>
      </c>
      <c r="D42" s="43" t="s">
        <v>2281</v>
      </c>
      <c r="E42" s="43" t="s">
        <v>2693</v>
      </c>
      <c r="F42" s="43" t="s">
        <v>221</v>
      </c>
      <c r="G42" s="26" t="s">
        <v>67</v>
      </c>
      <c r="H42" s="48" t="s">
        <v>84</v>
      </c>
      <c r="I42" s="48" t="s">
        <v>70</v>
      </c>
      <c r="J42" s="44"/>
      <c r="K42" s="52" t="str">
        <f>"130,0"</f>
        <v>130,0</v>
      </c>
      <c r="L42" s="60" t="str">
        <f>"129,7224"</f>
        <v>129,7224</v>
      </c>
      <c r="M42" s="38"/>
    </row>
    <row r="43" spans="1:13">
      <c r="B43" s="5" t="s">
        <v>350</v>
      </c>
    </row>
    <row r="44" spans="1:13" ht="16">
      <c r="A44" s="82" t="s">
        <v>143</v>
      </c>
      <c r="B44" s="82"/>
      <c r="C44" s="82"/>
      <c r="D44" s="82"/>
      <c r="E44" s="82"/>
      <c r="F44" s="82"/>
      <c r="G44" s="82"/>
      <c r="H44" s="82"/>
      <c r="I44" s="82"/>
      <c r="J44" s="82"/>
    </row>
    <row r="45" spans="1:13">
      <c r="A45" s="8" t="s">
        <v>349</v>
      </c>
      <c r="B45" s="7" t="s">
        <v>2282</v>
      </c>
      <c r="C45" s="7" t="s">
        <v>2283</v>
      </c>
      <c r="D45" s="7" t="s">
        <v>169</v>
      </c>
      <c r="E45" s="7" t="s">
        <v>2695</v>
      </c>
      <c r="F45" s="7" t="s">
        <v>462</v>
      </c>
      <c r="G45" s="20" t="s">
        <v>50</v>
      </c>
      <c r="H45" s="20" t="s">
        <v>70</v>
      </c>
      <c r="I45" s="21" t="s">
        <v>2284</v>
      </c>
      <c r="J45" s="8"/>
      <c r="K45" s="32" t="str">
        <f>"130,0"</f>
        <v>130,0</v>
      </c>
      <c r="L45" s="57" t="str">
        <f>"153,0360"</f>
        <v>153,0360</v>
      </c>
      <c r="M45" s="7" t="s">
        <v>2285</v>
      </c>
    </row>
    <row r="46" spans="1:13">
      <c r="B46" s="5" t="s">
        <v>350</v>
      </c>
    </row>
    <row r="47" spans="1:13" ht="16">
      <c r="A47" s="82" t="s">
        <v>26</v>
      </c>
      <c r="B47" s="82"/>
      <c r="C47" s="82"/>
      <c r="D47" s="82"/>
      <c r="E47" s="82"/>
      <c r="F47" s="82"/>
      <c r="G47" s="82"/>
      <c r="H47" s="82"/>
      <c r="I47" s="82"/>
      <c r="J47" s="82"/>
    </row>
    <row r="48" spans="1:13">
      <c r="A48" s="10" t="s">
        <v>349</v>
      </c>
      <c r="B48" s="9" t="s">
        <v>2286</v>
      </c>
      <c r="C48" s="9" t="s">
        <v>2287</v>
      </c>
      <c r="D48" s="9" t="s">
        <v>2288</v>
      </c>
      <c r="E48" s="9" t="s">
        <v>2690</v>
      </c>
      <c r="F48" s="9" t="s">
        <v>2289</v>
      </c>
      <c r="G48" s="22" t="s">
        <v>284</v>
      </c>
      <c r="H48" s="22" t="s">
        <v>31</v>
      </c>
      <c r="I48" s="23" t="s">
        <v>39</v>
      </c>
      <c r="J48" s="10"/>
      <c r="K48" s="29" t="str">
        <f>"205,0"</f>
        <v>205,0</v>
      </c>
      <c r="L48" s="54" t="str">
        <f>"171,2365"</f>
        <v>171,2365</v>
      </c>
      <c r="M48" s="9"/>
    </row>
    <row r="49" spans="1:13">
      <c r="A49" s="14" t="s">
        <v>349</v>
      </c>
      <c r="B49" s="13" t="s">
        <v>2290</v>
      </c>
      <c r="C49" s="13" t="s">
        <v>2291</v>
      </c>
      <c r="D49" s="13" t="s">
        <v>1120</v>
      </c>
      <c r="E49" s="13" t="s">
        <v>2694</v>
      </c>
      <c r="F49" s="13" t="s">
        <v>2065</v>
      </c>
      <c r="G49" s="26" t="s">
        <v>37</v>
      </c>
      <c r="H49" s="26" t="s">
        <v>160</v>
      </c>
      <c r="I49" s="26" t="s">
        <v>314</v>
      </c>
      <c r="J49" s="14"/>
      <c r="K49" s="30" t="str">
        <f>"202,5"</f>
        <v>202,5</v>
      </c>
      <c r="L49" s="56" t="str">
        <f>"259,8350"</f>
        <v>259,8350</v>
      </c>
      <c r="M49" s="13"/>
    </row>
    <row r="50" spans="1:13">
      <c r="B50" s="5" t="s">
        <v>350</v>
      </c>
    </row>
    <row r="51" spans="1:13" ht="16">
      <c r="A51" s="82" t="s">
        <v>55</v>
      </c>
      <c r="B51" s="82"/>
      <c r="C51" s="82"/>
      <c r="D51" s="82"/>
      <c r="E51" s="82"/>
      <c r="F51" s="82"/>
      <c r="G51" s="82"/>
      <c r="H51" s="82"/>
      <c r="I51" s="82"/>
      <c r="J51" s="82"/>
    </row>
    <row r="52" spans="1:13">
      <c r="A52" s="10" t="s">
        <v>349</v>
      </c>
      <c r="B52" s="9" t="s">
        <v>2292</v>
      </c>
      <c r="C52" s="9" t="s">
        <v>2293</v>
      </c>
      <c r="D52" s="9" t="s">
        <v>2294</v>
      </c>
      <c r="E52" s="9" t="s">
        <v>2689</v>
      </c>
      <c r="F52" s="9" t="s">
        <v>1303</v>
      </c>
      <c r="G52" s="23" t="s">
        <v>38</v>
      </c>
      <c r="H52" s="22" t="s">
        <v>38</v>
      </c>
      <c r="I52" s="22" t="s">
        <v>195</v>
      </c>
      <c r="J52" s="10"/>
      <c r="K52" s="29" t="str">
        <f>"207,5"</f>
        <v>207,5</v>
      </c>
      <c r="L52" s="54" t="str">
        <f>"151,9315"</f>
        <v>151,9315</v>
      </c>
      <c r="M52" s="9"/>
    </row>
    <row r="53" spans="1:13">
      <c r="A53" s="12" t="s">
        <v>351</v>
      </c>
      <c r="B53" s="11" t="s">
        <v>2295</v>
      </c>
      <c r="C53" s="11" t="s">
        <v>2296</v>
      </c>
      <c r="D53" s="11" t="s">
        <v>2297</v>
      </c>
      <c r="E53" s="11" t="s">
        <v>2689</v>
      </c>
      <c r="F53" s="11" t="s">
        <v>135</v>
      </c>
      <c r="G53" s="25" t="s">
        <v>128</v>
      </c>
      <c r="H53" s="24" t="s">
        <v>117</v>
      </c>
      <c r="I53" s="24" t="s">
        <v>37</v>
      </c>
      <c r="J53" s="12"/>
      <c r="K53" s="31" t="str">
        <f>"190,0"</f>
        <v>190,0</v>
      </c>
      <c r="L53" s="55" t="str">
        <f>"139,9730"</f>
        <v>139,9730</v>
      </c>
      <c r="M53" s="11" t="s">
        <v>2298</v>
      </c>
    </row>
    <row r="54" spans="1:13">
      <c r="A54" s="12" t="s">
        <v>349</v>
      </c>
      <c r="B54" s="11" t="s">
        <v>2299</v>
      </c>
      <c r="C54" s="11" t="s">
        <v>2300</v>
      </c>
      <c r="D54" s="11" t="s">
        <v>401</v>
      </c>
      <c r="E54" s="11" t="s">
        <v>2690</v>
      </c>
      <c r="F54" s="11" t="s">
        <v>797</v>
      </c>
      <c r="G54" s="25" t="s">
        <v>193</v>
      </c>
      <c r="H54" s="24" t="s">
        <v>193</v>
      </c>
      <c r="I54" s="25" t="s">
        <v>211</v>
      </c>
      <c r="J54" s="12"/>
      <c r="K54" s="31" t="str">
        <f>"300,0"</f>
        <v>300,0</v>
      </c>
      <c r="L54" s="55" t="str">
        <f>"214,9800"</f>
        <v>214,9800</v>
      </c>
      <c r="M54" s="11"/>
    </row>
    <row r="55" spans="1:13">
      <c r="A55" s="12" t="s">
        <v>351</v>
      </c>
      <c r="B55" s="11" t="s">
        <v>2301</v>
      </c>
      <c r="C55" s="11" t="s">
        <v>2302</v>
      </c>
      <c r="D55" s="11" t="s">
        <v>91</v>
      </c>
      <c r="E55" s="11" t="s">
        <v>2690</v>
      </c>
      <c r="F55" s="11" t="s">
        <v>2303</v>
      </c>
      <c r="G55" s="24" t="s">
        <v>114</v>
      </c>
      <c r="H55" s="25" t="s">
        <v>2027</v>
      </c>
      <c r="I55" s="25" t="s">
        <v>2027</v>
      </c>
      <c r="J55" s="12"/>
      <c r="K55" s="31" t="str">
        <f>"272,5"</f>
        <v>272,5</v>
      </c>
      <c r="L55" s="55" t="str">
        <f>"197,7260"</f>
        <v>197,7260</v>
      </c>
      <c r="M55" s="11"/>
    </row>
    <row r="56" spans="1:13">
      <c r="A56" s="12" t="s">
        <v>353</v>
      </c>
      <c r="B56" s="11" t="s">
        <v>2304</v>
      </c>
      <c r="C56" s="11" t="s">
        <v>2305</v>
      </c>
      <c r="D56" s="11" t="s">
        <v>2306</v>
      </c>
      <c r="E56" s="11" t="s">
        <v>2690</v>
      </c>
      <c r="F56" s="11" t="s">
        <v>667</v>
      </c>
      <c r="G56" s="24" t="s">
        <v>37</v>
      </c>
      <c r="H56" s="25" t="s">
        <v>195</v>
      </c>
      <c r="I56" s="24" t="s">
        <v>195</v>
      </c>
      <c r="J56" s="12"/>
      <c r="K56" s="31" t="str">
        <f>"207,5"</f>
        <v>207,5</v>
      </c>
      <c r="L56" s="55" t="str">
        <f>"148,2795"</f>
        <v>148,2795</v>
      </c>
      <c r="M56" s="11" t="s">
        <v>2307</v>
      </c>
    </row>
    <row r="57" spans="1:13">
      <c r="A57" s="12" t="s">
        <v>349</v>
      </c>
      <c r="B57" s="11" t="s">
        <v>943</v>
      </c>
      <c r="C57" s="11" t="s">
        <v>944</v>
      </c>
      <c r="D57" s="11" t="s">
        <v>564</v>
      </c>
      <c r="E57" s="11" t="s">
        <v>2693</v>
      </c>
      <c r="F57" s="11" t="s">
        <v>147</v>
      </c>
      <c r="G57" s="24" t="s">
        <v>109</v>
      </c>
      <c r="H57" s="24" t="s">
        <v>118</v>
      </c>
      <c r="I57" s="25" t="s">
        <v>159</v>
      </c>
      <c r="J57" s="12"/>
      <c r="K57" s="31" t="str">
        <f>"185,0"</f>
        <v>185,0</v>
      </c>
      <c r="L57" s="55" t="str">
        <f>"132,4415"</f>
        <v>132,4415</v>
      </c>
      <c r="M57" s="11" t="s">
        <v>945</v>
      </c>
    </row>
    <row r="58" spans="1:13">
      <c r="A58" s="14" t="s">
        <v>349</v>
      </c>
      <c r="B58" s="13" t="s">
        <v>2308</v>
      </c>
      <c r="C58" s="13" t="s">
        <v>2309</v>
      </c>
      <c r="D58" s="13" t="s">
        <v>935</v>
      </c>
      <c r="E58" s="13" t="s">
        <v>2695</v>
      </c>
      <c r="F58" s="13" t="s">
        <v>221</v>
      </c>
      <c r="G58" s="26" t="s">
        <v>38</v>
      </c>
      <c r="H58" s="27" t="s">
        <v>39</v>
      </c>
      <c r="I58" s="27" t="s">
        <v>39</v>
      </c>
      <c r="J58" s="14"/>
      <c r="K58" s="30" t="str">
        <f>"200,0"</f>
        <v>200,0</v>
      </c>
      <c r="L58" s="56" t="str">
        <f>"193,6710"</f>
        <v>193,6710</v>
      </c>
      <c r="M58" s="13"/>
    </row>
    <row r="59" spans="1:13">
      <c r="B59" s="5" t="s">
        <v>350</v>
      </c>
    </row>
    <row r="60" spans="1:13" ht="16">
      <c r="A60" s="82" t="s">
        <v>72</v>
      </c>
      <c r="B60" s="82"/>
      <c r="C60" s="82"/>
      <c r="D60" s="82"/>
      <c r="E60" s="82"/>
      <c r="F60" s="82"/>
      <c r="G60" s="82"/>
      <c r="H60" s="82"/>
      <c r="I60" s="82"/>
      <c r="J60" s="82"/>
    </row>
    <row r="61" spans="1:13">
      <c r="A61" s="10" t="s">
        <v>349</v>
      </c>
      <c r="B61" s="9" t="s">
        <v>2310</v>
      </c>
      <c r="C61" s="9" t="s">
        <v>2311</v>
      </c>
      <c r="D61" s="9" t="s">
        <v>1322</v>
      </c>
      <c r="E61" s="9" t="s">
        <v>2689</v>
      </c>
      <c r="F61" s="9" t="s">
        <v>2312</v>
      </c>
      <c r="G61" s="22" t="s">
        <v>100</v>
      </c>
      <c r="H61" s="22" t="s">
        <v>87</v>
      </c>
      <c r="I61" s="23" t="s">
        <v>444</v>
      </c>
      <c r="J61" s="10"/>
      <c r="K61" s="29" t="str">
        <f>"250,0"</f>
        <v>250,0</v>
      </c>
      <c r="L61" s="54" t="str">
        <f>"171,0750"</f>
        <v>171,0750</v>
      </c>
      <c r="M61" s="9"/>
    </row>
    <row r="62" spans="1:13">
      <c r="A62" s="12" t="s">
        <v>349</v>
      </c>
      <c r="B62" s="11" t="s">
        <v>2313</v>
      </c>
      <c r="C62" s="11" t="s">
        <v>2314</v>
      </c>
      <c r="D62" s="11" t="s">
        <v>590</v>
      </c>
      <c r="E62" s="11" t="s">
        <v>2690</v>
      </c>
      <c r="F62" s="11" t="s">
        <v>221</v>
      </c>
      <c r="G62" s="24" t="s">
        <v>39</v>
      </c>
      <c r="H62" s="24" t="s">
        <v>77</v>
      </c>
      <c r="I62" s="25" t="s">
        <v>78</v>
      </c>
      <c r="J62" s="12"/>
      <c r="K62" s="31" t="str">
        <f>"220,0"</f>
        <v>220,0</v>
      </c>
      <c r="L62" s="55" t="str">
        <f>"149,6000"</f>
        <v>149,6000</v>
      </c>
      <c r="M62" s="11" t="s">
        <v>2315</v>
      </c>
    </row>
    <row r="63" spans="1:13">
      <c r="A63" s="12" t="s">
        <v>351</v>
      </c>
      <c r="B63" s="11" t="s">
        <v>2316</v>
      </c>
      <c r="C63" s="11" t="s">
        <v>2317</v>
      </c>
      <c r="D63" s="11" t="s">
        <v>2318</v>
      </c>
      <c r="E63" s="11" t="s">
        <v>2690</v>
      </c>
      <c r="F63" s="11" t="s">
        <v>252</v>
      </c>
      <c r="G63" s="24" t="s">
        <v>31</v>
      </c>
      <c r="H63" s="25" t="s">
        <v>32</v>
      </c>
      <c r="I63" s="24" t="s">
        <v>32</v>
      </c>
      <c r="J63" s="12"/>
      <c r="K63" s="31" t="str">
        <f>"215,0"</f>
        <v>215,0</v>
      </c>
      <c r="L63" s="55" t="str">
        <f>"144,4585"</f>
        <v>144,4585</v>
      </c>
      <c r="M63" s="11" t="s">
        <v>1113</v>
      </c>
    </row>
    <row r="64" spans="1:13">
      <c r="A64" s="14" t="s">
        <v>349</v>
      </c>
      <c r="B64" s="13" t="s">
        <v>2155</v>
      </c>
      <c r="C64" s="13" t="s">
        <v>2156</v>
      </c>
      <c r="D64" s="13" t="s">
        <v>581</v>
      </c>
      <c r="E64" s="13" t="s">
        <v>2695</v>
      </c>
      <c r="F64" s="13" t="s">
        <v>382</v>
      </c>
      <c r="G64" s="26" t="s">
        <v>118</v>
      </c>
      <c r="H64" s="26" t="s">
        <v>160</v>
      </c>
      <c r="I64" s="27" t="s">
        <v>195</v>
      </c>
      <c r="J64" s="14"/>
      <c r="K64" s="30" t="str">
        <f>"197,5"</f>
        <v>197,5</v>
      </c>
      <c r="L64" s="56" t="str">
        <f>"152,3782"</f>
        <v>152,3782</v>
      </c>
      <c r="M64" s="13" t="s">
        <v>2157</v>
      </c>
    </row>
    <row r="65" spans="1:13">
      <c r="B65" s="5" t="s">
        <v>350</v>
      </c>
    </row>
    <row r="66" spans="1:13" ht="16">
      <c r="A66" s="82" t="s">
        <v>143</v>
      </c>
      <c r="B66" s="82"/>
      <c r="C66" s="82"/>
      <c r="D66" s="82"/>
      <c r="E66" s="82"/>
      <c r="F66" s="82"/>
      <c r="G66" s="82"/>
      <c r="H66" s="82"/>
      <c r="I66" s="82"/>
      <c r="J66" s="82"/>
    </row>
    <row r="67" spans="1:13">
      <c r="A67" s="10" t="s">
        <v>349</v>
      </c>
      <c r="B67" s="9" t="s">
        <v>431</v>
      </c>
      <c r="C67" s="9" t="s">
        <v>432</v>
      </c>
      <c r="D67" s="9" t="s">
        <v>433</v>
      </c>
      <c r="E67" s="9" t="s">
        <v>2691</v>
      </c>
      <c r="F67" s="9" t="s">
        <v>434</v>
      </c>
      <c r="G67" s="22" t="s">
        <v>39</v>
      </c>
      <c r="H67" s="23" t="s">
        <v>78</v>
      </c>
      <c r="I67" s="23" t="s">
        <v>78</v>
      </c>
      <c r="J67" s="10"/>
      <c r="K67" s="29" t="str">
        <f>"210,0"</f>
        <v>210,0</v>
      </c>
      <c r="L67" s="54" t="str">
        <f>"134,5260"</f>
        <v>134,5260</v>
      </c>
      <c r="M67" s="9" t="s">
        <v>435</v>
      </c>
    </row>
    <row r="68" spans="1:13">
      <c r="A68" s="12" t="s">
        <v>349</v>
      </c>
      <c r="B68" s="11" t="s">
        <v>2319</v>
      </c>
      <c r="C68" s="11" t="s">
        <v>2320</v>
      </c>
      <c r="D68" s="11" t="s">
        <v>1788</v>
      </c>
      <c r="E68" s="11" t="s">
        <v>2689</v>
      </c>
      <c r="F68" s="11" t="s">
        <v>1303</v>
      </c>
      <c r="G68" s="25" t="s">
        <v>39</v>
      </c>
      <c r="H68" s="24" t="s">
        <v>32</v>
      </c>
      <c r="I68" s="25" t="s">
        <v>78</v>
      </c>
      <c r="J68" s="12"/>
      <c r="K68" s="31" t="str">
        <f>"215,0"</f>
        <v>215,0</v>
      </c>
      <c r="L68" s="55" t="str">
        <f>"138,6105"</f>
        <v>138,6105</v>
      </c>
      <c r="M68" s="11"/>
    </row>
    <row r="69" spans="1:13">
      <c r="A69" s="12" t="s">
        <v>349</v>
      </c>
      <c r="B69" s="11" t="s">
        <v>1010</v>
      </c>
      <c r="C69" s="11" t="s">
        <v>1011</v>
      </c>
      <c r="D69" s="11" t="s">
        <v>1012</v>
      </c>
      <c r="E69" s="11" t="s">
        <v>2690</v>
      </c>
      <c r="F69" s="11" t="s">
        <v>530</v>
      </c>
      <c r="G69" s="24" t="s">
        <v>94</v>
      </c>
      <c r="H69" s="25" t="s">
        <v>119</v>
      </c>
      <c r="I69" s="25" t="s">
        <v>119</v>
      </c>
      <c r="J69" s="12"/>
      <c r="K69" s="31" t="str">
        <f>"260,0"</f>
        <v>260,0</v>
      </c>
      <c r="L69" s="55" t="str">
        <f>"170,0400"</f>
        <v>170,0400</v>
      </c>
      <c r="M69" s="11"/>
    </row>
    <row r="70" spans="1:13">
      <c r="A70" s="12" t="s">
        <v>351</v>
      </c>
      <c r="B70" s="11" t="s">
        <v>1006</v>
      </c>
      <c r="C70" s="11" t="s">
        <v>1007</v>
      </c>
      <c r="D70" s="11" t="s">
        <v>1008</v>
      </c>
      <c r="E70" s="11" t="s">
        <v>2690</v>
      </c>
      <c r="F70" s="11" t="s">
        <v>538</v>
      </c>
      <c r="G70" s="24" t="s">
        <v>100</v>
      </c>
      <c r="H70" s="24" t="s">
        <v>444</v>
      </c>
      <c r="I70" s="25" t="s">
        <v>968</v>
      </c>
      <c r="J70" s="12"/>
      <c r="K70" s="31" t="str">
        <f>"252,5"</f>
        <v>252,5</v>
      </c>
      <c r="L70" s="55" t="str">
        <f>"161,6505"</f>
        <v>161,6505</v>
      </c>
      <c r="M70" s="11" t="s">
        <v>1009</v>
      </c>
    </row>
    <row r="71" spans="1:13">
      <c r="A71" s="12" t="s">
        <v>353</v>
      </c>
      <c r="B71" s="11" t="s">
        <v>2321</v>
      </c>
      <c r="C71" s="11" t="s">
        <v>2322</v>
      </c>
      <c r="D71" s="11" t="s">
        <v>618</v>
      </c>
      <c r="E71" s="11" t="s">
        <v>2690</v>
      </c>
      <c r="F71" s="11" t="s">
        <v>221</v>
      </c>
      <c r="G71" s="24" t="s">
        <v>578</v>
      </c>
      <c r="H71" s="25" t="s">
        <v>968</v>
      </c>
      <c r="I71" s="25" t="s">
        <v>968</v>
      </c>
      <c r="J71" s="12"/>
      <c r="K71" s="31" t="str">
        <f>"247,5"</f>
        <v>247,5</v>
      </c>
      <c r="L71" s="55" t="str">
        <f>"160,1572"</f>
        <v>160,1572</v>
      </c>
      <c r="M71" s="11"/>
    </row>
    <row r="72" spans="1:13">
      <c r="A72" s="12" t="s">
        <v>354</v>
      </c>
      <c r="B72" s="11" t="s">
        <v>2323</v>
      </c>
      <c r="C72" s="11" t="s">
        <v>2324</v>
      </c>
      <c r="D72" s="11" t="s">
        <v>438</v>
      </c>
      <c r="E72" s="11" t="s">
        <v>2690</v>
      </c>
      <c r="F72" s="11" t="s">
        <v>221</v>
      </c>
      <c r="G72" s="24" t="s">
        <v>32</v>
      </c>
      <c r="H72" s="24" t="s">
        <v>78</v>
      </c>
      <c r="I72" s="25" t="s">
        <v>85</v>
      </c>
      <c r="J72" s="12"/>
      <c r="K72" s="31" t="str">
        <f>"230,0"</f>
        <v>230,0</v>
      </c>
      <c r="L72" s="55" t="str">
        <f>"147,9360"</f>
        <v>147,9360</v>
      </c>
      <c r="M72" s="11"/>
    </row>
    <row r="73" spans="1:13">
      <c r="A73" s="12" t="s">
        <v>355</v>
      </c>
      <c r="B73" s="11" t="s">
        <v>1825</v>
      </c>
      <c r="C73" s="11" t="s">
        <v>1826</v>
      </c>
      <c r="D73" s="11" t="s">
        <v>447</v>
      </c>
      <c r="E73" s="11" t="s">
        <v>2690</v>
      </c>
      <c r="F73" s="11" t="s">
        <v>1827</v>
      </c>
      <c r="G73" s="25" t="s">
        <v>39</v>
      </c>
      <c r="H73" s="24" t="s">
        <v>39</v>
      </c>
      <c r="I73" s="24" t="s">
        <v>78</v>
      </c>
      <c r="J73" s="12"/>
      <c r="K73" s="31" t="str">
        <f>"230,0"</f>
        <v>230,0</v>
      </c>
      <c r="L73" s="55" t="str">
        <f>"147,8440"</f>
        <v>147,8440</v>
      </c>
      <c r="M73" s="11"/>
    </row>
    <row r="74" spans="1:13">
      <c r="A74" s="12" t="s">
        <v>356</v>
      </c>
      <c r="B74" s="11" t="s">
        <v>2325</v>
      </c>
      <c r="C74" s="11" t="s">
        <v>2326</v>
      </c>
      <c r="D74" s="11" t="s">
        <v>153</v>
      </c>
      <c r="E74" s="11" t="s">
        <v>2690</v>
      </c>
      <c r="F74" s="11" t="s">
        <v>2327</v>
      </c>
      <c r="G74" s="24" t="s">
        <v>78</v>
      </c>
      <c r="H74" s="25" t="s">
        <v>270</v>
      </c>
      <c r="I74" s="25" t="s">
        <v>270</v>
      </c>
      <c r="J74" s="12"/>
      <c r="K74" s="31" t="str">
        <f>"230,0"</f>
        <v>230,0</v>
      </c>
      <c r="L74" s="55" t="str">
        <f>"147,7520"</f>
        <v>147,7520</v>
      </c>
      <c r="M74" s="11"/>
    </row>
    <row r="75" spans="1:13">
      <c r="A75" s="12" t="s">
        <v>357</v>
      </c>
      <c r="B75" s="11" t="s">
        <v>2328</v>
      </c>
      <c r="C75" s="11" t="s">
        <v>2329</v>
      </c>
      <c r="D75" s="11" t="s">
        <v>598</v>
      </c>
      <c r="E75" s="11" t="s">
        <v>2690</v>
      </c>
      <c r="F75" s="11" t="s">
        <v>1266</v>
      </c>
      <c r="G75" s="24" t="s">
        <v>59</v>
      </c>
      <c r="H75" s="24" t="s">
        <v>109</v>
      </c>
      <c r="I75" s="25" t="s">
        <v>60</v>
      </c>
      <c r="J75" s="12"/>
      <c r="K75" s="31" t="str">
        <f>"170,0"</f>
        <v>170,0</v>
      </c>
      <c r="L75" s="55" t="str">
        <f>"110,5510"</f>
        <v>110,5510</v>
      </c>
      <c r="M75" s="11" t="s">
        <v>2330</v>
      </c>
    </row>
    <row r="76" spans="1:13">
      <c r="A76" s="12" t="s">
        <v>349</v>
      </c>
      <c r="B76" s="11" t="s">
        <v>2331</v>
      </c>
      <c r="C76" s="11" t="s">
        <v>2332</v>
      </c>
      <c r="D76" s="11" t="s">
        <v>1153</v>
      </c>
      <c r="E76" s="11" t="s">
        <v>2693</v>
      </c>
      <c r="F76" s="11" t="s">
        <v>674</v>
      </c>
      <c r="G76" s="24" t="s">
        <v>38</v>
      </c>
      <c r="H76" s="24" t="s">
        <v>32</v>
      </c>
      <c r="I76" s="25" t="s">
        <v>77</v>
      </c>
      <c r="J76" s="12"/>
      <c r="K76" s="31" t="str">
        <f>"215,0"</f>
        <v>215,0</v>
      </c>
      <c r="L76" s="55" t="str">
        <f>"144,5522"</f>
        <v>144,5522</v>
      </c>
      <c r="M76" s="11" t="s">
        <v>837</v>
      </c>
    </row>
    <row r="77" spans="1:13">
      <c r="A77" s="14" t="s">
        <v>351</v>
      </c>
      <c r="B77" s="13" t="s">
        <v>2333</v>
      </c>
      <c r="C77" s="13" t="s">
        <v>2334</v>
      </c>
      <c r="D77" s="13" t="s">
        <v>447</v>
      </c>
      <c r="E77" s="13" t="s">
        <v>2693</v>
      </c>
      <c r="F77" s="13" t="s">
        <v>2335</v>
      </c>
      <c r="G77" s="26" t="s">
        <v>39</v>
      </c>
      <c r="H77" s="27" t="s">
        <v>78</v>
      </c>
      <c r="I77" s="27" t="s">
        <v>78</v>
      </c>
      <c r="J77" s="14"/>
      <c r="K77" s="30" t="str">
        <f>"210,0"</f>
        <v>210,0</v>
      </c>
      <c r="L77" s="56" t="str">
        <f>"135,6629"</f>
        <v>135,6629</v>
      </c>
      <c r="M77" s="13" t="s">
        <v>2336</v>
      </c>
    </row>
    <row r="78" spans="1:13">
      <c r="B78" s="5" t="s">
        <v>350</v>
      </c>
    </row>
    <row r="79" spans="1:13" ht="16">
      <c r="A79" s="82" t="s">
        <v>183</v>
      </c>
      <c r="B79" s="82"/>
      <c r="C79" s="82"/>
      <c r="D79" s="82"/>
      <c r="E79" s="82"/>
      <c r="F79" s="82"/>
      <c r="G79" s="82"/>
      <c r="H79" s="82"/>
      <c r="I79" s="82"/>
      <c r="J79" s="82"/>
    </row>
    <row r="80" spans="1:13">
      <c r="A80" s="10" t="s">
        <v>349</v>
      </c>
      <c r="B80" s="9" t="s">
        <v>2337</v>
      </c>
      <c r="C80" s="9" t="s">
        <v>2338</v>
      </c>
      <c r="D80" s="9" t="s">
        <v>640</v>
      </c>
      <c r="E80" s="9" t="s">
        <v>2690</v>
      </c>
      <c r="F80" s="9" t="s">
        <v>2339</v>
      </c>
      <c r="G80" s="22" t="s">
        <v>209</v>
      </c>
      <c r="H80" s="22" t="s">
        <v>171</v>
      </c>
      <c r="I80" s="22" t="s">
        <v>172</v>
      </c>
      <c r="J80" s="10"/>
      <c r="K80" s="29" t="str">
        <f>"320,0"</f>
        <v>320,0</v>
      </c>
      <c r="L80" s="54" t="str">
        <f>"196,3520"</f>
        <v>196,3520</v>
      </c>
      <c r="M80" s="9"/>
    </row>
    <row r="81" spans="1:13">
      <c r="A81" s="12" t="s">
        <v>351</v>
      </c>
      <c r="B81" s="11" t="s">
        <v>2340</v>
      </c>
      <c r="C81" s="11" t="s">
        <v>2341</v>
      </c>
      <c r="D81" s="11" t="s">
        <v>1404</v>
      </c>
      <c r="E81" s="11" t="s">
        <v>2690</v>
      </c>
      <c r="F81" s="11" t="s">
        <v>221</v>
      </c>
      <c r="G81" s="24" t="s">
        <v>94</v>
      </c>
      <c r="H81" s="24" t="s">
        <v>126</v>
      </c>
      <c r="I81" s="24" t="s">
        <v>119</v>
      </c>
      <c r="J81" s="12"/>
      <c r="K81" s="31" t="str">
        <f>"275,0"</f>
        <v>275,0</v>
      </c>
      <c r="L81" s="55" t="str">
        <f>"170,7475"</f>
        <v>170,7475</v>
      </c>
      <c r="M81" s="11"/>
    </row>
    <row r="82" spans="1:13">
      <c r="A82" s="12" t="s">
        <v>353</v>
      </c>
      <c r="B82" s="11" t="s">
        <v>2342</v>
      </c>
      <c r="C82" s="11" t="s">
        <v>2343</v>
      </c>
      <c r="D82" s="11" t="s">
        <v>2344</v>
      </c>
      <c r="E82" s="11" t="s">
        <v>2690</v>
      </c>
      <c r="F82" s="11" t="s">
        <v>2345</v>
      </c>
      <c r="G82" s="24" t="s">
        <v>87</v>
      </c>
      <c r="H82" s="24" t="s">
        <v>130</v>
      </c>
      <c r="I82" s="24" t="s">
        <v>119</v>
      </c>
      <c r="J82" s="12"/>
      <c r="K82" s="31" t="str">
        <f>"275,0"</f>
        <v>275,0</v>
      </c>
      <c r="L82" s="55" t="str">
        <f>"168,9600"</f>
        <v>168,9600</v>
      </c>
      <c r="M82" s="11"/>
    </row>
    <row r="83" spans="1:13">
      <c r="A83" s="12" t="s">
        <v>354</v>
      </c>
      <c r="B83" s="11" t="s">
        <v>2346</v>
      </c>
      <c r="C83" s="11" t="s">
        <v>2347</v>
      </c>
      <c r="D83" s="11" t="s">
        <v>237</v>
      </c>
      <c r="E83" s="11" t="s">
        <v>2690</v>
      </c>
      <c r="F83" s="11" t="s">
        <v>2348</v>
      </c>
      <c r="G83" s="24" t="s">
        <v>100</v>
      </c>
      <c r="H83" s="24" t="s">
        <v>86</v>
      </c>
      <c r="I83" s="25" t="s">
        <v>87</v>
      </c>
      <c r="J83" s="12"/>
      <c r="K83" s="31" t="str">
        <f>"245,0"</f>
        <v>245,0</v>
      </c>
      <c r="L83" s="55" t="str">
        <f>"149,8910"</f>
        <v>149,8910</v>
      </c>
      <c r="M83" s="11"/>
    </row>
    <row r="84" spans="1:13">
      <c r="A84" s="12" t="s">
        <v>355</v>
      </c>
      <c r="B84" s="11" t="s">
        <v>2349</v>
      </c>
      <c r="C84" s="11" t="s">
        <v>2350</v>
      </c>
      <c r="D84" s="11" t="s">
        <v>1888</v>
      </c>
      <c r="E84" s="11" t="s">
        <v>2690</v>
      </c>
      <c r="F84" s="11" t="s">
        <v>221</v>
      </c>
      <c r="G84" s="24" t="s">
        <v>77</v>
      </c>
      <c r="H84" s="24" t="s">
        <v>85</v>
      </c>
      <c r="I84" s="24" t="s">
        <v>100</v>
      </c>
      <c r="J84" s="12"/>
      <c r="K84" s="31" t="str">
        <f>"240,0"</f>
        <v>240,0</v>
      </c>
      <c r="L84" s="55" t="str">
        <f>"148,7280"</f>
        <v>148,7280</v>
      </c>
      <c r="M84" s="11"/>
    </row>
    <row r="85" spans="1:13">
      <c r="A85" s="12" t="s">
        <v>356</v>
      </c>
      <c r="B85" s="11" t="s">
        <v>1891</v>
      </c>
      <c r="C85" s="11" t="s">
        <v>2351</v>
      </c>
      <c r="D85" s="11" t="s">
        <v>1893</v>
      </c>
      <c r="E85" s="11" t="s">
        <v>2690</v>
      </c>
      <c r="F85" s="11" t="s">
        <v>641</v>
      </c>
      <c r="G85" s="24" t="s">
        <v>32</v>
      </c>
      <c r="H85" s="24" t="s">
        <v>78</v>
      </c>
      <c r="I85" s="24" t="s">
        <v>85</v>
      </c>
      <c r="J85" s="12"/>
      <c r="K85" s="31" t="str">
        <f>"235,0"</f>
        <v>235,0</v>
      </c>
      <c r="L85" s="55" t="str">
        <f>"146,8045"</f>
        <v>146,8045</v>
      </c>
      <c r="M85" s="11"/>
    </row>
    <row r="86" spans="1:13">
      <c r="A86" s="12" t="s">
        <v>357</v>
      </c>
      <c r="B86" s="11" t="s">
        <v>473</v>
      </c>
      <c r="C86" s="11" t="s">
        <v>474</v>
      </c>
      <c r="D86" s="11" t="s">
        <v>232</v>
      </c>
      <c r="E86" s="11" t="s">
        <v>2690</v>
      </c>
      <c r="F86" s="11" t="s">
        <v>135</v>
      </c>
      <c r="G86" s="24" t="s">
        <v>77</v>
      </c>
      <c r="H86" s="25" t="s">
        <v>475</v>
      </c>
      <c r="I86" s="25" t="s">
        <v>475</v>
      </c>
      <c r="J86" s="12"/>
      <c r="K86" s="31" t="str">
        <f>"220,0"</f>
        <v>220,0</v>
      </c>
      <c r="L86" s="55" t="str">
        <f>"134,7060"</f>
        <v>134,7060</v>
      </c>
      <c r="M86" s="11"/>
    </row>
    <row r="87" spans="1:13">
      <c r="A87" s="12" t="s">
        <v>358</v>
      </c>
      <c r="B87" s="11" t="s">
        <v>470</v>
      </c>
      <c r="C87" s="11" t="s">
        <v>471</v>
      </c>
      <c r="D87" s="11" t="s">
        <v>472</v>
      </c>
      <c r="E87" s="11" t="s">
        <v>2690</v>
      </c>
      <c r="F87" s="11" t="s">
        <v>147</v>
      </c>
      <c r="G87" s="24" t="s">
        <v>37</v>
      </c>
      <c r="H87" s="24" t="s">
        <v>39</v>
      </c>
      <c r="I87" s="24" t="s">
        <v>77</v>
      </c>
      <c r="J87" s="12"/>
      <c r="K87" s="31" t="str">
        <f>"220,0"</f>
        <v>220,0</v>
      </c>
      <c r="L87" s="55" t="str">
        <f>"133,8920"</f>
        <v>133,8920</v>
      </c>
      <c r="M87" s="11" t="s">
        <v>430</v>
      </c>
    </row>
    <row r="88" spans="1:13">
      <c r="A88" s="12" t="s">
        <v>761</v>
      </c>
      <c r="B88" s="11" t="s">
        <v>2352</v>
      </c>
      <c r="C88" s="11" t="s">
        <v>2353</v>
      </c>
      <c r="D88" s="11" t="s">
        <v>1407</v>
      </c>
      <c r="E88" s="11" t="s">
        <v>2690</v>
      </c>
      <c r="F88" s="11" t="s">
        <v>2354</v>
      </c>
      <c r="G88" s="24" t="s">
        <v>118</v>
      </c>
      <c r="H88" s="25" t="s">
        <v>39</v>
      </c>
      <c r="I88" s="24" t="s">
        <v>39</v>
      </c>
      <c r="J88" s="12"/>
      <c r="K88" s="31" t="str">
        <f>"210,0"</f>
        <v>210,0</v>
      </c>
      <c r="L88" s="55" t="str">
        <f>"130,4940"</f>
        <v>130,4940</v>
      </c>
      <c r="M88" s="11" t="s">
        <v>2679</v>
      </c>
    </row>
    <row r="89" spans="1:13">
      <c r="A89" s="12" t="s">
        <v>762</v>
      </c>
      <c r="B89" s="11" t="s">
        <v>2355</v>
      </c>
      <c r="C89" s="11" t="s">
        <v>2356</v>
      </c>
      <c r="D89" s="11" t="s">
        <v>186</v>
      </c>
      <c r="E89" s="11" t="s">
        <v>2690</v>
      </c>
      <c r="F89" s="11" t="s">
        <v>147</v>
      </c>
      <c r="G89" s="25" t="s">
        <v>39</v>
      </c>
      <c r="H89" s="24" t="s">
        <v>39</v>
      </c>
      <c r="I89" s="25" t="s">
        <v>33</v>
      </c>
      <c r="J89" s="12"/>
      <c r="K89" s="31" t="str">
        <f>"210,0"</f>
        <v>210,0</v>
      </c>
      <c r="L89" s="55" t="str">
        <f>"129,2550"</f>
        <v>129,2550</v>
      </c>
      <c r="M89" s="11" t="s">
        <v>430</v>
      </c>
    </row>
    <row r="90" spans="1:13">
      <c r="A90" s="12" t="s">
        <v>349</v>
      </c>
      <c r="B90" s="11" t="s">
        <v>1891</v>
      </c>
      <c r="C90" s="11" t="s">
        <v>1892</v>
      </c>
      <c r="D90" s="11" t="s">
        <v>1893</v>
      </c>
      <c r="E90" s="11" t="s">
        <v>2695</v>
      </c>
      <c r="F90" s="11" t="s">
        <v>641</v>
      </c>
      <c r="G90" s="24" t="s">
        <v>32</v>
      </c>
      <c r="H90" s="24" t="s">
        <v>78</v>
      </c>
      <c r="I90" s="24" t="s">
        <v>85</v>
      </c>
      <c r="J90" s="12"/>
      <c r="K90" s="31" t="str">
        <f>"235,0"</f>
        <v>235,0</v>
      </c>
      <c r="L90" s="55" t="str">
        <f>"183,5056"</f>
        <v>183,5056</v>
      </c>
      <c r="M90" s="11"/>
    </row>
    <row r="91" spans="1:13">
      <c r="A91" s="14" t="s">
        <v>349</v>
      </c>
      <c r="B91" s="13" t="s">
        <v>1051</v>
      </c>
      <c r="C91" s="13" t="s">
        <v>1052</v>
      </c>
      <c r="D91" s="13" t="s">
        <v>1053</v>
      </c>
      <c r="E91" s="13" t="s">
        <v>2696</v>
      </c>
      <c r="F91" s="13" t="s">
        <v>1054</v>
      </c>
      <c r="G91" s="26" t="s">
        <v>47</v>
      </c>
      <c r="H91" s="26" t="s">
        <v>226</v>
      </c>
      <c r="I91" s="27" t="s">
        <v>148</v>
      </c>
      <c r="J91" s="14"/>
      <c r="K91" s="30" t="str">
        <f>"162,5"</f>
        <v>162,5</v>
      </c>
      <c r="L91" s="56" t="str">
        <f>"186,6091"</f>
        <v>186,6091</v>
      </c>
      <c r="M91" s="13"/>
    </row>
    <row r="92" spans="1:13">
      <c r="B92" s="5" t="s">
        <v>350</v>
      </c>
    </row>
    <row r="93" spans="1:13" ht="16">
      <c r="A93" s="82" t="s">
        <v>244</v>
      </c>
      <c r="B93" s="82"/>
      <c r="C93" s="82"/>
      <c r="D93" s="82"/>
      <c r="E93" s="82"/>
      <c r="F93" s="82"/>
      <c r="G93" s="82"/>
      <c r="H93" s="82"/>
      <c r="I93" s="82"/>
      <c r="J93" s="82"/>
    </row>
    <row r="94" spans="1:13">
      <c r="A94" s="10" t="s">
        <v>349</v>
      </c>
      <c r="B94" s="9" t="s">
        <v>1055</v>
      </c>
      <c r="C94" s="9" t="s">
        <v>1056</v>
      </c>
      <c r="D94" s="9" t="s">
        <v>1057</v>
      </c>
      <c r="E94" s="9" t="s">
        <v>2689</v>
      </c>
      <c r="F94" s="9" t="s">
        <v>313</v>
      </c>
      <c r="G94" s="22" t="s">
        <v>38</v>
      </c>
      <c r="H94" s="22" t="s">
        <v>77</v>
      </c>
      <c r="I94" s="10"/>
      <c r="J94" s="10"/>
      <c r="K94" s="29" t="str">
        <f>"220,0"</f>
        <v>220,0</v>
      </c>
      <c r="L94" s="54" t="str">
        <f>"132,8580"</f>
        <v>132,8580</v>
      </c>
      <c r="M94" s="9" t="s">
        <v>2359</v>
      </c>
    </row>
    <row r="95" spans="1:13">
      <c r="A95" s="12" t="s">
        <v>349</v>
      </c>
      <c r="B95" s="11" t="s">
        <v>2357</v>
      </c>
      <c r="C95" s="11" t="s">
        <v>2358</v>
      </c>
      <c r="D95" s="11" t="s">
        <v>1193</v>
      </c>
      <c r="E95" s="11" t="s">
        <v>2690</v>
      </c>
      <c r="F95" s="11" t="s">
        <v>313</v>
      </c>
      <c r="G95" s="24" t="s">
        <v>87</v>
      </c>
      <c r="H95" s="24" t="s">
        <v>130</v>
      </c>
      <c r="I95" s="24" t="s">
        <v>119</v>
      </c>
      <c r="J95" s="12"/>
      <c r="K95" s="31" t="str">
        <f>"275,0"</f>
        <v>275,0</v>
      </c>
      <c r="L95" s="55" t="str">
        <f>"163,5700"</f>
        <v>163,5700</v>
      </c>
      <c r="M95" s="11" t="s">
        <v>2359</v>
      </c>
    </row>
    <row r="96" spans="1:13">
      <c r="A96" s="12" t="s">
        <v>351</v>
      </c>
      <c r="B96" s="11" t="s">
        <v>2360</v>
      </c>
      <c r="C96" s="11" t="s">
        <v>2361</v>
      </c>
      <c r="D96" s="11" t="s">
        <v>2195</v>
      </c>
      <c r="E96" s="11" t="s">
        <v>2690</v>
      </c>
      <c r="F96" s="11" t="s">
        <v>221</v>
      </c>
      <c r="G96" s="24" t="s">
        <v>78</v>
      </c>
      <c r="H96" s="24" t="s">
        <v>583</v>
      </c>
      <c r="I96" s="24" t="s">
        <v>114</v>
      </c>
      <c r="J96" s="12"/>
      <c r="K96" s="31" t="str">
        <f>"272,5"</f>
        <v>272,5</v>
      </c>
      <c r="L96" s="55" t="str">
        <f>"161,8378"</f>
        <v>161,8378</v>
      </c>
      <c r="M96" s="11" t="s">
        <v>2362</v>
      </c>
    </row>
    <row r="97" spans="1:13">
      <c r="A97" s="14" t="s">
        <v>349</v>
      </c>
      <c r="B97" s="13" t="s">
        <v>2363</v>
      </c>
      <c r="C97" s="13" t="s">
        <v>2364</v>
      </c>
      <c r="D97" s="13" t="s">
        <v>1446</v>
      </c>
      <c r="E97" s="13" t="s">
        <v>2695</v>
      </c>
      <c r="F97" s="13" t="s">
        <v>406</v>
      </c>
      <c r="G97" s="26" t="s">
        <v>38</v>
      </c>
      <c r="H97" s="26" t="s">
        <v>32</v>
      </c>
      <c r="I97" s="26" t="s">
        <v>78</v>
      </c>
      <c r="J97" s="14"/>
      <c r="K97" s="30" t="str">
        <f>"230,0"</f>
        <v>230,0</v>
      </c>
      <c r="L97" s="56" t="str">
        <f>"185,9895"</f>
        <v>185,9895</v>
      </c>
      <c r="M97" s="13" t="s">
        <v>410</v>
      </c>
    </row>
    <row r="98" spans="1:13">
      <c r="B98" s="5" t="s">
        <v>350</v>
      </c>
    </row>
    <row r="99" spans="1:13" ht="16">
      <c r="A99" s="82" t="s">
        <v>276</v>
      </c>
      <c r="B99" s="82"/>
      <c r="C99" s="82"/>
      <c r="D99" s="82"/>
      <c r="E99" s="82"/>
      <c r="F99" s="82"/>
      <c r="G99" s="82"/>
      <c r="H99" s="82"/>
      <c r="I99" s="82"/>
      <c r="J99" s="82"/>
    </row>
    <row r="100" spans="1:13">
      <c r="A100" s="8" t="s">
        <v>349</v>
      </c>
      <c r="B100" s="7" t="s">
        <v>1935</v>
      </c>
      <c r="C100" s="7" t="s">
        <v>1936</v>
      </c>
      <c r="D100" s="7" t="s">
        <v>1937</v>
      </c>
      <c r="E100" s="7" t="s">
        <v>2690</v>
      </c>
      <c r="F100" s="7" t="s">
        <v>1938</v>
      </c>
      <c r="G100" s="20" t="s">
        <v>120</v>
      </c>
      <c r="H100" s="20" t="s">
        <v>171</v>
      </c>
      <c r="I100" s="20" t="s">
        <v>194</v>
      </c>
      <c r="J100" s="8"/>
      <c r="K100" s="32" t="str">
        <f>"315,0"</f>
        <v>315,0</v>
      </c>
      <c r="L100" s="57" t="str">
        <f>"179,4870"</f>
        <v>179,4870</v>
      </c>
      <c r="M100" s="7"/>
    </row>
    <row r="101" spans="1:13">
      <c r="B101" s="5" t="s">
        <v>350</v>
      </c>
    </row>
    <row r="102" spans="1:13">
      <c r="B102" s="5" t="s">
        <v>350</v>
      </c>
    </row>
    <row r="103" spans="1:13">
      <c r="B103" s="5" t="s">
        <v>350</v>
      </c>
    </row>
    <row r="104" spans="1:13" ht="18">
      <c r="B104" s="15" t="s">
        <v>316</v>
      </c>
      <c r="C104" s="15"/>
      <c r="F104" s="3"/>
    </row>
    <row r="105" spans="1:13" ht="16">
      <c r="B105" s="16" t="s">
        <v>317</v>
      </c>
      <c r="C105" s="16"/>
      <c r="F105" s="3"/>
    </row>
    <row r="106" spans="1:13" ht="14">
      <c r="B106" s="17"/>
      <c r="C106" s="18" t="s">
        <v>318</v>
      </c>
      <c r="F106" s="3"/>
    </row>
    <row r="107" spans="1:13" ht="14">
      <c r="B107" s="19" t="s">
        <v>319</v>
      </c>
      <c r="C107" s="19" t="s">
        <v>320</v>
      </c>
      <c r="D107" s="19" t="s">
        <v>2593</v>
      </c>
      <c r="E107" s="19" t="s">
        <v>1225</v>
      </c>
      <c r="F107" s="19" t="s">
        <v>323</v>
      </c>
    </row>
    <row r="108" spans="1:13">
      <c r="B108" s="5" t="s">
        <v>785</v>
      </c>
      <c r="C108" s="5" t="s">
        <v>318</v>
      </c>
      <c r="D108" s="6" t="s">
        <v>1081</v>
      </c>
      <c r="E108" s="6" t="s">
        <v>47</v>
      </c>
      <c r="F108" s="6" t="s">
        <v>2365</v>
      </c>
    </row>
    <row r="109" spans="1:13">
      <c r="B109" s="5" t="s">
        <v>2270</v>
      </c>
      <c r="C109" s="5" t="s">
        <v>318</v>
      </c>
      <c r="D109" s="6" t="s">
        <v>330</v>
      </c>
      <c r="E109" s="6" t="s">
        <v>160</v>
      </c>
      <c r="F109" s="6" t="s">
        <v>2366</v>
      </c>
    </row>
    <row r="110" spans="1:13">
      <c r="B110" s="5" t="s">
        <v>790</v>
      </c>
      <c r="C110" s="5" t="s">
        <v>318</v>
      </c>
      <c r="D110" s="6" t="s">
        <v>1081</v>
      </c>
      <c r="E110" s="6" t="s">
        <v>365</v>
      </c>
      <c r="F110" s="6" t="s">
        <v>2367</v>
      </c>
    </row>
    <row r="112" spans="1:13" ht="16">
      <c r="B112" s="16" t="s">
        <v>336</v>
      </c>
      <c r="C112" s="16"/>
    </row>
    <row r="113" spans="2:6" ht="14">
      <c r="B113" s="17"/>
      <c r="C113" s="18" t="s">
        <v>318</v>
      </c>
    </row>
    <row r="114" spans="2:6" ht="14">
      <c r="B114" s="19" t="s">
        <v>319</v>
      </c>
      <c r="C114" s="19" t="s">
        <v>320</v>
      </c>
      <c r="D114" s="19" t="s">
        <v>2593</v>
      </c>
      <c r="E114" s="19" t="s">
        <v>1225</v>
      </c>
      <c r="F114" s="19" t="s">
        <v>323</v>
      </c>
    </row>
    <row r="115" spans="2:6">
      <c r="B115" s="5" t="s">
        <v>2299</v>
      </c>
      <c r="C115" s="5" t="s">
        <v>318</v>
      </c>
      <c r="D115" s="6" t="s">
        <v>330</v>
      </c>
      <c r="E115" s="6" t="s">
        <v>193</v>
      </c>
      <c r="F115" s="6" t="s">
        <v>2368</v>
      </c>
    </row>
    <row r="116" spans="2:6">
      <c r="B116" s="5" t="s">
        <v>2301</v>
      </c>
      <c r="C116" s="5" t="s">
        <v>318</v>
      </c>
      <c r="D116" s="6" t="s">
        <v>330</v>
      </c>
      <c r="E116" s="6" t="s">
        <v>114</v>
      </c>
      <c r="F116" s="6" t="s">
        <v>2369</v>
      </c>
    </row>
    <row r="117" spans="2:6">
      <c r="B117" s="5" t="s">
        <v>2337</v>
      </c>
      <c r="C117" s="5" t="s">
        <v>318</v>
      </c>
      <c r="D117" s="6" t="s">
        <v>343</v>
      </c>
      <c r="E117" s="6" t="s">
        <v>172</v>
      </c>
      <c r="F117" s="6" t="s">
        <v>2370</v>
      </c>
    </row>
    <row r="119" spans="2:6" ht="14">
      <c r="B119" s="17"/>
      <c r="C119" s="18" t="s">
        <v>333</v>
      </c>
    </row>
    <row r="120" spans="2:6" ht="14">
      <c r="B120" s="19" t="s">
        <v>319</v>
      </c>
      <c r="C120" s="19" t="s">
        <v>320</v>
      </c>
      <c r="D120" s="19" t="s">
        <v>2593</v>
      </c>
      <c r="E120" s="19" t="s">
        <v>1225</v>
      </c>
      <c r="F120" s="19" t="s">
        <v>323</v>
      </c>
    </row>
    <row r="121" spans="2:6">
      <c r="B121" s="5" t="s">
        <v>2290</v>
      </c>
      <c r="C121" s="5" t="s">
        <v>760</v>
      </c>
      <c r="D121" s="6" t="s">
        <v>324</v>
      </c>
      <c r="E121" s="6" t="s">
        <v>314</v>
      </c>
      <c r="F121" s="6" t="s">
        <v>2371</v>
      </c>
    </row>
    <row r="122" spans="2:6">
      <c r="B122" s="5" t="s">
        <v>2308</v>
      </c>
      <c r="C122" s="5" t="s">
        <v>334</v>
      </c>
      <c r="D122" s="6" t="s">
        <v>330</v>
      </c>
      <c r="E122" s="6" t="s">
        <v>38</v>
      </c>
      <c r="F122" s="6" t="s">
        <v>2372</v>
      </c>
    </row>
    <row r="123" spans="2:6">
      <c r="B123" s="5" t="s">
        <v>1051</v>
      </c>
      <c r="C123" s="5" t="s">
        <v>1105</v>
      </c>
      <c r="D123" s="6" t="s">
        <v>343</v>
      </c>
      <c r="E123" s="6" t="s">
        <v>226</v>
      </c>
      <c r="F123" s="6" t="s">
        <v>2373</v>
      </c>
    </row>
    <row r="124" spans="2:6">
      <c r="B124" s="5" t="s">
        <v>350</v>
      </c>
    </row>
  </sheetData>
  <mergeCells count="25">
    <mergeCell ref="A99:J99"/>
    <mergeCell ref="B3:B4"/>
    <mergeCell ref="A47:J47"/>
    <mergeCell ref="A51:J51"/>
    <mergeCell ref="A60:J60"/>
    <mergeCell ref="A66:J66"/>
    <mergeCell ref="A79:J79"/>
    <mergeCell ref="A93:J93"/>
    <mergeCell ref="A10:J10"/>
    <mergeCell ref="A19:J19"/>
    <mergeCell ref="A26:J26"/>
    <mergeCell ref="A29:J29"/>
    <mergeCell ref="A35:J35"/>
    <mergeCell ref="A44:J4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11"/>
  <sheetViews>
    <sheetView workbookViewId="0">
      <selection activeCell="E88" sqref="E88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30.6640625" style="5" bestFit="1" customWidth="1"/>
    <col min="14" max="16384" width="9.1640625" style="3"/>
  </cols>
  <sheetData>
    <row r="1" spans="1:13" s="2" customFormat="1" ht="29" customHeight="1">
      <c r="A1" s="71" t="s">
        <v>2648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10</v>
      </c>
      <c r="H3" s="65"/>
      <c r="I3" s="65"/>
      <c r="J3" s="65"/>
      <c r="K3" s="83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84"/>
      <c r="L4" s="66"/>
      <c r="M4" s="68"/>
    </row>
    <row r="5" spans="1:13" ht="16">
      <c r="A5" s="69" t="s">
        <v>11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10" t="s">
        <v>349</v>
      </c>
      <c r="B6" s="9" t="s">
        <v>519</v>
      </c>
      <c r="C6" s="9" t="s">
        <v>520</v>
      </c>
      <c r="D6" s="9" t="s">
        <v>521</v>
      </c>
      <c r="E6" s="9" t="s">
        <v>2690</v>
      </c>
      <c r="F6" s="9" t="s">
        <v>201</v>
      </c>
      <c r="G6" s="22" t="s">
        <v>70</v>
      </c>
      <c r="H6" s="23" t="s">
        <v>376</v>
      </c>
      <c r="I6" s="10"/>
      <c r="J6" s="10"/>
      <c r="K6" s="29" t="str">
        <f>"130,0"</f>
        <v>130,0</v>
      </c>
      <c r="L6" s="10" t="str">
        <f>"154,0370"</f>
        <v>154,0370</v>
      </c>
      <c r="M6" s="9" t="s">
        <v>522</v>
      </c>
    </row>
    <row r="7" spans="1:13">
      <c r="A7" s="14" t="s">
        <v>351</v>
      </c>
      <c r="B7" s="13" t="s">
        <v>12</v>
      </c>
      <c r="C7" s="13" t="s">
        <v>13</v>
      </c>
      <c r="D7" s="13" t="s">
        <v>14</v>
      </c>
      <c r="E7" s="13" t="s">
        <v>2690</v>
      </c>
      <c r="F7" s="13" t="s">
        <v>15</v>
      </c>
      <c r="G7" s="26" t="s">
        <v>22</v>
      </c>
      <c r="H7" s="26" t="s">
        <v>23</v>
      </c>
      <c r="I7" s="26" t="s">
        <v>24</v>
      </c>
      <c r="J7" s="14"/>
      <c r="K7" s="30" t="str">
        <f>"85,0"</f>
        <v>85,0</v>
      </c>
      <c r="L7" s="14" t="str">
        <f>"101,8725"</f>
        <v>101,8725</v>
      </c>
      <c r="M7" s="13" t="s">
        <v>25</v>
      </c>
    </row>
    <row r="8" spans="1:13">
      <c r="B8" s="5" t="s">
        <v>350</v>
      </c>
    </row>
    <row r="9" spans="1:13" ht="16">
      <c r="A9" s="82" t="s">
        <v>378</v>
      </c>
      <c r="B9" s="82"/>
      <c r="C9" s="82"/>
      <c r="D9" s="82"/>
      <c r="E9" s="82"/>
      <c r="F9" s="82"/>
      <c r="G9" s="82"/>
      <c r="H9" s="82"/>
      <c r="I9" s="82"/>
      <c r="J9" s="82"/>
    </row>
    <row r="10" spans="1:13">
      <c r="A10" s="8" t="s">
        <v>349</v>
      </c>
      <c r="B10" s="7" t="s">
        <v>2131</v>
      </c>
      <c r="C10" s="7" t="s">
        <v>2132</v>
      </c>
      <c r="D10" s="7" t="s">
        <v>2133</v>
      </c>
      <c r="E10" s="7" t="s">
        <v>2690</v>
      </c>
      <c r="F10" s="7" t="s">
        <v>1303</v>
      </c>
      <c r="G10" s="20" t="s">
        <v>83</v>
      </c>
      <c r="H10" s="20" t="s">
        <v>50</v>
      </c>
      <c r="I10" s="20" t="s">
        <v>70</v>
      </c>
      <c r="J10" s="8"/>
      <c r="K10" s="32" t="str">
        <f>"130,0"</f>
        <v>130,0</v>
      </c>
      <c r="L10" s="8" t="str">
        <f>"148,8110"</f>
        <v>148,8110</v>
      </c>
      <c r="M10" s="7"/>
    </row>
    <row r="11" spans="1:13">
      <c r="B11" s="5" t="s">
        <v>350</v>
      </c>
    </row>
    <row r="12" spans="1:13" ht="16">
      <c r="A12" s="82" t="s">
        <v>26</v>
      </c>
      <c r="B12" s="82"/>
      <c r="C12" s="82"/>
      <c r="D12" s="82"/>
      <c r="E12" s="82"/>
      <c r="F12" s="82"/>
      <c r="G12" s="82"/>
      <c r="H12" s="82"/>
      <c r="I12" s="82"/>
      <c r="J12" s="82"/>
    </row>
    <row r="13" spans="1:13">
      <c r="A13" s="8" t="s">
        <v>349</v>
      </c>
      <c r="B13" s="7" t="s">
        <v>535</v>
      </c>
      <c r="C13" s="7" t="s">
        <v>536</v>
      </c>
      <c r="D13" s="7" t="s">
        <v>537</v>
      </c>
      <c r="E13" s="7" t="s">
        <v>2690</v>
      </c>
      <c r="F13" s="7" t="s">
        <v>538</v>
      </c>
      <c r="G13" s="20" t="s">
        <v>60</v>
      </c>
      <c r="H13" s="21" t="s">
        <v>37</v>
      </c>
      <c r="I13" s="20" t="s">
        <v>37</v>
      </c>
      <c r="J13" s="8"/>
      <c r="K13" s="32" t="str">
        <f>"190,0"</f>
        <v>190,0</v>
      </c>
      <c r="L13" s="8" t="str">
        <f>"200,9440"</f>
        <v>200,9440</v>
      </c>
      <c r="M13" s="7" t="s">
        <v>2603</v>
      </c>
    </row>
    <row r="14" spans="1:13">
      <c r="B14" s="5" t="s">
        <v>350</v>
      </c>
    </row>
    <row r="15" spans="1:13" ht="16">
      <c r="A15" s="82" t="s">
        <v>55</v>
      </c>
      <c r="B15" s="82"/>
      <c r="C15" s="82"/>
      <c r="D15" s="82"/>
      <c r="E15" s="82"/>
      <c r="F15" s="82"/>
      <c r="G15" s="82"/>
      <c r="H15" s="82"/>
      <c r="I15" s="82"/>
      <c r="J15" s="82"/>
    </row>
    <row r="16" spans="1:13">
      <c r="A16" s="8" t="s">
        <v>349</v>
      </c>
      <c r="B16" s="7" t="s">
        <v>63</v>
      </c>
      <c r="C16" s="7" t="s">
        <v>64</v>
      </c>
      <c r="D16" s="7" t="s">
        <v>65</v>
      </c>
      <c r="E16" s="7" t="s">
        <v>2690</v>
      </c>
      <c r="F16" s="7" t="s">
        <v>15</v>
      </c>
      <c r="G16" s="20" t="s">
        <v>67</v>
      </c>
      <c r="H16" s="20" t="s">
        <v>36</v>
      </c>
      <c r="I16" s="20" t="s">
        <v>70</v>
      </c>
      <c r="J16" s="8"/>
      <c r="K16" s="32" t="str">
        <f>"130,0"</f>
        <v>130,0</v>
      </c>
      <c r="L16" s="8" t="str">
        <f>"125,7360"</f>
        <v>125,7360</v>
      </c>
      <c r="M16" s="7" t="s">
        <v>25</v>
      </c>
    </row>
    <row r="17" spans="1:13">
      <c r="B17" s="5" t="s">
        <v>350</v>
      </c>
    </row>
    <row r="18" spans="1:13" ht="16">
      <c r="A18" s="82" t="s">
        <v>2134</v>
      </c>
      <c r="B18" s="82"/>
      <c r="C18" s="82"/>
      <c r="D18" s="82"/>
      <c r="E18" s="82"/>
      <c r="F18" s="82"/>
      <c r="G18" s="82"/>
      <c r="H18" s="82"/>
      <c r="I18" s="82"/>
      <c r="J18" s="82"/>
    </row>
    <row r="19" spans="1:13">
      <c r="A19" s="10" t="s">
        <v>349</v>
      </c>
      <c r="B19" s="9" t="s">
        <v>2135</v>
      </c>
      <c r="C19" s="9" t="s">
        <v>2136</v>
      </c>
      <c r="D19" s="9" t="s">
        <v>2137</v>
      </c>
      <c r="E19" s="9" t="s">
        <v>2690</v>
      </c>
      <c r="F19" s="9" t="s">
        <v>462</v>
      </c>
      <c r="G19" s="22" t="s">
        <v>166</v>
      </c>
      <c r="H19" s="22" t="s">
        <v>116</v>
      </c>
      <c r="I19" s="22" t="s">
        <v>118</v>
      </c>
      <c r="J19" s="10"/>
      <c r="K19" s="29" t="str">
        <f>"185,0"</f>
        <v>185,0</v>
      </c>
      <c r="L19" s="10" t="str">
        <f>"158,5820"</f>
        <v>158,5820</v>
      </c>
      <c r="M19" s="9" t="s">
        <v>1437</v>
      </c>
    </row>
    <row r="20" spans="1:13">
      <c r="A20" s="14" t="s">
        <v>349</v>
      </c>
      <c r="B20" s="13" t="s">
        <v>2135</v>
      </c>
      <c r="C20" s="13" t="s">
        <v>2138</v>
      </c>
      <c r="D20" s="13" t="s">
        <v>2137</v>
      </c>
      <c r="E20" s="13" t="s">
        <v>2693</v>
      </c>
      <c r="F20" s="13" t="s">
        <v>462</v>
      </c>
      <c r="G20" s="26" t="s">
        <v>166</v>
      </c>
      <c r="H20" s="26" t="s">
        <v>116</v>
      </c>
      <c r="I20" s="26" t="s">
        <v>118</v>
      </c>
      <c r="J20" s="14"/>
      <c r="K20" s="30" t="str">
        <f>"185,0"</f>
        <v>185,0</v>
      </c>
      <c r="L20" s="14" t="str">
        <f>"168,0969"</f>
        <v>168,0969</v>
      </c>
      <c r="M20" s="13" t="s">
        <v>1437</v>
      </c>
    </row>
    <row r="21" spans="1:13">
      <c r="B21" s="5" t="s">
        <v>350</v>
      </c>
    </row>
    <row r="22" spans="1:13" ht="16">
      <c r="A22" s="82" t="s">
        <v>378</v>
      </c>
      <c r="B22" s="82"/>
      <c r="C22" s="82"/>
      <c r="D22" s="82"/>
      <c r="E22" s="82"/>
      <c r="F22" s="82"/>
      <c r="G22" s="82"/>
      <c r="H22" s="82"/>
      <c r="I22" s="82"/>
      <c r="J22" s="82"/>
    </row>
    <row r="23" spans="1:13">
      <c r="A23" s="8" t="s">
        <v>349</v>
      </c>
      <c r="B23" s="7" t="s">
        <v>2139</v>
      </c>
      <c r="C23" s="7" t="s">
        <v>2140</v>
      </c>
      <c r="D23" s="7" t="s">
        <v>2141</v>
      </c>
      <c r="E23" s="7" t="s">
        <v>2689</v>
      </c>
      <c r="F23" s="7" t="s">
        <v>92</v>
      </c>
      <c r="G23" s="21" t="s">
        <v>47</v>
      </c>
      <c r="H23" s="21" t="s">
        <v>47</v>
      </c>
      <c r="I23" s="20" t="s">
        <v>47</v>
      </c>
      <c r="J23" s="8"/>
      <c r="K23" s="32" t="str">
        <f>"155,0"</f>
        <v>155,0</v>
      </c>
      <c r="L23" s="8" t="str">
        <f>"135,5475"</f>
        <v>135,5475</v>
      </c>
      <c r="M23" s="7" t="s">
        <v>557</v>
      </c>
    </row>
    <row r="24" spans="1:13">
      <c r="B24" s="5" t="s">
        <v>350</v>
      </c>
    </row>
    <row r="25" spans="1:13" ht="16">
      <c r="A25" s="82" t="s">
        <v>26</v>
      </c>
      <c r="B25" s="82"/>
      <c r="C25" s="82"/>
      <c r="D25" s="82"/>
      <c r="E25" s="82"/>
      <c r="F25" s="82"/>
      <c r="G25" s="82"/>
      <c r="H25" s="82"/>
      <c r="I25" s="82"/>
      <c r="J25" s="82"/>
    </row>
    <row r="26" spans="1:13">
      <c r="A26" s="8" t="s">
        <v>349</v>
      </c>
      <c r="B26" s="7" t="s">
        <v>79</v>
      </c>
      <c r="C26" s="7" t="s">
        <v>80</v>
      </c>
      <c r="D26" s="7" t="s">
        <v>81</v>
      </c>
      <c r="E26" s="7" t="s">
        <v>2689</v>
      </c>
      <c r="F26" s="7" t="s">
        <v>82</v>
      </c>
      <c r="G26" s="20" t="s">
        <v>85</v>
      </c>
      <c r="H26" s="20" t="s">
        <v>86</v>
      </c>
      <c r="I26" s="21" t="s">
        <v>87</v>
      </c>
      <c r="J26" s="8"/>
      <c r="K26" s="32" t="str">
        <f>"245,0"</f>
        <v>245,0</v>
      </c>
      <c r="L26" s="8" t="str">
        <f>"194,3340"</f>
        <v>194,3340</v>
      </c>
      <c r="M26" s="7" t="s">
        <v>88</v>
      </c>
    </row>
    <row r="27" spans="1:13">
      <c r="B27" s="5" t="s">
        <v>350</v>
      </c>
    </row>
    <row r="28" spans="1:13" ht="16">
      <c r="A28" s="82" t="s">
        <v>55</v>
      </c>
      <c r="B28" s="82"/>
      <c r="C28" s="82"/>
      <c r="D28" s="82"/>
      <c r="E28" s="82"/>
      <c r="F28" s="82"/>
      <c r="G28" s="82"/>
      <c r="H28" s="82"/>
      <c r="I28" s="82"/>
      <c r="J28" s="82"/>
    </row>
    <row r="29" spans="1:13">
      <c r="A29" s="10" t="s">
        <v>352</v>
      </c>
      <c r="B29" s="9" t="s">
        <v>89</v>
      </c>
      <c r="C29" s="9" t="s">
        <v>90</v>
      </c>
      <c r="D29" s="9" t="s">
        <v>91</v>
      </c>
      <c r="E29" s="9" t="s">
        <v>2689</v>
      </c>
      <c r="F29" s="9" t="s">
        <v>92</v>
      </c>
      <c r="G29" s="23" t="s">
        <v>94</v>
      </c>
      <c r="H29" s="23" t="s">
        <v>94</v>
      </c>
      <c r="I29" s="23" t="s">
        <v>94</v>
      </c>
      <c r="J29" s="10"/>
      <c r="K29" s="29">
        <v>0</v>
      </c>
      <c r="L29" s="10" t="str">
        <f>"0,0000"</f>
        <v>0,0000</v>
      </c>
      <c r="M29" s="9" t="s">
        <v>95</v>
      </c>
    </row>
    <row r="30" spans="1:13">
      <c r="A30" s="12" t="s">
        <v>352</v>
      </c>
      <c r="B30" s="11" t="s">
        <v>566</v>
      </c>
      <c r="C30" s="11" t="s">
        <v>567</v>
      </c>
      <c r="D30" s="11" t="s">
        <v>65</v>
      </c>
      <c r="E30" s="11" t="s">
        <v>2690</v>
      </c>
      <c r="F30" s="11" t="s">
        <v>370</v>
      </c>
      <c r="G30" s="25" t="s">
        <v>33</v>
      </c>
      <c r="H30" s="12"/>
      <c r="I30" s="12"/>
      <c r="J30" s="12"/>
      <c r="K30" s="31">
        <v>0</v>
      </c>
      <c r="L30" s="12" t="str">
        <f>"0,0000"</f>
        <v>0,0000</v>
      </c>
      <c r="M30" s="11"/>
    </row>
    <row r="31" spans="1:13">
      <c r="A31" s="14" t="s">
        <v>349</v>
      </c>
      <c r="B31" s="13" t="s">
        <v>2142</v>
      </c>
      <c r="C31" s="13" t="s">
        <v>2143</v>
      </c>
      <c r="D31" s="13" t="s">
        <v>1715</v>
      </c>
      <c r="E31" s="13" t="s">
        <v>2695</v>
      </c>
      <c r="F31" s="13" t="s">
        <v>158</v>
      </c>
      <c r="G31" s="26" t="s">
        <v>136</v>
      </c>
      <c r="H31" s="26" t="s">
        <v>148</v>
      </c>
      <c r="I31" s="26" t="s">
        <v>117</v>
      </c>
      <c r="J31" s="14"/>
      <c r="K31" s="30" t="str">
        <f>"182,5"</f>
        <v>182,5</v>
      </c>
      <c r="L31" s="14" t="str">
        <f>"158,2914"</f>
        <v>158,2914</v>
      </c>
      <c r="M31" s="13" t="s">
        <v>2144</v>
      </c>
    </row>
    <row r="32" spans="1:13">
      <c r="B32" s="5" t="s">
        <v>350</v>
      </c>
    </row>
    <row r="33" spans="1:13" ht="16">
      <c r="A33" s="82" t="s">
        <v>72</v>
      </c>
      <c r="B33" s="82"/>
      <c r="C33" s="82"/>
      <c r="D33" s="82"/>
      <c r="E33" s="82"/>
      <c r="F33" s="82"/>
      <c r="G33" s="82"/>
      <c r="H33" s="82"/>
      <c r="I33" s="82"/>
      <c r="J33" s="82"/>
    </row>
    <row r="34" spans="1:13">
      <c r="A34" s="10" t="s">
        <v>349</v>
      </c>
      <c r="B34" s="9" t="s">
        <v>2145</v>
      </c>
      <c r="C34" s="9" t="s">
        <v>2146</v>
      </c>
      <c r="D34" s="9" t="s">
        <v>2147</v>
      </c>
      <c r="E34" s="9" t="s">
        <v>2689</v>
      </c>
      <c r="F34" s="9" t="s">
        <v>1392</v>
      </c>
      <c r="G34" s="22" t="s">
        <v>77</v>
      </c>
      <c r="H34" s="22" t="s">
        <v>78</v>
      </c>
      <c r="I34" s="23" t="s">
        <v>100</v>
      </c>
      <c r="J34" s="10"/>
      <c r="K34" s="29" t="str">
        <f>"230,0"</f>
        <v>230,0</v>
      </c>
      <c r="L34" s="10" t="str">
        <f>"155,5720"</f>
        <v>155,5720</v>
      </c>
      <c r="M34" s="9" t="s">
        <v>2148</v>
      </c>
    </row>
    <row r="35" spans="1:13">
      <c r="A35" s="12" t="s">
        <v>349</v>
      </c>
      <c r="B35" s="11" t="s">
        <v>2149</v>
      </c>
      <c r="C35" s="11" t="s">
        <v>2150</v>
      </c>
      <c r="D35" s="11" t="s">
        <v>1308</v>
      </c>
      <c r="E35" s="11" t="s">
        <v>2690</v>
      </c>
      <c r="F35" s="11" t="s">
        <v>221</v>
      </c>
      <c r="G35" s="24" t="s">
        <v>94</v>
      </c>
      <c r="H35" s="24" t="s">
        <v>115</v>
      </c>
      <c r="I35" s="25" t="s">
        <v>120</v>
      </c>
      <c r="J35" s="12"/>
      <c r="K35" s="31" t="str">
        <f>"280,0"</f>
        <v>280,0</v>
      </c>
      <c r="L35" s="12" t="str">
        <f>"188,9720"</f>
        <v>188,9720</v>
      </c>
      <c r="M35" s="11"/>
    </row>
    <row r="36" spans="1:13">
      <c r="A36" s="12" t="s">
        <v>351</v>
      </c>
      <c r="B36" s="11" t="s">
        <v>571</v>
      </c>
      <c r="C36" s="11" t="s">
        <v>572</v>
      </c>
      <c r="D36" s="11" t="s">
        <v>573</v>
      </c>
      <c r="E36" s="11" t="s">
        <v>2690</v>
      </c>
      <c r="F36" s="11" t="s">
        <v>574</v>
      </c>
      <c r="G36" s="24" t="s">
        <v>87</v>
      </c>
      <c r="H36" s="24" t="s">
        <v>115</v>
      </c>
      <c r="I36" s="12"/>
      <c r="J36" s="12"/>
      <c r="K36" s="31" t="str">
        <f>"280,0"</f>
        <v>280,0</v>
      </c>
      <c r="L36" s="12" t="str">
        <f>"188,5520"</f>
        <v>188,5520</v>
      </c>
      <c r="M36" s="11" t="s">
        <v>575</v>
      </c>
    </row>
    <row r="37" spans="1:13">
      <c r="A37" s="12" t="s">
        <v>353</v>
      </c>
      <c r="B37" s="11" t="s">
        <v>579</v>
      </c>
      <c r="C37" s="11" t="s">
        <v>580</v>
      </c>
      <c r="D37" s="11" t="s">
        <v>581</v>
      </c>
      <c r="E37" s="11" t="s">
        <v>2690</v>
      </c>
      <c r="F37" s="11" t="s">
        <v>582</v>
      </c>
      <c r="G37" s="24" t="s">
        <v>100</v>
      </c>
      <c r="H37" s="24" t="s">
        <v>583</v>
      </c>
      <c r="I37" s="24" t="s">
        <v>130</v>
      </c>
      <c r="J37" s="12"/>
      <c r="K37" s="31" t="str">
        <f>"265,0"</f>
        <v>265,0</v>
      </c>
      <c r="L37" s="12" t="str">
        <f>"177,7885"</f>
        <v>177,7885</v>
      </c>
      <c r="M37" s="11"/>
    </row>
    <row r="38" spans="1:13">
      <c r="A38" s="12" t="s">
        <v>354</v>
      </c>
      <c r="B38" s="11" t="s">
        <v>2151</v>
      </c>
      <c r="C38" s="11" t="s">
        <v>2152</v>
      </c>
      <c r="D38" s="11" t="s">
        <v>2153</v>
      </c>
      <c r="E38" s="11" t="s">
        <v>2690</v>
      </c>
      <c r="F38" s="11" t="s">
        <v>221</v>
      </c>
      <c r="G38" s="24" t="s">
        <v>87</v>
      </c>
      <c r="H38" s="25" t="s">
        <v>126</v>
      </c>
      <c r="I38" s="12"/>
      <c r="J38" s="12"/>
      <c r="K38" s="31" t="str">
        <f>"250,0"</f>
        <v>250,0</v>
      </c>
      <c r="L38" s="12" t="str">
        <f>"171,6250"</f>
        <v>171,6250</v>
      </c>
      <c r="M38" s="11"/>
    </row>
    <row r="39" spans="1:13">
      <c r="A39" s="12" t="s">
        <v>352</v>
      </c>
      <c r="B39" s="11" t="s">
        <v>566</v>
      </c>
      <c r="C39" s="11" t="s">
        <v>567</v>
      </c>
      <c r="D39" s="11" t="s">
        <v>2154</v>
      </c>
      <c r="E39" s="11" t="s">
        <v>2690</v>
      </c>
      <c r="F39" s="11" t="s">
        <v>370</v>
      </c>
      <c r="G39" s="25" t="s">
        <v>77</v>
      </c>
      <c r="H39" s="25" t="s">
        <v>77</v>
      </c>
      <c r="I39" s="25" t="s">
        <v>77</v>
      </c>
      <c r="J39" s="12"/>
      <c r="K39" s="31">
        <v>0</v>
      </c>
      <c r="L39" s="12" t="str">
        <f>"0,0000"</f>
        <v>0,0000</v>
      </c>
      <c r="M39" s="11"/>
    </row>
    <row r="40" spans="1:13">
      <c r="A40" s="14" t="s">
        <v>349</v>
      </c>
      <c r="B40" s="13" t="s">
        <v>2155</v>
      </c>
      <c r="C40" s="13" t="s">
        <v>2156</v>
      </c>
      <c r="D40" s="13" t="s">
        <v>581</v>
      </c>
      <c r="E40" s="13" t="s">
        <v>2695</v>
      </c>
      <c r="F40" s="13" t="s">
        <v>382</v>
      </c>
      <c r="G40" s="26" t="s">
        <v>118</v>
      </c>
      <c r="H40" s="26" t="s">
        <v>160</v>
      </c>
      <c r="I40" s="27" t="s">
        <v>195</v>
      </c>
      <c r="J40" s="14"/>
      <c r="K40" s="30" t="str">
        <f>"197,5"</f>
        <v>197,5</v>
      </c>
      <c r="L40" s="14" t="str">
        <f>"152,3782"</f>
        <v>152,3782</v>
      </c>
      <c r="M40" s="13" t="s">
        <v>2157</v>
      </c>
    </row>
    <row r="41" spans="1:13">
      <c r="B41" s="5" t="s">
        <v>350</v>
      </c>
    </row>
    <row r="42" spans="1:13" ht="16">
      <c r="A42" s="82" t="s">
        <v>143</v>
      </c>
      <c r="B42" s="82"/>
      <c r="C42" s="82"/>
      <c r="D42" s="82"/>
      <c r="E42" s="82"/>
      <c r="F42" s="82"/>
      <c r="G42" s="82"/>
      <c r="H42" s="82"/>
      <c r="I42" s="82"/>
      <c r="J42" s="82"/>
    </row>
    <row r="43" spans="1:13">
      <c r="A43" s="10" t="s">
        <v>349</v>
      </c>
      <c r="B43" s="9" t="s">
        <v>2158</v>
      </c>
      <c r="C43" s="9" t="s">
        <v>2159</v>
      </c>
      <c r="D43" s="9" t="s">
        <v>622</v>
      </c>
      <c r="E43" s="9" t="s">
        <v>2689</v>
      </c>
      <c r="F43" s="9" t="s">
        <v>1392</v>
      </c>
      <c r="G43" s="23" t="s">
        <v>94</v>
      </c>
      <c r="H43" s="22" t="s">
        <v>94</v>
      </c>
      <c r="I43" s="23" t="s">
        <v>126</v>
      </c>
      <c r="J43" s="10"/>
      <c r="K43" s="29" t="str">
        <f>"260,0"</f>
        <v>260,0</v>
      </c>
      <c r="L43" s="10" t="str">
        <f>"167,9340"</f>
        <v>167,9340</v>
      </c>
      <c r="M43" s="9" t="s">
        <v>2148</v>
      </c>
    </row>
    <row r="44" spans="1:13">
      <c r="A44" s="12" t="s">
        <v>349</v>
      </c>
      <c r="B44" s="11" t="s">
        <v>2160</v>
      </c>
      <c r="C44" s="11" t="s">
        <v>2161</v>
      </c>
      <c r="D44" s="11" t="s">
        <v>1028</v>
      </c>
      <c r="E44" s="11" t="s">
        <v>2690</v>
      </c>
      <c r="F44" s="11" t="s">
        <v>730</v>
      </c>
      <c r="G44" s="24" t="s">
        <v>209</v>
      </c>
      <c r="H44" s="24" t="s">
        <v>304</v>
      </c>
      <c r="I44" s="24" t="s">
        <v>212</v>
      </c>
      <c r="J44" s="12"/>
      <c r="K44" s="31" t="str">
        <f>"312,5"</f>
        <v>312,5</v>
      </c>
      <c r="L44" s="12" t="str">
        <f>"201,1250"</f>
        <v>201,1250</v>
      </c>
      <c r="M44" s="11"/>
    </row>
    <row r="45" spans="1:13">
      <c r="A45" s="12" t="s">
        <v>351</v>
      </c>
      <c r="B45" s="11" t="s">
        <v>616</v>
      </c>
      <c r="C45" s="11" t="s">
        <v>617</v>
      </c>
      <c r="D45" s="11" t="s">
        <v>618</v>
      </c>
      <c r="E45" s="11" t="s">
        <v>2690</v>
      </c>
      <c r="F45" s="11" t="s">
        <v>76</v>
      </c>
      <c r="G45" s="24" t="s">
        <v>86</v>
      </c>
      <c r="H45" s="24" t="s">
        <v>94</v>
      </c>
      <c r="I45" s="25" t="s">
        <v>114</v>
      </c>
      <c r="J45" s="12"/>
      <c r="K45" s="31" t="str">
        <f>"260,0"</f>
        <v>260,0</v>
      </c>
      <c r="L45" s="12" t="str">
        <f>"168,2460"</f>
        <v>168,2460</v>
      </c>
      <c r="M45" s="11" t="s">
        <v>619</v>
      </c>
    </row>
    <row r="46" spans="1:13">
      <c r="A46" s="12" t="s">
        <v>353</v>
      </c>
      <c r="B46" s="11" t="s">
        <v>2162</v>
      </c>
      <c r="C46" s="11" t="s">
        <v>2163</v>
      </c>
      <c r="D46" s="11" t="s">
        <v>2164</v>
      </c>
      <c r="E46" s="11" t="s">
        <v>2690</v>
      </c>
      <c r="F46" s="11" t="s">
        <v>513</v>
      </c>
      <c r="G46" s="24" t="s">
        <v>86</v>
      </c>
      <c r="H46" s="25" t="s">
        <v>129</v>
      </c>
      <c r="I46" s="25" t="s">
        <v>129</v>
      </c>
      <c r="J46" s="12"/>
      <c r="K46" s="31" t="str">
        <f>"245,0"</f>
        <v>245,0</v>
      </c>
      <c r="L46" s="12" t="str">
        <f>"159,6175"</f>
        <v>159,6175</v>
      </c>
      <c r="M46" s="11" t="s">
        <v>2165</v>
      </c>
    </row>
    <row r="47" spans="1:13">
      <c r="A47" s="12" t="s">
        <v>354</v>
      </c>
      <c r="B47" s="11" t="s">
        <v>1355</v>
      </c>
      <c r="C47" s="11" t="s">
        <v>1356</v>
      </c>
      <c r="D47" s="11" t="s">
        <v>1169</v>
      </c>
      <c r="E47" s="11" t="s">
        <v>2690</v>
      </c>
      <c r="F47" s="11" t="s">
        <v>1357</v>
      </c>
      <c r="G47" s="24" t="s">
        <v>78</v>
      </c>
      <c r="H47" s="24" t="s">
        <v>85</v>
      </c>
      <c r="I47" s="25" t="s">
        <v>100</v>
      </c>
      <c r="J47" s="12"/>
      <c r="K47" s="31" t="str">
        <f>"235,0"</f>
        <v>235,0</v>
      </c>
      <c r="L47" s="12" t="str">
        <f>"150,2825"</f>
        <v>150,2825</v>
      </c>
      <c r="M47" s="11"/>
    </row>
    <row r="48" spans="1:13">
      <c r="A48" s="12" t="s">
        <v>355</v>
      </c>
      <c r="B48" s="11" t="s">
        <v>2166</v>
      </c>
      <c r="C48" s="11" t="s">
        <v>2167</v>
      </c>
      <c r="D48" s="11" t="s">
        <v>1012</v>
      </c>
      <c r="E48" s="11" t="s">
        <v>2690</v>
      </c>
      <c r="F48" s="11" t="s">
        <v>2168</v>
      </c>
      <c r="G48" s="24" t="s">
        <v>37</v>
      </c>
      <c r="H48" s="24" t="s">
        <v>39</v>
      </c>
      <c r="I48" s="25" t="s">
        <v>78</v>
      </c>
      <c r="J48" s="12"/>
      <c r="K48" s="31" t="str">
        <f>"210,0"</f>
        <v>210,0</v>
      </c>
      <c r="L48" s="12" t="str">
        <f>"137,3400"</f>
        <v>137,3400</v>
      </c>
      <c r="M48" s="11" t="s">
        <v>2169</v>
      </c>
    </row>
    <row r="49" spans="1:13">
      <c r="A49" s="12" t="s">
        <v>349</v>
      </c>
      <c r="B49" s="11" t="s">
        <v>2166</v>
      </c>
      <c r="C49" s="11" t="s">
        <v>2170</v>
      </c>
      <c r="D49" s="11" t="s">
        <v>1012</v>
      </c>
      <c r="E49" s="11" t="s">
        <v>2693</v>
      </c>
      <c r="F49" s="11" t="s">
        <v>2168</v>
      </c>
      <c r="G49" s="24" t="s">
        <v>37</v>
      </c>
      <c r="H49" s="24" t="s">
        <v>39</v>
      </c>
      <c r="I49" s="25" t="s">
        <v>78</v>
      </c>
      <c r="J49" s="12"/>
      <c r="K49" s="31" t="str">
        <f>"210,0"</f>
        <v>210,0</v>
      </c>
      <c r="L49" s="12" t="str">
        <f>"150,5246"</f>
        <v>150,5246</v>
      </c>
      <c r="M49" s="11" t="s">
        <v>2169</v>
      </c>
    </row>
    <row r="50" spans="1:13">
      <c r="A50" s="12" t="s">
        <v>349</v>
      </c>
      <c r="B50" s="11" t="s">
        <v>2160</v>
      </c>
      <c r="C50" s="11" t="s">
        <v>2171</v>
      </c>
      <c r="D50" s="11" t="s">
        <v>1028</v>
      </c>
      <c r="E50" s="11" t="s">
        <v>2695</v>
      </c>
      <c r="F50" s="11" t="s">
        <v>730</v>
      </c>
      <c r="G50" s="24" t="s">
        <v>209</v>
      </c>
      <c r="H50" s="24" t="s">
        <v>304</v>
      </c>
      <c r="I50" s="24" t="s">
        <v>212</v>
      </c>
      <c r="J50" s="12"/>
      <c r="K50" s="31" t="str">
        <f>"312,5"</f>
        <v>312,5</v>
      </c>
      <c r="L50" s="12" t="str">
        <f>"231,2937"</f>
        <v>231,2937</v>
      </c>
      <c r="M50" s="11"/>
    </row>
    <row r="51" spans="1:13">
      <c r="A51" s="12" t="s">
        <v>351</v>
      </c>
      <c r="B51" s="11" t="s">
        <v>179</v>
      </c>
      <c r="C51" s="11" t="s">
        <v>180</v>
      </c>
      <c r="D51" s="11" t="s">
        <v>181</v>
      </c>
      <c r="E51" s="11" t="s">
        <v>2695</v>
      </c>
      <c r="F51" s="11" t="s">
        <v>15</v>
      </c>
      <c r="G51" s="24" t="s">
        <v>94</v>
      </c>
      <c r="H51" s="24" t="s">
        <v>115</v>
      </c>
      <c r="I51" s="25" t="s">
        <v>182</v>
      </c>
      <c r="J51" s="12"/>
      <c r="K51" s="31" t="str">
        <f>"280,0"</f>
        <v>280,0</v>
      </c>
      <c r="L51" s="12" t="str">
        <f>"223,3241"</f>
        <v>223,3241</v>
      </c>
      <c r="M51" s="11"/>
    </row>
    <row r="52" spans="1:13">
      <c r="A52" s="12" t="s">
        <v>353</v>
      </c>
      <c r="B52" s="11" t="s">
        <v>624</v>
      </c>
      <c r="C52" s="11" t="s">
        <v>625</v>
      </c>
      <c r="D52" s="11" t="s">
        <v>447</v>
      </c>
      <c r="E52" s="11" t="s">
        <v>2695</v>
      </c>
      <c r="F52" s="11" t="s">
        <v>626</v>
      </c>
      <c r="G52" s="24" t="s">
        <v>37</v>
      </c>
      <c r="H52" s="24" t="s">
        <v>31</v>
      </c>
      <c r="I52" s="25" t="s">
        <v>39</v>
      </c>
      <c r="J52" s="12"/>
      <c r="K52" s="31" t="str">
        <f>"205,0"</f>
        <v>205,0</v>
      </c>
      <c r="L52" s="12" t="str">
        <f>"170,9109"</f>
        <v>170,9109</v>
      </c>
      <c r="M52" s="11" t="s">
        <v>628</v>
      </c>
    </row>
    <row r="53" spans="1:13">
      <c r="A53" s="14" t="s">
        <v>349</v>
      </c>
      <c r="B53" s="13" t="s">
        <v>2172</v>
      </c>
      <c r="C53" s="13" t="s">
        <v>2173</v>
      </c>
      <c r="D53" s="13" t="s">
        <v>1153</v>
      </c>
      <c r="E53" s="13" t="s">
        <v>2694</v>
      </c>
      <c r="F53" s="13" t="s">
        <v>201</v>
      </c>
      <c r="G53" s="26" t="s">
        <v>87</v>
      </c>
      <c r="H53" s="26" t="s">
        <v>130</v>
      </c>
      <c r="I53" s="27" t="s">
        <v>119</v>
      </c>
      <c r="J53" s="14"/>
      <c r="K53" s="30" t="str">
        <f>"265,0"</f>
        <v>265,0</v>
      </c>
      <c r="L53" s="14" t="str">
        <f>"261,6218"</f>
        <v>261,6218</v>
      </c>
      <c r="M53" s="13"/>
    </row>
    <row r="54" spans="1:13">
      <c r="B54" s="5" t="s">
        <v>350</v>
      </c>
    </row>
    <row r="55" spans="1:13" ht="16">
      <c r="A55" s="82" t="s">
        <v>183</v>
      </c>
      <c r="B55" s="82"/>
      <c r="C55" s="82"/>
      <c r="D55" s="82"/>
      <c r="E55" s="82"/>
      <c r="F55" s="82"/>
      <c r="G55" s="82"/>
      <c r="H55" s="82"/>
      <c r="I55" s="82"/>
      <c r="J55" s="82"/>
    </row>
    <row r="56" spans="1:13">
      <c r="A56" s="10" t="s">
        <v>349</v>
      </c>
      <c r="B56" s="9" t="s">
        <v>2174</v>
      </c>
      <c r="C56" s="9" t="s">
        <v>2175</v>
      </c>
      <c r="D56" s="9" t="s">
        <v>2176</v>
      </c>
      <c r="E56" s="9" t="s">
        <v>2691</v>
      </c>
      <c r="F56" s="9" t="s">
        <v>513</v>
      </c>
      <c r="G56" s="22" t="s">
        <v>193</v>
      </c>
      <c r="H56" s="22" t="s">
        <v>196</v>
      </c>
      <c r="I56" s="23" t="s">
        <v>253</v>
      </c>
      <c r="J56" s="10"/>
      <c r="K56" s="29" t="str">
        <f>"330,0"</f>
        <v>330,0</v>
      </c>
      <c r="L56" s="10" t="str">
        <f>"204,3030"</f>
        <v>204,3030</v>
      </c>
      <c r="M56" s="9" t="s">
        <v>2680</v>
      </c>
    </row>
    <row r="57" spans="1:13">
      <c r="A57" s="12" t="s">
        <v>349</v>
      </c>
      <c r="B57" s="11" t="s">
        <v>2177</v>
      </c>
      <c r="C57" s="11" t="s">
        <v>2178</v>
      </c>
      <c r="D57" s="11" t="s">
        <v>1173</v>
      </c>
      <c r="E57" s="11" t="s">
        <v>2690</v>
      </c>
      <c r="F57" s="11" t="s">
        <v>2179</v>
      </c>
      <c r="G57" s="24" t="s">
        <v>308</v>
      </c>
      <c r="H57" s="25" t="s">
        <v>493</v>
      </c>
      <c r="I57" s="24" t="s">
        <v>493</v>
      </c>
      <c r="J57" s="12"/>
      <c r="K57" s="31" t="str">
        <f>"345,0"</f>
        <v>345,0</v>
      </c>
      <c r="L57" s="12" t="str">
        <f>"216,2805"</f>
        <v>216,2805</v>
      </c>
      <c r="M57" s="11"/>
    </row>
    <row r="58" spans="1:13">
      <c r="A58" s="12" t="s">
        <v>351</v>
      </c>
      <c r="B58" s="11" t="s">
        <v>189</v>
      </c>
      <c r="C58" s="11" t="s">
        <v>190</v>
      </c>
      <c r="D58" s="11" t="s">
        <v>191</v>
      </c>
      <c r="E58" s="11" t="s">
        <v>2690</v>
      </c>
      <c r="F58" s="11" t="s">
        <v>192</v>
      </c>
      <c r="G58" s="24" t="s">
        <v>194</v>
      </c>
      <c r="H58" s="24" t="s">
        <v>196</v>
      </c>
      <c r="I58" s="24" t="s">
        <v>197</v>
      </c>
      <c r="J58" s="12"/>
      <c r="K58" s="31" t="str">
        <f>"340,0"</f>
        <v>340,0</v>
      </c>
      <c r="L58" s="12" t="str">
        <f>"207,9440"</f>
        <v>207,9440</v>
      </c>
      <c r="M58" s="11"/>
    </row>
    <row r="59" spans="1:13">
      <c r="A59" s="12" t="s">
        <v>353</v>
      </c>
      <c r="B59" s="11" t="s">
        <v>213</v>
      </c>
      <c r="C59" s="11" t="s">
        <v>214</v>
      </c>
      <c r="D59" s="11" t="s">
        <v>215</v>
      </c>
      <c r="E59" s="11" t="s">
        <v>2690</v>
      </c>
      <c r="F59" s="11" t="s">
        <v>216</v>
      </c>
      <c r="G59" s="24" t="s">
        <v>193</v>
      </c>
      <c r="H59" s="24" t="s">
        <v>212</v>
      </c>
      <c r="I59" s="24" t="s">
        <v>172</v>
      </c>
      <c r="J59" s="12"/>
      <c r="K59" s="31" t="str">
        <f>"320,0"</f>
        <v>320,0</v>
      </c>
      <c r="L59" s="12" t="str">
        <f>"195,1360"</f>
        <v>195,1360</v>
      </c>
      <c r="M59" s="11" t="s">
        <v>217</v>
      </c>
    </row>
    <row r="60" spans="1:13">
      <c r="A60" s="12" t="s">
        <v>354</v>
      </c>
      <c r="B60" s="11" t="s">
        <v>2180</v>
      </c>
      <c r="C60" s="11" t="s">
        <v>2181</v>
      </c>
      <c r="D60" s="11" t="s">
        <v>682</v>
      </c>
      <c r="E60" s="11" t="s">
        <v>2690</v>
      </c>
      <c r="F60" s="11" t="s">
        <v>221</v>
      </c>
      <c r="G60" s="25" t="s">
        <v>209</v>
      </c>
      <c r="H60" s="24" t="s">
        <v>171</v>
      </c>
      <c r="I60" s="24" t="s">
        <v>212</v>
      </c>
      <c r="J60" s="12"/>
      <c r="K60" s="31" t="str">
        <f>"312,5"</f>
        <v>312,5</v>
      </c>
      <c r="L60" s="12" t="str">
        <f>"192,0938"</f>
        <v>192,0938</v>
      </c>
      <c r="M60" s="11" t="s">
        <v>2592</v>
      </c>
    </row>
    <row r="61" spans="1:13">
      <c r="A61" s="12" t="s">
        <v>355</v>
      </c>
      <c r="B61" s="11" t="s">
        <v>658</v>
      </c>
      <c r="C61" s="11" t="s">
        <v>659</v>
      </c>
      <c r="D61" s="11" t="s">
        <v>215</v>
      </c>
      <c r="E61" s="11" t="s">
        <v>2690</v>
      </c>
      <c r="F61" s="11" t="s">
        <v>135</v>
      </c>
      <c r="G61" s="24" t="s">
        <v>603</v>
      </c>
      <c r="H61" s="25" t="s">
        <v>212</v>
      </c>
      <c r="I61" s="25" t="s">
        <v>212</v>
      </c>
      <c r="J61" s="12"/>
      <c r="K61" s="31" t="str">
        <f>"297,5"</f>
        <v>297,5</v>
      </c>
      <c r="L61" s="12" t="str">
        <f>"181,4155"</f>
        <v>181,4155</v>
      </c>
      <c r="M61" s="11" t="s">
        <v>660</v>
      </c>
    </row>
    <row r="62" spans="1:13">
      <c r="A62" s="12" t="s">
        <v>356</v>
      </c>
      <c r="B62" s="11" t="s">
        <v>2182</v>
      </c>
      <c r="C62" s="11" t="s">
        <v>2183</v>
      </c>
      <c r="D62" s="11" t="s">
        <v>1049</v>
      </c>
      <c r="E62" s="11" t="s">
        <v>2690</v>
      </c>
      <c r="F62" s="11" t="s">
        <v>2184</v>
      </c>
      <c r="G62" s="24" t="s">
        <v>119</v>
      </c>
      <c r="H62" s="24" t="s">
        <v>292</v>
      </c>
      <c r="I62" s="25" t="s">
        <v>193</v>
      </c>
      <c r="J62" s="12"/>
      <c r="K62" s="31" t="str">
        <f>"295,0"</f>
        <v>295,0</v>
      </c>
      <c r="L62" s="12" t="str">
        <f>"184,3750"</f>
        <v>184,3750</v>
      </c>
      <c r="M62" s="11"/>
    </row>
    <row r="63" spans="1:13">
      <c r="A63" s="12" t="s">
        <v>357</v>
      </c>
      <c r="B63" s="11" t="s">
        <v>223</v>
      </c>
      <c r="C63" s="11" t="s">
        <v>224</v>
      </c>
      <c r="D63" s="11" t="s">
        <v>225</v>
      </c>
      <c r="E63" s="11" t="s">
        <v>2690</v>
      </c>
      <c r="F63" s="11" t="s">
        <v>221</v>
      </c>
      <c r="G63" s="24" t="s">
        <v>209</v>
      </c>
      <c r="H63" s="25" t="s">
        <v>212</v>
      </c>
      <c r="I63" s="25" t="s">
        <v>212</v>
      </c>
      <c r="J63" s="12"/>
      <c r="K63" s="31" t="str">
        <f>"290,0"</f>
        <v>290,0</v>
      </c>
      <c r="L63" s="12" t="str">
        <f>"177,6540"</f>
        <v>177,6540</v>
      </c>
      <c r="M63" s="11"/>
    </row>
    <row r="64" spans="1:13">
      <c r="A64" s="12" t="s">
        <v>358</v>
      </c>
      <c r="B64" s="11" t="s">
        <v>2185</v>
      </c>
      <c r="C64" s="11" t="s">
        <v>2186</v>
      </c>
      <c r="D64" s="11" t="s">
        <v>633</v>
      </c>
      <c r="E64" s="11" t="s">
        <v>2690</v>
      </c>
      <c r="F64" s="11" t="s">
        <v>1707</v>
      </c>
      <c r="G64" s="25" t="s">
        <v>94</v>
      </c>
      <c r="H64" s="24" t="s">
        <v>94</v>
      </c>
      <c r="I64" s="24" t="s">
        <v>114</v>
      </c>
      <c r="J64" s="12"/>
      <c r="K64" s="31" t="str">
        <f>"272,5"</f>
        <v>272,5</v>
      </c>
      <c r="L64" s="12" t="str">
        <f>"167,5875"</f>
        <v>167,5875</v>
      </c>
      <c r="M64" s="11"/>
    </row>
    <row r="65" spans="1:13">
      <c r="A65" s="14" t="s">
        <v>349</v>
      </c>
      <c r="B65" s="13" t="s">
        <v>2187</v>
      </c>
      <c r="C65" s="13" t="s">
        <v>2188</v>
      </c>
      <c r="D65" s="13" t="s">
        <v>2189</v>
      </c>
      <c r="E65" s="13" t="s">
        <v>2694</v>
      </c>
      <c r="F65" s="13" t="s">
        <v>2190</v>
      </c>
      <c r="G65" s="26" t="s">
        <v>77</v>
      </c>
      <c r="H65" s="26" t="s">
        <v>78</v>
      </c>
      <c r="I65" s="27" t="s">
        <v>100</v>
      </c>
      <c r="J65" s="14"/>
      <c r="K65" s="30" t="str">
        <f>"230,0"</f>
        <v>230,0</v>
      </c>
      <c r="L65" s="14" t="str">
        <f>"242,5679"</f>
        <v>242,5679</v>
      </c>
      <c r="M65" s="13"/>
    </row>
    <row r="66" spans="1:13">
      <c r="B66" s="5" t="s">
        <v>350</v>
      </c>
    </row>
    <row r="67" spans="1:13" ht="16">
      <c r="A67" s="82" t="s">
        <v>244</v>
      </c>
      <c r="B67" s="82"/>
      <c r="C67" s="82"/>
      <c r="D67" s="82"/>
      <c r="E67" s="82"/>
      <c r="F67" s="82"/>
      <c r="G67" s="82"/>
      <c r="H67" s="82"/>
      <c r="I67" s="82"/>
      <c r="J67" s="82"/>
    </row>
    <row r="68" spans="1:13">
      <c r="A68" s="10" t="s">
        <v>349</v>
      </c>
      <c r="B68" s="9" t="s">
        <v>2191</v>
      </c>
      <c r="C68" s="9" t="s">
        <v>2192</v>
      </c>
      <c r="D68" s="9" t="s">
        <v>1927</v>
      </c>
      <c r="E68" s="9" t="s">
        <v>2689</v>
      </c>
      <c r="F68" s="9" t="s">
        <v>1392</v>
      </c>
      <c r="G68" s="22" t="s">
        <v>211</v>
      </c>
      <c r="H68" s="23" t="s">
        <v>650</v>
      </c>
      <c r="I68" s="10"/>
      <c r="J68" s="10"/>
      <c r="K68" s="29" t="str">
        <f>"310,0"</f>
        <v>310,0</v>
      </c>
      <c r="L68" s="10" t="str">
        <f>"185,0700"</f>
        <v>185,0700</v>
      </c>
      <c r="M68" s="9"/>
    </row>
    <row r="69" spans="1:13">
      <c r="A69" s="12" t="s">
        <v>349</v>
      </c>
      <c r="B69" s="11" t="s">
        <v>709</v>
      </c>
      <c r="C69" s="11" t="s">
        <v>710</v>
      </c>
      <c r="D69" s="11" t="s">
        <v>478</v>
      </c>
      <c r="E69" s="11" t="s">
        <v>2690</v>
      </c>
      <c r="F69" s="11" t="s">
        <v>313</v>
      </c>
      <c r="G69" s="24" t="s">
        <v>196</v>
      </c>
      <c r="H69" s="25" t="s">
        <v>197</v>
      </c>
      <c r="I69" s="25" t="s">
        <v>197</v>
      </c>
      <c r="J69" s="12"/>
      <c r="K69" s="31" t="str">
        <f>"330,0"</f>
        <v>330,0</v>
      </c>
      <c r="L69" s="12" t="str">
        <f>"195,3270"</f>
        <v>195,3270</v>
      </c>
      <c r="M69" s="11" t="s">
        <v>711</v>
      </c>
    </row>
    <row r="70" spans="1:13">
      <c r="A70" s="12" t="s">
        <v>351</v>
      </c>
      <c r="B70" s="11" t="s">
        <v>2193</v>
      </c>
      <c r="C70" s="11" t="s">
        <v>2194</v>
      </c>
      <c r="D70" s="11" t="s">
        <v>2195</v>
      </c>
      <c r="E70" s="11" t="s">
        <v>2690</v>
      </c>
      <c r="F70" s="11" t="s">
        <v>2196</v>
      </c>
      <c r="G70" s="24" t="s">
        <v>209</v>
      </c>
      <c r="H70" s="25" t="s">
        <v>171</v>
      </c>
      <c r="I70" s="25" t="s">
        <v>202</v>
      </c>
      <c r="J70" s="12"/>
      <c r="K70" s="31" t="str">
        <f>"290,0"</f>
        <v>290,0</v>
      </c>
      <c r="L70" s="12" t="str">
        <f>"172,2310"</f>
        <v>172,2310</v>
      </c>
      <c r="M70" s="11"/>
    </row>
    <row r="71" spans="1:13">
      <c r="A71" s="12" t="s">
        <v>353</v>
      </c>
      <c r="B71" s="11" t="s">
        <v>702</v>
      </c>
      <c r="C71" s="11" t="s">
        <v>703</v>
      </c>
      <c r="D71" s="11" t="s">
        <v>704</v>
      </c>
      <c r="E71" s="11" t="s">
        <v>2690</v>
      </c>
      <c r="F71" s="11" t="s">
        <v>221</v>
      </c>
      <c r="G71" s="24" t="s">
        <v>115</v>
      </c>
      <c r="H71" s="24" t="s">
        <v>209</v>
      </c>
      <c r="I71" s="25" t="s">
        <v>193</v>
      </c>
      <c r="J71" s="12"/>
      <c r="K71" s="31" t="str">
        <f>"290,0"</f>
        <v>290,0</v>
      </c>
      <c r="L71" s="12" t="str">
        <f>"171,1580"</f>
        <v>171,1580</v>
      </c>
      <c r="M71" s="11" t="s">
        <v>705</v>
      </c>
    </row>
    <row r="72" spans="1:13">
      <c r="A72" s="12" t="s">
        <v>354</v>
      </c>
      <c r="B72" s="11" t="s">
        <v>2197</v>
      </c>
      <c r="C72" s="11" t="s">
        <v>2198</v>
      </c>
      <c r="D72" s="11" t="s">
        <v>2199</v>
      </c>
      <c r="E72" s="11" t="s">
        <v>2690</v>
      </c>
      <c r="F72" s="11" t="s">
        <v>92</v>
      </c>
      <c r="G72" s="24" t="s">
        <v>115</v>
      </c>
      <c r="H72" s="25" t="s">
        <v>193</v>
      </c>
      <c r="I72" s="25" t="s">
        <v>193</v>
      </c>
      <c r="J72" s="12"/>
      <c r="K72" s="31" t="str">
        <f>"280,0"</f>
        <v>280,0</v>
      </c>
      <c r="L72" s="12" t="str">
        <f>"167,6080"</f>
        <v>167,6080</v>
      </c>
      <c r="M72" s="11"/>
    </row>
    <row r="73" spans="1:13">
      <c r="A73" s="12" t="s">
        <v>355</v>
      </c>
      <c r="B73" s="11" t="s">
        <v>2200</v>
      </c>
      <c r="C73" s="11" t="s">
        <v>2201</v>
      </c>
      <c r="D73" s="11" t="s">
        <v>2195</v>
      </c>
      <c r="E73" s="11" t="s">
        <v>2690</v>
      </c>
      <c r="F73" s="11" t="s">
        <v>221</v>
      </c>
      <c r="G73" s="25" t="s">
        <v>78</v>
      </c>
      <c r="H73" s="24" t="s">
        <v>86</v>
      </c>
      <c r="I73" s="24" t="s">
        <v>444</v>
      </c>
      <c r="J73" s="12"/>
      <c r="K73" s="31" t="str">
        <f>"252,5"</f>
        <v>252,5</v>
      </c>
      <c r="L73" s="12" t="str">
        <f>"149,9598"</f>
        <v>149,9598</v>
      </c>
      <c r="M73" s="11" t="s">
        <v>423</v>
      </c>
    </row>
    <row r="74" spans="1:13">
      <c r="A74" s="14" t="s">
        <v>349</v>
      </c>
      <c r="B74" s="13" t="s">
        <v>2202</v>
      </c>
      <c r="C74" s="13" t="s">
        <v>2203</v>
      </c>
      <c r="D74" s="13" t="s">
        <v>2204</v>
      </c>
      <c r="E74" s="13" t="s">
        <v>2693</v>
      </c>
      <c r="F74" s="13" t="s">
        <v>1687</v>
      </c>
      <c r="G74" s="26" t="s">
        <v>31</v>
      </c>
      <c r="H74" s="26" t="s">
        <v>32</v>
      </c>
      <c r="I74" s="27" t="s">
        <v>33</v>
      </c>
      <c r="J74" s="14"/>
      <c r="K74" s="30" t="str">
        <f>"215,0"</f>
        <v>215,0</v>
      </c>
      <c r="L74" s="14" t="str">
        <f>"130,3760"</f>
        <v>130,3760</v>
      </c>
      <c r="M74" s="13" t="s">
        <v>2205</v>
      </c>
    </row>
    <row r="75" spans="1:13">
      <c r="B75" s="5" t="s">
        <v>350</v>
      </c>
    </row>
    <row r="76" spans="1:13" ht="16">
      <c r="A76" s="82" t="s">
        <v>276</v>
      </c>
      <c r="B76" s="82"/>
      <c r="C76" s="82"/>
      <c r="D76" s="82"/>
      <c r="E76" s="82"/>
      <c r="F76" s="82"/>
      <c r="G76" s="82"/>
      <c r="H76" s="82"/>
      <c r="I76" s="82"/>
      <c r="J76" s="82"/>
    </row>
    <row r="77" spans="1:13">
      <c r="A77" s="10" t="s">
        <v>349</v>
      </c>
      <c r="B77" s="9" t="s">
        <v>2206</v>
      </c>
      <c r="C77" s="9" t="s">
        <v>2207</v>
      </c>
      <c r="D77" s="9" t="s">
        <v>1944</v>
      </c>
      <c r="E77" s="9" t="s">
        <v>2689</v>
      </c>
      <c r="F77" s="9" t="s">
        <v>595</v>
      </c>
      <c r="G77" s="22" t="s">
        <v>2208</v>
      </c>
      <c r="H77" s="22" t="s">
        <v>2209</v>
      </c>
      <c r="I77" s="23" t="s">
        <v>1082</v>
      </c>
      <c r="J77" s="10"/>
      <c r="K77" s="29" t="str">
        <f>"367,5"</f>
        <v>367,5</v>
      </c>
      <c r="L77" s="10" t="str">
        <f>"212,7825"</f>
        <v>212,7825</v>
      </c>
      <c r="M77" s="9"/>
    </row>
    <row r="78" spans="1:13">
      <c r="A78" s="12" t="s">
        <v>349</v>
      </c>
      <c r="B78" s="11" t="s">
        <v>2210</v>
      </c>
      <c r="C78" s="11" t="s">
        <v>2211</v>
      </c>
      <c r="D78" s="11" t="s">
        <v>2212</v>
      </c>
      <c r="E78" s="11" t="s">
        <v>2690</v>
      </c>
      <c r="F78" s="11" t="s">
        <v>426</v>
      </c>
      <c r="G78" s="24" t="s">
        <v>194</v>
      </c>
      <c r="H78" s="24" t="s">
        <v>196</v>
      </c>
      <c r="I78" s="24" t="s">
        <v>197</v>
      </c>
      <c r="J78" s="12"/>
      <c r="K78" s="31" t="str">
        <f>"340,0"</f>
        <v>340,0</v>
      </c>
      <c r="L78" s="12" t="str">
        <f>"194,1060"</f>
        <v>194,1060</v>
      </c>
      <c r="M78" s="11"/>
    </row>
    <row r="79" spans="1:13">
      <c r="A79" s="12" t="s">
        <v>351</v>
      </c>
      <c r="B79" s="11" t="s">
        <v>1510</v>
      </c>
      <c r="C79" s="11" t="s">
        <v>2213</v>
      </c>
      <c r="D79" s="11" t="s">
        <v>1512</v>
      </c>
      <c r="E79" s="11" t="s">
        <v>2690</v>
      </c>
      <c r="F79" s="11" t="s">
        <v>1447</v>
      </c>
      <c r="G79" s="24" t="s">
        <v>120</v>
      </c>
      <c r="H79" s="24" t="s">
        <v>182</v>
      </c>
      <c r="I79" s="25" t="s">
        <v>193</v>
      </c>
      <c r="J79" s="12"/>
      <c r="K79" s="31" t="str">
        <f>"292,5"</f>
        <v>292,5</v>
      </c>
      <c r="L79" s="12" t="str">
        <f>"168,7433"</f>
        <v>168,7433</v>
      </c>
      <c r="M79" s="11"/>
    </row>
    <row r="80" spans="1:13">
      <c r="A80" s="12" t="s">
        <v>353</v>
      </c>
      <c r="B80" s="11" t="s">
        <v>2214</v>
      </c>
      <c r="C80" s="11" t="s">
        <v>2215</v>
      </c>
      <c r="D80" s="11" t="s">
        <v>2216</v>
      </c>
      <c r="E80" s="11" t="s">
        <v>2690</v>
      </c>
      <c r="F80" s="11" t="s">
        <v>313</v>
      </c>
      <c r="G80" s="24" t="s">
        <v>94</v>
      </c>
      <c r="H80" s="24" t="s">
        <v>149</v>
      </c>
      <c r="I80" s="25" t="s">
        <v>115</v>
      </c>
      <c r="J80" s="12"/>
      <c r="K80" s="31" t="str">
        <f>"267,5"</f>
        <v>267,5</v>
      </c>
      <c r="L80" s="12" t="str">
        <f>"153,8125"</f>
        <v>153,8125</v>
      </c>
      <c r="M80" s="11" t="s">
        <v>2359</v>
      </c>
    </row>
    <row r="81" spans="1:13">
      <c r="A81" s="12" t="s">
        <v>349</v>
      </c>
      <c r="B81" s="11" t="s">
        <v>2217</v>
      </c>
      <c r="C81" s="11" t="s">
        <v>2218</v>
      </c>
      <c r="D81" s="11" t="s">
        <v>1937</v>
      </c>
      <c r="E81" s="11" t="s">
        <v>2693</v>
      </c>
      <c r="F81" s="11" t="s">
        <v>1130</v>
      </c>
      <c r="G81" s="24" t="s">
        <v>172</v>
      </c>
      <c r="H81" s="24" t="s">
        <v>197</v>
      </c>
      <c r="I81" s="24" t="s">
        <v>647</v>
      </c>
      <c r="J81" s="12"/>
      <c r="K81" s="31" t="str">
        <f>"352,5"</f>
        <v>352,5</v>
      </c>
      <c r="L81" s="12" t="str">
        <f>"220,1365"</f>
        <v>220,1365</v>
      </c>
      <c r="M81" s="11" t="s">
        <v>2219</v>
      </c>
    </row>
    <row r="82" spans="1:13">
      <c r="A82" s="12" t="s">
        <v>351</v>
      </c>
      <c r="B82" s="11" t="s">
        <v>2210</v>
      </c>
      <c r="C82" s="11" t="s">
        <v>2220</v>
      </c>
      <c r="D82" s="11" t="s">
        <v>2212</v>
      </c>
      <c r="E82" s="11" t="s">
        <v>2693</v>
      </c>
      <c r="F82" s="11" t="s">
        <v>426</v>
      </c>
      <c r="G82" s="24" t="s">
        <v>194</v>
      </c>
      <c r="H82" s="24" t="s">
        <v>196</v>
      </c>
      <c r="I82" s="24" t="s">
        <v>197</v>
      </c>
      <c r="J82" s="12"/>
      <c r="K82" s="31" t="str">
        <f>"340,0"</f>
        <v>340,0</v>
      </c>
      <c r="L82" s="12" t="str">
        <f>"195,0765"</f>
        <v>195,0765</v>
      </c>
      <c r="M82" s="11"/>
    </row>
    <row r="83" spans="1:13">
      <c r="A83" s="12" t="s">
        <v>353</v>
      </c>
      <c r="B83" s="11" t="s">
        <v>1510</v>
      </c>
      <c r="C83" s="11" t="s">
        <v>1511</v>
      </c>
      <c r="D83" s="11" t="s">
        <v>1512</v>
      </c>
      <c r="E83" s="11" t="s">
        <v>2693</v>
      </c>
      <c r="F83" s="11" t="s">
        <v>1447</v>
      </c>
      <c r="G83" s="24" t="s">
        <v>120</v>
      </c>
      <c r="H83" s="24" t="s">
        <v>182</v>
      </c>
      <c r="I83" s="25" t="s">
        <v>193</v>
      </c>
      <c r="J83" s="12"/>
      <c r="K83" s="31" t="str">
        <f>"292,5"</f>
        <v>292,5</v>
      </c>
      <c r="L83" s="12" t="str">
        <f>"178,8678"</f>
        <v>178,8678</v>
      </c>
      <c r="M83" s="11"/>
    </row>
    <row r="84" spans="1:13">
      <c r="A84" s="14" t="s">
        <v>349</v>
      </c>
      <c r="B84" s="13" t="s">
        <v>294</v>
      </c>
      <c r="C84" s="13" t="s">
        <v>295</v>
      </c>
      <c r="D84" s="13" t="s">
        <v>296</v>
      </c>
      <c r="E84" s="13" t="s">
        <v>2695</v>
      </c>
      <c r="F84" s="13" t="s">
        <v>297</v>
      </c>
      <c r="G84" s="26" t="s">
        <v>38</v>
      </c>
      <c r="H84" s="26" t="s">
        <v>32</v>
      </c>
      <c r="I84" s="26" t="s">
        <v>33</v>
      </c>
      <c r="J84" s="14"/>
      <c r="K84" s="30" t="str">
        <f>"225,0"</f>
        <v>225,0</v>
      </c>
      <c r="L84" s="14" t="str">
        <f>"155,5445"</f>
        <v>155,5445</v>
      </c>
      <c r="M84" s="13" t="s">
        <v>1175</v>
      </c>
    </row>
    <row r="85" spans="1:13">
      <c r="B85" s="5" t="s">
        <v>350</v>
      </c>
    </row>
    <row r="86" spans="1:13" ht="16">
      <c r="A86" s="82" t="s">
        <v>299</v>
      </c>
      <c r="B86" s="82"/>
      <c r="C86" s="82"/>
      <c r="D86" s="82"/>
      <c r="E86" s="82"/>
      <c r="F86" s="82"/>
      <c r="G86" s="82"/>
      <c r="H86" s="82"/>
      <c r="I86" s="82"/>
      <c r="J86" s="82"/>
    </row>
    <row r="87" spans="1:13">
      <c r="A87" s="8" t="s">
        <v>349</v>
      </c>
      <c r="B87" s="7" t="s">
        <v>2221</v>
      </c>
      <c r="C87" s="7" t="s">
        <v>2222</v>
      </c>
      <c r="D87" s="7" t="s">
        <v>1518</v>
      </c>
      <c r="E87" s="7" t="s">
        <v>2690</v>
      </c>
      <c r="F87" s="7" t="s">
        <v>291</v>
      </c>
      <c r="G87" s="20" t="s">
        <v>172</v>
      </c>
      <c r="H87" s="20" t="s">
        <v>197</v>
      </c>
      <c r="I87" s="20" t="s">
        <v>253</v>
      </c>
      <c r="J87" s="8"/>
      <c r="K87" s="32" t="str">
        <f>"350,0"</f>
        <v>350,0</v>
      </c>
      <c r="L87" s="8" t="str">
        <f>"197,0500"</f>
        <v>197,0500</v>
      </c>
      <c r="M87" s="7"/>
    </row>
    <row r="88" spans="1:13">
      <c r="B88" s="5" t="s">
        <v>350</v>
      </c>
    </row>
    <row r="89" spans="1:13">
      <c r="B89" s="5" t="s">
        <v>350</v>
      </c>
    </row>
    <row r="90" spans="1:13">
      <c r="B90" s="5" t="s">
        <v>350</v>
      </c>
    </row>
    <row r="91" spans="1:13" ht="18">
      <c r="B91" s="15" t="s">
        <v>316</v>
      </c>
      <c r="C91" s="15"/>
      <c r="F91" s="3"/>
    </row>
    <row r="92" spans="1:13" ht="16">
      <c r="B92" s="16" t="s">
        <v>317</v>
      </c>
      <c r="C92" s="16"/>
      <c r="F92" s="3"/>
    </row>
    <row r="93" spans="1:13" ht="14">
      <c r="B93" s="17"/>
      <c r="C93" s="18" t="s">
        <v>318</v>
      </c>
      <c r="F93" s="3"/>
    </row>
    <row r="94" spans="1:13" ht="14">
      <c r="B94" s="19" t="s">
        <v>319</v>
      </c>
      <c r="C94" s="19" t="s">
        <v>320</v>
      </c>
      <c r="D94" s="19" t="s">
        <v>321</v>
      </c>
      <c r="E94" s="19" t="s">
        <v>1225</v>
      </c>
      <c r="F94" s="19" t="s">
        <v>323</v>
      </c>
    </row>
    <row r="95" spans="1:13">
      <c r="B95" s="5" t="s">
        <v>535</v>
      </c>
      <c r="C95" s="5" t="s">
        <v>318</v>
      </c>
      <c r="D95" s="6" t="s">
        <v>324</v>
      </c>
      <c r="E95" s="6" t="s">
        <v>37</v>
      </c>
      <c r="F95" s="6" t="s">
        <v>2223</v>
      </c>
    </row>
    <row r="96" spans="1:13">
      <c r="B96" s="5" t="s">
        <v>2135</v>
      </c>
      <c r="C96" s="5" t="s">
        <v>318</v>
      </c>
      <c r="D96" s="6" t="s">
        <v>2224</v>
      </c>
      <c r="E96" s="6" t="s">
        <v>118</v>
      </c>
      <c r="F96" s="6" t="s">
        <v>2225</v>
      </c>
    </row>
    <row r="97" spans="2:6">
      <c r="B97" s="5" t="s">
        <v>519</v>
      </c>
      <c r="C97" s="5" t="s">
        <v>318</v>
      </c>
      <c r="D97" s="6" t="s">
        <v>497</v>
      </c>
      <c r="E97" s="6" t="s">
        <v>70</v>
      </c>
      <c r="F97" s="6" t="s">
        <v>2226</v>
      </c>
    </row>
    <row r="99" spans="2:6" ht="16">
      <c r="B99" s="16" t="s">
        <v>336</v>
      </c>
      <c r="C99" s="16"/>
    </row>
    <row r="100" spans="2:6" ht="14">
      <c r="B100" s="17"/>
      <c r="C100" s="18" t="s">
        <v>318</v>
      </c>
    </row>
    <row r="101" spans="2:6" ht="14">
      <c r="B101" s="19" t="s">
        <v>319</v>
      </c>
      <c r="C101" s="19" t="s">
        <v>320</v>
      </c>
      <c r="D101" s="19" t="s">
        <v>321</v>
      </c>
      <c r="E101" s="19" t="s">
        <v>1225</v>
      </c>
      <c r="F101" s="19" t="s">
        <v>323</v>
      </c>
    </row>
    <row r="102" spans="2:6">
      <c r="B102" s="5" t="s">
        <v>2177</v>
      </c>
      <c r="C102" s="5" t="s">
        <v>318</v>
      </c>
      <c r="D102" s="6" t="s">
        <v>343</v>
      </c>
      <c r="E102" s="6" t="s">
        <v>493</v>
      </c>
      <c r="F102" s="6" t="s">
        <v>2227</v>
      </c>
    </row>
    <row r="103" spans="2:6">
      <c r="B103" s="5" t="s">
        <v>189</v>
      </c>
      <c r="C103" s="5" t="s">
        <v>318</v>
      </c>
      <c r="D103" s="6" t="s">
        <v>343</v>
      </c>
      <c r="E103" s="6" t="s">
        <v>197</v>
      </c>
      <c r="F103" s="6" t="s">
        <v>2228</v>
      </c>
    </row>
    <row r="104" spans="2:6">
      <c r="B104" s="5" t="s">
        <v>2160</v>
      </c>
      <c r="C104" s="5" t="s">
        <v>318</v>
      </c>
      <c r="D104" s="6" t="s">
        <v>338</v>
      </c>
      <c r="E104" s="6" t="s">
        <v>212</v>
      </c>
      <c r="F104" s="6" t="s">
        <v>2229</v>
      </c>
    </row>
    <row r="106" spans="2:6" ht="14">
      <c r="B106" s="17"/>
      <c r="C106" s="18" t="s">
        <v>333</v>
      </c>
    </row>
    <row r="107" spans="2:6" ht="14">
      <c r="B107" s="19" t="s">
        <v>319</v>
      </c>
      <c r="C107" s="19" t="s">
        <v>320</v>
      </c>
      <c r="D107" s="19" t="s">
        <v>321</v>
      </c>
      <c r="E107" s="19" t="s">
        <v>1225</v>
      </c>
      <c r="F107" s="19" t="s">
        <v>323</v>
      </c>
    </row>
    <row r="108" spans="2:6">
      <c r="B108" s="5" t="s">
        <v>2172</v>
      </c>
      <c r="C108" s="5" t="s">
        <v>760</v>
      </c>
      <c r="D108" s="6" t="s">
        <v>338</v>
      </c>
      <c r="E108" s="6" t="s">
        <v>130</v>
      </c>
      <c r="F108" s="6" t="s">
        <v>2230</v>
      </c>
    </row>
    <row r="109" spans="2:6">
      <c r="B109" s="5" t="s">
        <v>2187</v>
      </c>
      <c r="C109" s="5" t="s">
        <v>760</v>
      </c>
      <c r="D109" s="6" t="s">
        <v>343</v>
      </c>
      <c r="E109" s="6" t="s">
        <v>78</v>
      </c>
      <c r="F109" s="6" t="s">
        <v>2231</v>
      </c>
    </row>
    <row r="110" spans="2:6">
      <c r="B110" s="5" t="s">
        <v>2160</v>
      </c>
      <c r="C110" s="5" t="s">
        <v>334</v>
      </c>
      <c r="D110" s="6" t="s">
        <v>338</v>
      </c>
      <c r="E110" s="6" t="s">
        <v>212</v>
      </c>
      <c r="F110" s="6" t="s">
        <v>2232</v>
      </c>
    </row>
    <row r="111" spans="2:6">
      <c r="B111" s="5" t="s">
        <v>350</v>
      </c>
    </row>
  </sheetData>
  <mergeCells count="25">
    <mergeCell ref="A86:J86"/>
    <mergeCell ref="B3:B4"/>
    <mergeCell ref="A28:J28"/>
    <mergeCell ref="A33:J33"/>
    <mergeCell ref="A42:J42"/>
    <mergeCell ref="A55:J55"/>
    <mergeCell ref="A67:J67"/>
    <mergeCell ref="A76:J76"/>
    <mergeCell ref="A9:J9"/>
    <mergeCell ref="A12:J12"/>
    <mergeCell ref="A15:J15"/>
    <mergeCell ref="A18:J18"/>
    <mergeCell ref="A22:J22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22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71" t="s">
        <v>2649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10</v>
      </c>
      <c r="H3" s="65"/>
      <c r="I3" s="65"/>
      <c r="J3" s="65"/>
      <c r="K3" s="65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68"/>
    </row>
    <row r="5" spans="1:13" ht="16">
      <c r="A5" s="69" t="s">
        <v>378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848</v>
      </c>
      <c r="C6" s="7" t="s">
        <v>849</v>
      </c>
      <c r="D6" s="7" t="s">
        <v>390</v>
      </c>
      <c r="E6" s="7" t="s">
        <v>2690</v>
      </c>
      <c r="F6" s="7" t="s">
        <v>221</v>
      </c>
      <c r="G6" s="20" t="s">
        <v>84</v>
      </c>
      <c r="H6" s="20" t="s">
        <v>70</v>
      </c>
      <c r="I6" s="21" t="s">
        <v>51</v>
      </c>
      <c r="J6" s="8"/>
      <c r="K6" s="8" t="str">
        <f>"130,0"</f>
        <v>130,0</v>
      </c>
      <c r="L6" s="8" t="str">
        <f>"146,6530"</f>
        <v>146,6530</v>
      </c>
      <c r="M6" s="7" t="s">
        <v>801</v>
      </c>
    </row>
    <row r="7" spans="1:13">
      <c r="B7" s="5" t="s">
        <v>350</v>
      </c>
    </row>
    <row r="8" spans="1:13" ht="16">
      <c r="A8" s="82" t="s">
        <v>26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8" t="s">
        <v>349</v>
      </c>
      <c r="B9" s="7" t="s">
        <v>2374</v>
      </c>
      <c r="C9" s="7" t="s">
        <v>2375</v>
      </c>
      <c r="D9" s="7" t="s">
        <v>872</v>
      </c>
      <c r="E9" s="7" t="s">
        <v>2694</v>
      </c>
      <c r="F9" s="7" t="s">
        <v>2376</v>
      </c>
      <c r="G9" s="20" t="s">
        <v>59</v>
      </c>
      <c r="H9" s="20" t="s">
        <v>109</v>
      </c>
      <c r="I9" s="20" t="s">
        <v>116</v>
      </c>
      <c r="J9" s="8"/>
      <c r="K9" s="8" t="str">
        <f>"175,0"</f>
        <v>175,0</v>
      </c>
      <c r="L9" s="8" t="str">
        <f>"196,2156"</f>
        <v>196,2156</v>
      </c>
      <c r="M9" s="7"/>
    </row>
    <row r="10" spans="1:13">
      <c r="B10" s="5" t="s">
        <v>350</v>
      </c>
    </row>
    <row r="11" spans="1:13" ht="16">
      <c r="A11" s="82" t="s">
        <v>72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3">
      <c r="A12" s="8" t="s">
        <v>349</v>
      </c>
      <c r="B12" s="7" t="s">
        <v>2316</v>
      </c>
      <c r="C12" s="7" t="s">
        <v>2317</v>
      </c>
      <c r="D12" s="7" t="s">
        <v>2318</v>
      </c>
      <c r="E12" s="7" t="s">
        <v>2690</v>
      </c>
      <c r="F12" s="7" t="s">
        <v>252</v>
      </c>
      <c r="G12" s="20" t="s">
        <v>38</v>
      </c>
      <c r="H12" s="8"/>
      <c r="I12" s="8"/>
      <c r="J12" s="8"/>
      <c r="K12" s="8" t="str">
        <f>"200,0"</f>
        <v>200,0</v>
      </c>
      <c r="L12" s="8" t="str">
        <f>"134,3800"</f>
        <v>134,3800</v>
      </c>
      <c r="M12" s="7" t="s">
        <v>1113</v>
      </c>
    </row>
    <row r="13" spans="1:13">
      <c r="B13" s="5" t="s">
        <v>350</v>
      </c>
    </row>
    <row r="14" spans="1:13" ht="16">
      <c r="A14" s="82" t="s">
        <v>183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3">
      <c r="A15" s="10" t="s">
        <v>349</v>
      </c>
      <c r="B15" s="9" t="s">
        <v>2385</v>
      </c>
      <c r="C15" s="9" t="s">
        <v>2386</v>
      </c>
      <c r="D15" s="9" t="s">
        <v>1173</v>
      </c>
      <c r="E15" s="9" t="s">
        <v>2690</v>
      </c>
      <c r="F15" s="39" t="s">
        <v>2116</v>
      </c>
      <c r="G15" s="61" t="s">
        <v>37</v>
      </c>
      <c r="H15" s="22" t="s">
        <v>32</v>
      </c>
      <c r="I15" s="49" t="s">
        <v>85</v>
      </c>
      <c r="J15" s="40"/>
      <c r="K15" s="10" t="str">
        <f>"235,0"</f>
        <v>235,0</v>
      </c>
      <c r="L15" s="10" t="str">
        <f>"147,3215"</f>
        <v>147,3215</v>
      </c>
      <c r="M15" s="9"/>
    </row>
    <row r="16" spans="1:13">
      <c r="A16" s="12" t="s">
        <v>351</v>
      </c>
      <c r="B16" s="11" t="s">
        <v>1110</v>
      </c>
      <c r="C16" s="11" t="s">
        <v>1111</v>
      </c>
      <c r="D16" s="11" t="s">
        <v>1112</v>
      </c>
      <c r="E16" s="11" t="s">
        <v>2690</v>
      </c>
      <c r="F16" s="41" t="s">
        <v>252</v>
      </c>
      <c r="G16" s="62" t="s">
        <v>39</v>
      </c>
      <c r="H16" s="24" t="s">
        <v>85</v>
      </c>
      <c r="I16" s="47" t="s">
        <v>87</v>
      </c>
      <c r="J16" s="42"/>
      <c r="K16" s="12" t="str">
        <f>"235,0"</f>
        <v>235,0</v>
      </c>
      <c r="L16" s="12" t="str">
        <f>"145,9585"</f>
        <v>145,9585</v>
      </c>
      <c r="M16" s="11" t="s">
        <v>1113</v>
      </c>
    </row>
    <row r="17" spans="1:13">
      <c r="A17" s="14" t="s">
        <v>349</v>
      </c>
      <c r="B17" s="13" t="s">
        <v>1110</v>
      </c>
      <c r="C17" s="13" t="s">
        <v>1114</v>
      </c>
      <c r="D17" s="13" t="s">
        <v>1112</v>
      </c>
      <c r="E17" s="13" t="s">
        <v>2693</v>
      </c>
      <c r="F17" s="43" t="s">
        <v>252</v>
      </c>
      <c r="G17" s="63" t="s">
        <v>39</v>
      </c>
      <c r="H17" s="26" t="s">
        <v>85</v>
      </c>
      <c r="I17" s="64" t="s">
        <v>87</v>
      </c>
      <c r="J17" s="44"/>
      <c r="K17" s="14" t="str">
        <f>"235,0"</f>
        <v>235,0</v>
      </c>
      <c r="L17" s="14" t="str">
        <f>"162,5978"</f>
        <v>162,5978</v>
      </c>
      <c r="M17" s="13" t="s">
        <v>1113</v>
      </c>
    </row>
    <row r="18" spans="1:13">
      <c r="B18" s="5" t="s">
        <v>350</v>
      </c>
    </row>
    <row r="19" spans="1:13" ht="16">
      <c r="A19" s="82" t="s">
        <v>244</v>
      </c>
      <c r="B19" s="82"/>
      <c r="C19" s="82"/>
      <c r="D19" s="82"/>
      <c r="E19" s="82"/>
      <c r="F19" s="82"/>
      <c r="G19" s="82"/>
      <c r="H19" s="82"/>
      <c r="I19" s="82"/>
      <c r="J19" s="82"/>
    </row>
    <row r="20" spans="1:13">
      <c r="A20" s="10" t="s">
        <v>349</v>
      </c>
      <c r="B20" s="9" t="s">
        <v>2387</v>
      </c>
      <c r="C20" s="9" t="s">
        <v>2388</v>
      </c>
      <c r="D20" s="9" t="s">
        <v>1919</v>
      </c>
      <c r="E20" s="9" t="s">
        <v>2690</v>
      </c>
      <c r="F20" s="9" t="s">
        <v>936</v>
      </c>
      <c r="G20" s="22" t="s">
        <v>209</v>
      </c>
      <c r="H20" s="22" t="s">
        <v>211</v>
      </c>
      <c r="I20" s="23" t="s">
        <v>308</v>
      </c>
      <c r="J20" s="10"/>
      <c r="K20" s="10" t="str">
        <f>"310,0"</f>
        <v>310,0</v>
      </c>
      <c r="L20" s="10" t="str">
        <f>"187,6430"</f>
        <v>187,6430</v>
      </c>
      <c r="M20" s="9"/>
    </row>
    <row r="21" spans="1:13">
      <c r="A21" s="14" t="s">
        <v>351</v>
      </c>
      <c r="B21" s="13" t="s">
        <v>2389</v>
      </c>
      <c r="C21" s="13" t="s">
        <v>2390</v>
      </c>
      <c r="D21" s="13" t="s">
        <v>695</v>
      </c>
      <c r="E21" s="13" t="s">
        <v>2690</v>
      </c>
      <c r="F21" s="13" t="s">
        <v>2391</v>
      </c>
      <c r="G21" s="26" t="s">
        <v>100</v>
      </c>
      <c r="H21" s="26" t="s">
        <v>94</v>
      </c>
      <c r="I21" s="27" t="s">
        <v>115</v>
      </c>
      <c r="J21" s="14"/>
      <c r="K21" s="14" t="str">
        <f>"260,0"</f>
        <v>260,0</v>
      </c>
      <c r="L21" s="14" t="str">
        <f>"153,2180"</f>
        <v>153,2180</v>
      </c>
      <c r="M21" s="13"/>
    </row>
    <row r="22" spans="1:13">
      <c r="B22" s="5" t="s">
        <v>350</v>
      </c>
    </row>
  </sheetData>
  <mergeCells count="16">
    <mergeCell ref="A8:J8"/>
    <mergeCell ref="A11:J11"/>
    <mergeCell ref="A14:J14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71" t="s">
        <v>2650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10</v>
      </c>
      <c r="H3" s="65"/>
      <c r="I3" s="65"/>
      <c r="J3" s="65"/>
      <c r="K3" s="65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66"/>
      <c r="L4" s="66"/>
      <c r="M4" s="68"/>
    </row>
    <row r="5" spans="1:13" ht="16">
      <c r="A5" s="69" t="s">
        <v>26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2374</v>
      </c>
      <c r="C6" s="7" t="s">
        <v>2375</v>
      </c>
      <c r="D6" s="7" t="s">
        <v>872</v>
      </c>
      <c r="E6" s="7" t="s">
        <v>2694</v>
      </c>
      <c r="F6" s="7" t="s">
        <v>2376</v>
      </c>
      <c r="G6" s="20" t="s">
        <v>59</v>
      </c>
      <c r="H6" s="20" t="s">
        <v>109</v>
      </c>
      <c r="I6" s="20" t="s">
        <v>116</v>
      </c>
      <c r="J6" s="8"/>
      <c r="K6" s="8" t="str">
        <f>"175,0"</f>
        <v>175,0</v>
      </c>
      <c r="L6" s="8" t="str">
        <f>"196,2156"</f>
        <v>196,2156</v>
      </c>
      <c r="M6" s="7"/>
    </row>
    <row r="7" spans="1:13">
      <c r="B7" s="5" t="s">
        <v>350</v>
      </c>
    </row>
    <row r="8" spans="1:13" ht="16">
      <c r="A8" s="82" t="s">
        <v>183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10" t="s">
        <v>349</v>
      </c>
      <c r="B9" s="9" t="s">
        <v>2377</v>
      </c>
      <c r="C9" s="9" t="s">
        <v>2378</v>
      </c>
      <c r="D9" s="9" t="s">
        <v>2379</v>
      </c>
      <c r="E9" s="9" t="s">
        <v>2690</v>
      </c>
      <c r="F9" s="9" t="s">
        <v>2380</v>
      </c>
      <c r="G9" s="22" t="s">
        <v>87</v>
      </c>
      <c r="H9" s="22" t="s">
        <v>119</v>
      </c>
      <c r="I9" s="22" t="s">
        <v>120</v>
      </c>
      <c r="J9" s="10"/>
      <c r="K9" s="10" t="str">
        <f>"285,0"</f>
        <v>285,0</v>
      </c>
      <c r="L9" s="10" t="str">
        <f>"175,5885"</f>
        <v>175,5885</v>
      </c>
      <c r="M9" s="9" t="s">
        <v>204</v>
      </c>
    </row>
    <row r="10" spans="1:13">
      <c r="A10" s="12" t="s">
        <v>349</v>
      </c>
      <c r="B10" s="11" t="s">
        <v>2377</v>
      </c>
      <c r="C10" s="11" t="s">
        <v>2381</v>
      </c>
      <c r="D10" s="11" t="s">
        <v>2379</v>
      </c>
      <c r="E10" s="11" t="s">
        <v>2693</v>
      </c>
      <c r="F10" s="11" t="s">
        <v>2380</v>
      </c>
      <c r="G10" s="24" t="s">
        <v>87</v>
      </c>
      <c r="H10" s="24" t="s">
        <v>119</v>
      </c>
      <c r="I10" s="24" t="s">
        <v>120</v>
      </c>
      <c r="J10" s="12"/>
      <c r="K10" s="12" t="str">
        <f>"285,0"</f>
        <v>285,0</v>
      </c>
      <c r="L10" s="12" t="str">
        <f>"178,0467"</f>
        <v>178,0467</v>
      </c>
      <c r="M10" s="11" t="s">
        <v>204</v>
      </c>
    </row>
    <row r="11" spans="1:13">
      <c r="A11" s="14" t="s">
        <v>351</v>
      </c>
      <c r="B11" s="13" t="s">
        <v>2382</v>
      </c>
      <c r="C11" s="13" t="s">
        <v>2383</v>
      </c>
      <c r="D11" s="13" t="s">
        <v>1112</v>
      </c>
      <c r="E11" s="13" t="s">
        <v>2693</v>
      </c>
      <c r="F11" s="13" t="s">
        <v>2681</v>
      </c>
      <c r="G11" s="26" t="s">
        <v>87</v>
      </c>
      <c r="H11" s="26" t="s">
        <v>126</v>
      </c>
      <c r="I11" s="26" t="s">
        <v>115</v>
      </c>
      <c r="J11" s="14"/>
      <c r="K11" s="14" t="str">
        <f>"280,0"</f>
        <v>280,0</v>
      </c>
      <c r="L11" s="14" t="str">
        <f>"184,3425"</f>
        <v>184,3425</v>
      </c>
      <c r="M11" s="13" t="s">
        <v>2384</v>
      </c>
    </row>
    <row r="12" spans="1:13">
      <c r="B12" s="5" t="s">
        <v>350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99"/>
  <sheetViews>
    <sheetView tabSelected="1" workbookViewId="0">
      <selection activeCell="L54" sqref="L54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5" style="5" bestFit="1" customWidth="1"/>
    <col min="7" max="10" width="5.5" style="6" customWidth="1"/>
    <col min="11" max="11" width="10.5" style="28" bestFit="1" customWidth="1"/>
    <col min="12" max="12" width="7.5" style="6" bestFit="1" customWidth="1"/>
    <col min="13" max="13" width="19.1640625" style="5" bestFit="1" customWidth="1"/>
    <col min="14" max="16384" width="9.1640625" style="3"/>
  </cols>
  <sheetData>
    <row r="1" spans="1:13" s="2" customFormat="1" ht="29" customHeight="1">
      <c r="A1" s="71" t="s">
        <v>2627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2686</v>
      </c>
      <c r="H3" s="65"/>
      <c r="I3" s="65"/>
      <c r="J3" s="65"/>
      <c r="K3" s="83" t="s">
        <v>1233</v>
      </c>
      <c r="L3" s="65" t="s">
        <v>3</v>
      </c>
      <c r="M3" s="67" t="s">
        <v>2</v>
      </c>
    </row>
    <row r="4" spans="1:13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84"/>
      <c r="L4" s="66"/>
      <c r="M4" s="68"/>
    </row>
    <row r="5" spans="1:13" ht="16">
      <c r="A5" s="69" t="s">
        <v>11</v>
      </c>
      <c r="B5" s="69"/>
      <c r="C5" s="70"/>
      <c r="D5" s="70"/>
      <c r="E5" s="70"/>
      <c r="F5" s="70"/>
      <c r="G5" s="70"/>
      <c r="H5" s="70"/>
      <c r="I5" s="70"/>
      <c r="J5" s="70"/>
    </row>
    <row r="6" spans="1:13">
      <c r="A6" s="8" t="s">
        <v>349</v>
      </c>
      <c r="B6" s="7" t="s">
        <v>2243</v>
      </c>
      <c r="C6" s="7" t="s">
        <v>2244</v>
      </c>
      <c r="D6" s="7" t="s">
        <v>2253</v>
      </c>
      <c r="E6" s="7" t="s">
        <v>2690</v>
      </c>
      <c r="F6" s="7" t="s">
        <v>462</v>
      </c>
      <c r="G6" s="20" t="s">
        <v>2461</v>
      </c>
      <c r="H6" s="20" t="s">
        <v>2462</v>
      </c>
      <c r="I6" s="21" t="s">
        <v>2438</v>
      </c>
      <c r="J6" s="8"/>
      <c r="K6" s="32" t="str">
        <f>"25,0"</f>
        <v>25,0</v>
      </c>
      <c r="L6" s="8" t="str">
        <f>"26,8300"</f>
        <v>26,8300</v>
      </c>
      <c r="M6" s="7"/>
    </row>
    <row r="7" spans="1:13">
      <c r="B7" s="5" t="s">
        <v>350</v>
      </c>
    </row>
    <row r="8" spans="1:13" ht="16">
      <c r="A8" s="82" t="s">
        <v>55</v>
      </c>
      <c r="B8" s="82"/>
      <c r="C8" s="82"/>
      <c r="D8" s="82"/>
      <c r="E8" s="82"/>
      <c r="F8" s="82"/>
      <c r="G8" s="82"/>
      <c r="H8" s="82"/>
      <c r="I8" s="82"/>
      <c r="J8" s="82"/>
    </row>
    <row r="9" spans="1:13">
      <c r="A9" s="8" t="s">
        <v>349</v>
      </c>
      <c r="B9" s="7" t="s">
        <v>874</v>
      </c>
      <c r="C9" s="7" t="s">
        <v>875</v>
      </c>
      <c r="D9" s="7" t="s">
        <v>2463</v>
      </c>
      <c r="E9" s="7" t="s">
        <v>2690</v>
      </c>
      <c r="F9" s="7" t="s">
        <v>877</v>
      </c>
      <c r="G9" s="20" t="s">
        <v>20</v>
      </c>
      <c r="H9" s="20" t="s">
        <v>779</v>
      </c>
      <c r="I9" s="21" t="s">
        <v>408</v>
      </c>
      <c r="J9" s="8"/>
      <c r="K9" s="32" t="str">
        <f>"40,0"</f>
        <v>40,0</v>
      </c>
      <c r="L9" s="8" t="str">
        <f>"34,6480"</f>
        <v>34,6480</v>
      </c>
      <c r="M9" s="7" t="s">
        <v>878</v>
      </c>
    </row>
    <row r="10" spans="1:13">
      <c r="B10" s="5" t="s">
        <v>350</v>
      </c>
    </row>
    <row r="11" spans="1:13" ht="16">
      <c r="A11" s="82" t="s">
        <v>378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3">
      <c r="A12" s="8" t="s">
        <v>349</v>
      </c>
      <c r="B12" s="7" t="s">
        <v>2464</v>
      </c>
      <c r="C12" s="7" t="s">
        <v>2651</v>
      </c>
      <c r="D12" s="7" t="s">
        <v>2465</v>
      </c>
      <c r="E12" s="7" t="s">
        <v>2693</v>
      </c>
      <c r="F12" s="7" t="s">
        <v>641</v>
      </c>
      <c r="G12" s="20" t="s">
        <v>375</v>
      </c>
      <c r="H12" s="21" t="s">
        <v>48</v>
      </c>
      <c r="I12" s="21" t="s">
        <v>48</v>
      </c>
      <c r="J12" s="8"/>
      <c r="K12" s="32" t="str">
        <f>"57,5"</f>
        <v>57,5</v>
      </c>
      <c r="L12" s="8" t="str">
        <f>"51,6208"</f>
        <v>51,6208</v>
      </c>
      <c r="M12" s="7"/>
    </row>
    <row r="13" spans="1:13">
      <c r="B13" s="5" t="s">
        <v>350</v>
      </c>
    </row>
    <row r="14" spans="1:13" ht="16">
      <c r="A14" s="82" t="s">
        <v>26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3">
      <c r="A15" s="10" t="s">
        <v>349</v>
      </c>
      <c r="B15" s="9" t="s">
        <v>2466</v>
      </c>
      <c r="C15" s="9" t="s">
        <v>2652</v>
      </c>
      <c r="D15" s="9" t="s">
        <v>2467</v>
      </c>
      <c r="E15" s="9" t="s">
        <v>2699</v>
      </c>
      <c r="F15" s="9" t="s">
        <v>1665</v>
      </c>
      <c r="G15" s="23" t="s">
        <v>408</v>
      </c>
      <c r="H15" s="22" t="s">
        <v>69</v>
      </c>
      <c r="I15" s="22" t="s">
        <v>16</v>
      </c>
      <c r="J15" s="23" t="s">
        <v>1237</v>
      </c>
      <c r="K15" s="29" t="str">
        <f>"55,0"</f>
        <v>55,0</v>
      </c>
      <c r="L15" s="10" t="str">
        <f>"41,4232"</f>
        <v>41,4232</v>
      </c>
      <c r="M15" s="9" t="s">
        <v>2468</v>
      </c>
    </row>
    <row r="16" spans="1:13">
      <c r="A16" s="12" t="s">
        <v>349</v>
      </c>
      <c r="B16" s="11" t="s">
        <v>2469</v>
      </c>
      <c r="C16" s="11" t="s">
        <v>2653</v>
      </c>
      <c r="D16" s="11" t="s">
        <v>1646</v>
      </c>
      <c r="E16" s="11" t="s">
        <v>2689</v>
      </c>
      <c r="F16" s="11" t="s">
        <v>221</v>
      </c>
      <c r="G16" s="25" t="s">
        <v>20</v>
      </c>
      <c r="H16" s="24" t="s">
        <v>20</v>
      </c>
      <c r="I16" s="24" t="s">
        <v>779</v>
      </c>
      <c r="J16" s="12"/>
      <c r="K16" s="31" t="str">
        <f>"40,0"</f>
        <v>40,0</v>
      </c>
      <c r="L16" s="12" t="str">
        <f>"29,9740"</f>
        <v>29,9740</v>
      </c>
      <c r="M16" s="11" t="s">
        <v>1668</v>
      </c>
    </row>
    <row r="17" spans="1:13">
      <c r="A17" s="12" t="s">
        <v>349</v>
      </c>
      <c r="B17" s="11" t="s">
        <v>2470</v>
      </c>
      <c r="C17" s="11" t="s">
        <v>2471</v>
      </c>
      <c r="D17" s="11" t="s">
        <v>1125</v>
      </c>
      <c r="E17" s="11" t="s">
        <v>2690</v>
      </c>
      <c r="F17" s="11" t="s">
        <v>454</v>
      </c>
      <c r="G17" s="24" t="s">
        <v>49</v>
      </c>
      <c r="H17" s="24" t="s">
        <v>22</v>
      </c>
      <c r="I17" s="25" t="s">
        <v>398</v>
      </c>
      <c r="J17" s="12"/>
      <c r="K17" s="31" t="str">
        <f>"70,0"</f>
        <v>70,0</v>
      </c>
      <c r="L17" s="12" t="str">
        <f>"53,2000"</f>
        <v>53,2000</v>
      </c>
      <c r="M17" s="11" t="s">
        <v>2682</v>
      </c>
    </row>
    <row r="18" spans="1:13">
      <c r="A18" s="12" t="s">
        <v>351</v>
      </c>
      <c r="B18" s="11" t="s">
        <v>2466</v>
      </c>
      <c r="C18" s="11" t="s">
        <v>2472</v>
      </c>
      <c r="D18" s="11" t="s">
        <v>2467</v>
      </c>
      <c r="E18" s="11" t="s">
        <v>2690</v>
      </c>
      <c r="F18" s="11" t="s">
        <v>1665</v>
      </c>
      <c r="G18" s="25" t="s">
        <v>408</v>
      </c>
      <c r="H18" s="24" t="s">
        <v>69</v>
      </c>
      <c r="I18" s="24" t="s">
        <v>16</v>
      </c>
      <c r="J18" s="25" t="s">
        <v>1237</v>
      </c>
      <c r="K18" s="31" t="str">
        <f>"55,0"</f>
        <v>55,0</v>
      </c>
      <c r="L18" s="12" t="str">
        <f>"41,4232"</f>
        <v>41,4232</v>
      </c>
      <c r="M18" s="11" t="s">
        <v>2468</v>
      </c>
    </row>
    <row r="19" spans="1:13">
      <c r="A19" s="12" t="s">
        <v>353</v>
      </c>
      <c r="B19" s="11" t="s">
        <v>2473</v>
      </c>
      <c r="C19" s="11" t="s">
        <v>2474</v>
      </c>
      <c r="D19" s="11" t="s">
        <v>1646</v>
      </c>
      <c r="E19" s="11" t="s">
        <v>2690</v>
      </c>
      <c r="F19" s="11" t="s">
        <v>201</v>
      </c>
      <c r="G19" s="24" t="s">
        <v>69</v>
      </c>
      <c r="H19" s="24" t="s">
        <v>409</v>
      </c>
      <c r="I19" s="24" t="s">
        <v>16</v>
      </c>
      <c r="J19" s="12"/>
      <c r="K19" s="31" t="str">
        <f>"55,0"</f>
        <v>55,0</v>
      </c>
      <c r="L19" s="12" t="str">
        <f>"41,2143"</f>
        <v>41,2143</v>
      </c>
      <c r="M19" s="11"/>
    </row>
    <row r="20" spans="1:13">
      <c r="A20" s="14" t="s">
        <v>349</v>
      </c>
      <c r="B20" s="13" t="s">
        <v>2473</v>
      </c>
      <c r="C20" s="13" t="s">
        <v>2654</v>
      </c>
      <c r="D20" s="13" t="s">
        <v>1646</v>
      </c>
      <c r="E20" s="13" t="s">
        <v>2695</v>
      </c>
      <c r="F20" s="13" t="s">
        <v>201</v>
      </c>
      <c r="G20" s="26" t="s">
        <v>69</v>
      </c>
      <c r="H20" s="26" t="s">
        <v>409</v>
      </c>
      <c r="I20" s="26" t="s">
        <v>16</v>
      </c>
      <c r="J20" s="14"/>
      <c r="K20" s="30" t="str">
        <f>"55,0"</f>
        <v>55,0</v>
      </c>
      <c r="L20" s="14" t="str">
        <f>"48,7977"</f>
        <v>48,7977</v>
      </c>
      <c r="M20" s="13"/>
    </row>
    <row r="21" spans="1:13">
      <c r="B21" s="5" t="s">
        <v>350</v>
      </c>
    </row>
    <row r="22" spans="1:13" ht="16">
      <c r="A22" s="82" t="s">
        <v>55</v>
      </c>
      <c r="B22" s="82"/>
      <c r="C22" s="82"/>
      <c r="D22" s="82"/>
      <c r="E22" s="82"/>
      <c r="F22" s="82"/>
      <c r="G22" s="82"/>
      <c r="H22" s="82"/>
      <c r="I22" s="82"/>
      <c r="J22" s="82"/>
    </row>
    <row r="23" spans="1:13">
      <c r="A23" s="10" t="s">
        <v>349</v>
      </c>
      <c r="B23" s="9" t="s">
        <v>2475</v>
      </c>
      <c r="C23" s="9" t="s">
        <v>2655</v>
      </c>
      <c r="D23" s="9" t="s">
        <v>939</v>
      </c>
      <c r="E23" s="9" t="s">
        <v>2699</v>
      </c>
      <c r="F23" s="9" t="s">
        <v>2476</v>
      </c>
      <c r="G23" s="23" t="s">
        <v>49</v>
      </c>
      <c r="H23" s="22" t="s">
        <v>49</v>
      </c>
      <c r="I23" s="23" t="s">
        <v>22</v>
      </c>
      <c r="J23" s="10"/>
      <c r="K23" s="29" t="str">
        <f>"67,5"</f>
        <v>67,5</v>
      </c>
      <c r="L23" s="10" t="str">
        <f>"46,8450"</f>
        <v>46,8450</v>
      </c>
      <c r="M23" s="9"/>
    </row>
    <row r="24" spans="1:13">
      <c r="A24" s="12" t="s">
        <v>351</v>
      </c>
      <c r="B24" s="11" t="s">
        <v>2477</v>
      </c>
      <c r="C24" s="11" t="s">
        <v>2656</v>
      </c>
      <c r="D24" s="11" t="s">
        <v>2478</v>
      </c>
      <c r="E24" s="11" t="s">
        <v>2699</v>
      </c>
      <c r="F24" s="11" t="s">
        <v>221</v>
      </c>
      <c r="G24" s="24" t="s">
        <v>409</v>
      </c>
      <c r="H24" s="24" t="s">
        <v>375</v>
      </c>
      <c r="I24" s="24" t="s">
        <v>17</v>
      </c>
      <c r="J24" s="12"/>
      <c r="K24" s="31" t="str">
        <f>"60,0"</f>
        <v>60,0</v>
      </c>
      <c r="L24" s="12" t="str">
        <f>"41,3940"</f>
        <v>41,3940</v>
      </c>
      <c r="M24" s="11" t="s">
        <v>2683</v>
      </c>
    </row>
    <row r="25" spans="1:13">
      <c r="A25" s="12" t="s">
        <v>349</v>
      </c>
      <c r="B25" s="11" t="s">
        <v>2479</v>
      </c>
      <c r="C25" s="11" t="s">
        <v>2657</v>
      </c>
      <c r="D25" s="11" t="s">
        <v>1693</v>
      </c>
      <c r="E25" s="11" t="s">
        <v>2689</v>
      </c>
      <c r="F25" s="11" t="s">
        <v>221</v>
      </c>
      <c r="G25" s="24" t="s">
        <v>22</v>
      </c>
      <c r="H25" s="24" t="s">
        <v>61</v>
      </c>
      <c r="I25" s="24" t="s">
        <v>778</v>
      </c>
      <c r="J25" s="12"/>
      <c r="K25" s="31" t="str">
        <f>"77,5"</f>
        <v>77,5</v>
      </c>
      <c r="L25" s="12" t="str">
        <f>"54,1725"</f>
        <v>54,1725</v>
      </c>
      <c r="M25" s="11"/>
    </row>
    <row r="26" spans="1:13">
      <c r="A26" s="12" t="s">
        <v>349</v>
      </c>
      <c r="B26" s="11" t="s">
        <v>2480</v>
      </c>
      <c r="C26" s="11" t="s">
        <v>2481</v>
      </c>
      <c r="D26" s="11" t="s">
        <v>1690</v>
      </c>
      <c r="E26" s="11" t="s">
        <v>2690</v>
      </c>
      <c r="F26" s="11" t="s">
        <v>2482</v>
      </c>
      <c r="G26" s="24" t="s">
        <v>22</v>
      </c>
      <c r="H26" s="24" t="s">
        <v>398</v>
      </c>
      <c r="I26" s="25" t="s">
        <v>61</v>
      </c>
      <c r="J26" s="12"/>
      <c r="K26" s="31" t="str">
        <f>"72,5"</f>
        <v>72,5</v>
      </c>
      <c r="L26" s="12" t="str">
        <f>"50,7826"</f>
        <v>50,7826</v>
      </c>
      <c r="M26" s="11" t="s">
        <v>2483</v>
      </c>
    </row>
    <row r="27" spans="1:13">
      <c r="A27" s="12" t="s">
        <v>351</v>
      </c>
      <c r="B27" s="11" t="s">
        <v>2484</v>
      </c>
      <c r="C27" s="11" t="s">
        <v>2485</v>
      </c>
      <c r="D27" s="11" t="s">
        <v>2486</v>
      </c>
      <c r="E27" s="11" t="s">
        <v>2690</v>
      </c>
      <c r="F27" s="11" t="s">
        <v>243</v>
      </c>
      <c r="G27" s="24" t="s">
        <v>17</v>
      </c>
      <c r="H27" s="24" t="s">
        <v>48</v>
      </c>
      <c r="I27" s="25" t="s">
        <v>18</v>
      </c>
      <c r="J27" s="12"/>
      <c r="K27" s="31" t="str">
        <f>"62,5"</f>
        <v>62,5</v>
      </c>
      <c r="L27" s="12" t="str">
        <f>"44,1937"</f>
        <v>44,1937</v>
      </c>
      <c r="M27" s="11" t="s">
        <v>789</v>
      </c>
    </row>
    <row r="28" spans="1:13">
      <c r="A28" s="12" t="s">
        <v>353</v>
      </c>
      <c r="B28" s="11" t="s">
        <v>2487</v>
      </c>
      <c r="C28" s="11" t="s">
        <v>2488</v>
      </c>
      <c r="D28" s="11" t="s">
        <v>1697</v>
      </c>
      <c r="E28" s="11" t="s">
        <v>2690</v>
      </c>
      <c r="F28" s="11" t="s">
        <v>221</v>
      </c>
      <c r="G28" s="25" t="s">
        <v>17</v>
      </c>
      <c r="H28" s="25" t="s">
        <v>17</v>
      </c>
      <c r="I28" s="24" t="s">
        <v>17</v>
      </c>
      <c r="J28" s="12"/>
      <c r="K28" s="31" t="str">
        <f>"60,0"</f>
        <v>60,0</v>
      </c>
      <c r="L28" s="12" t="str">
        <f>"42,0690"</f>
        <v>42,0690</v>
      </c>
      <c r="M28" s="11"/>
    </row>
    <row r="29" spans="1:13">
      <c r="A29" s="12" t="s">
        <v>349</v>
      </c>
      <c r="B29" s="11" t="s">
        <v>2489</v>
      </c>
      <c r="C29" s="11" t="s">
        <v>2658</v>
      </c>
      <c r="D29" s="11" t="s">
        <v>935</v>
      </c>
      <c r="E29" s="11" t="s">
        <v>2693</v>
      </c>
      <c r="F29" s="11" t="s">
        <v>221</v>
      </c>
      <c r="G29" s="24" t="s">
        <v>48</v>
      </c>
      <c r="H29" s="24" t="s">
        <v>2490</v>
      </c>
      <c r="I29" s="25" t="s">
        <v>22</v>
      </c>
      <c r="J29" s="12"/>
      <c r="K29" s="31" t="str">
        <f>"68,0"</f>
        <v>68,0</v>
      </c>
      <c r="L29" s="12" t="str">
        <f>"48,6094"</f>
        <v>48,6094</v>
      </c>
      <c r="M29" s="11"/>
    </row>
    <row r="30" spans="1:13">
      <c r="A30" s="12" t="s">
        <v>351</v>
      </c>
      <c r="B30" s="11" t="s">
        <v>2491</v>
      </c>
      <c r="C30" s="11" t="s">
        <v>2659</v>
      </c>
      <c r="D30" s="11" t="s">
        <v>65</v>
      </c>
      <c r="E30" s="11" t="s">
        <v>2693</v>
      </c>
      <c r="F30" s="11" t="s">
        <v>807</v>
      </c>
      <c r="G30" s="24" t="s">
        <v>48</v>
      </c>
      <c r="H30" s="24" t="s">
        <v>18</v>
      </c>
      <c r="I30" s="24" t="s">
        <v>49</v>
      </c>
      <c r="J30" s="24" t="s">
        <v>2492</v>
      </c>
      <c r="K30" s="31" t="str">
        <f>"67,5"</f>
        <v>67,5</v>
      </c>
      <c r="L30" s="12" t="str">
        <f>"50,6540"</f>
        <v>50,6540</v>
      </c>
      <c r="M30" s="11"/>
    </row>
    <row r="31" spans="1:13">
      <c r="A31" s="14" t="s">
        <v>353</v>
      </c>
      <c r="B31" s="13" t="s">
        <v>2493</v>
      </c>
      <c r="C31" s="13" t="s">
        <v>2660</v>
      </c>
      <c r="D31" s="13" t="s">
        <v>2281</v>
      </c>
      <c r="E31" s="13" t="s">
        <v>2693</v>
      </c>
      <c r="F31" s="13" t="s">
        <v>1311</v>
      </c>
      <c r="G31" s="26" t="s">
        <v>17</v>
      </c>
      <c r="H31" s="27" t="s">
        <v>18</v>
      </c>
      <c r="I31" s="27" t="s">
        <v>2492</v>
      </c>
      <c r="J31" s="14"/>
      <c r="K31" s="30" t="str">
        <f>"60,0"</f>
        <v>60,0</v>
      </c>
      <c r="L31" s="14" t="str">
        <f>"44,3455"</f>
        <v>44,3455</v>
      </c>
      <c r="M31" s="13"/>
    </row>
    <row r="32" spans="1:13">
      <c r="B32" s="5" t="s">
        <v>350</v>
      </c>
    </row>
    <row r="33" spans="1:13" ht="16">
      <c r="A33" s="82" t="s">
        <v>72</v>
      </c>
      <c r="B33" s="82"/>
      <c r="C33" s="82"/>
      <c r="D33" s="82"/>
      <c r="E33" s="82"/>
      <c r="F33" s="82"/>
      <c r="G33" s="82"/>
      <c r="H33" s="82"/>
      <c r="I33" s="82"/>
      <c r="J33" s="82"/>
    </row>
    <row r="34" spans="1:13">
      <c r="A34" s="10" t="s">
        <v>349</v>
      </c>
      <c r="B34" s="9" t="s">
        <v>2494</v>
      </c>
      <c r="C34" s="9" t="s">
        <v>2661</v>
      </c>
      <c r="D34" s="9" t="s">
        <v>1325</v>
      </c>
      <c r="E34" s="9" t="s">
        <v>2699</v>
      </c>
      <c r="F34" s="9" t="s">
        <v>221</v>
      </c>
      <c r="G34" s="23" t="s">
        <v>408</v>
      </c>
      <c r="H34" s="22" t="s">
        <v>69</v>
      </c>
      <c r="I34" s="22" t="s">
        <v>543</v>
      </c>
      <c r="J34" s="10"/>
      <c r="K34" s="29" t="str">
        <f>"50,0"</f>
        <v>50,0</v>
      </c>
      <c r="L34" s="10" t="str">
        <f>"32,9175"</f>
        <v>32,9175</v>
      </c>
      <c r="M34" s="9" t="s">
        <v>1668</v>
      </c>
    </row>
    <row r="35" spans="1:13">
      <c r="A35" s="12" t="s">
        <v>351</v>
      </c>
      <c r="B35" s="11" t="s">
        <v>1725</v>
      </c>
      <c r="C35" s="11" t="s">
        <v>2662</v>
      </c>
      <c r="D35" s="11" t="s">
        <v>1727</v>
      </c>
      <c r="E35" s="11" t="s">
        <v>2699</v>
      </c>
      <c r="F35" s="11" t="s">
        <v>1728</v>
      </c>
      <c r="G35" s="25" t="s">
        <v>68</v>
      </c>
      <c r="H35" s="24" t="s">
        <v>408</v>
      </c>
      <c r="I35" s="24" t="s">
        <v>69</v>
      </c>
      <c r="J35" s="12"/>
      <c r="K35" s="31" t="str">
        <f>"47,5"</f>
        <v>47,5</v>
      </c>
      <c r="L35" s="12" t="str">
        <f>"32,5446"</f>
        <v>32,5446</v>
      </c>
      <c r="M35" s="11" t="s">
        <v>1729</v>
      </c>
    </row>
    <row r="36" spans="1:13">
      <c r="A36" s="12" t="s">
        <v>353</v>
      </c>
      <c r="B36" s="11" t="s">
        <v>2495</v>
      </c>
      <c r="C36" s="11" t="s">
        <v>2663</v>
      </c>
      <c r="D36" s="11" t="s">
        <v>2496</v>
      </c>
      <c r="E36" s="11" t="s">
        <v>2699</v>
      </c>
      <c r="F36" s="11" t="s">
        <v>2497</v>
      </c>
      <c r="G36" s="24" t="s">
        <v>2438</v>
      </c>
      <c r="H36" s="24" t="s">
        <v>20</v>
      </c>
      <c r="I36" s="24" t="s">
        <v>779</v>
      </c>
      <c r="J36" s="12"/>
      <c r="K36" s="31" t="str">
        <f>"40,0"</f>
        <v>40,0</v>
      </c>
      <c r="L36" s="12" t="str">
        <f>"26,8720"</f>
        <v>26,8720</v>
      </c>
      <c r="M36" s="11" t="s">
        <v>1668</v>
      </c>
    </row>
    <row r="37" spans="1:13">
      <c r="A37" s="12" t="s">
        <v>349</v>
      </c>
      <c r="B37" s="11" t="s">
        <v>1304</v>
      </c>
      <c r="C37" s="11" t="s">
        <v>2664</v>
      </c>
      <c r="D37" s="11" t="s">
        <v>551</v>
      </c>
      <c r="E37" s="11" t="s">
        <v>2689</v>
      </c>
      <c r="F37" s="11" t="s">
        <v>221</v>
      </c>
      <c r="G37" s="24" t="s">
        <v>48</v>
      </c>
      <c r="H37" s="24" t="s">
        <v>49</v>
      </c>
      <c r="I37" s="25" t="s">
        <v>22</v>
      </c>
      <c r="J37" s="12"/>
      <c r="K37" s="31" t="str">
        <f>"67,5"</f>
        <v>67,5</v>
      </c>
      <c r="L37" s="12" t="str">
        <f>"43,9290"</f>
        <v>43,9290</v>
      </c>
      <c r="M37" s="11"/>
    </row>
    <row r="38" spans="1:13">
      <c r="A38" s="12" t="s">
        <v>351</v>
      </c>
      <c r="B38" s="11" t="s">
        <v>2498</v>
      </c>
      <c r="C38" s="11" t="s">
        <v>2665</v>
      </c>
      <c r="D38" s="11" t="s">
        <v>1308</v>
      </c>
      <c r="E38" s="11" t="s">
        <v>2689</v>
      </c>
      <c r="F38" s="11" t="s">
        <v>641</v>
      </c>
      <c r="G38" s="24" t="s">
        <v>543</v>
      </c>
      <c r="H38" s="24" t="s">
        <v>16</v>
      </c>
      <c r="I38" s="25" t="s">
        <v>375</v>
      </c>
      <c r="J38" s="12"/>
      <c r="K38" s="31" t="str">
        <f>"55,0"</f>
        <v>55,0</v>
      </c>
      <c r="L38" s="12" t="str">
        <f>"35,7362"</f>
        <v>35,7362</v>
      </c>
      <c r="M38" s="11"/>
    </row>
    <row r="39" spans="1:13">
      <c r="A39" s="12" t="s">
        <v>349</v>
      </c>
      <c r="B39" s="11" t="s">
        <v>2499</v>
      </c>
      <c r="C39" s="11" t="s">
        <v>2500</v>
      </c>
      <c r="D39" s="11" t="s">
        <v>2501</v>
      </c>
      <c r="E39" s="11" t="s">
        <v>2690</v>
      </c>
      <c r="F39" s="11" t="s">
        <v>243</v>
      </c>
      <c r="G39" s="24" t="s">
        <v>767</v>
      </c>
      <c r="H39" s="25" t="s">
        <v>407</v>
      </c>
      <c r="I39" s="24" t="s">
        <v>407</v>
      </c>
      <c r="J39" s="12"/>
      <c r="K39" s="31" t="str">
        <f>"90,0"</f>
        <v>90,0</v>
      </c>
      <c r="L39" s="12" t="str">
        <f>"61,0740"</f>
        <v>61,0740</v>
      </c>
      <c r="M39" s="11"/>
    </row>
    <row r="40" spans="1:13">
      <c r="A40" s="12" t="s">
        <v>351</v>
      </c>
      <c r="B40" s="11" t="s">
        <v>2502</v>
      </c>
      <c r="C40" s="11" t="s">
        <v>2503</v>
      </c>
      <c r="D40" s="11" t="s">
        <v>2062</v>
      </c>
      <c r="E40" s="11" t="s">
        <v>2690</v>
      </c>
      <c r="F40" s="11" t="s">
        <v>2504</v>
      </c>
      <c r="G40" s="24" t="s">
        <v>375</v>
      </c>
      <c r="H40" s="24" t="s">
        <v>18</v>
      </c>
      <c r="I40" s="25" t="s">
        <v>22</v>
      </c>
      <c r="J40" s="12"/>
      <c r="K40" s="31" t="str">
        <f>"65,0"</f>
        <v>65,0</v>
      </c>
      <c r="L40" s="12" t="str">
        <f>"43,8685"</f>
        <v>43,8685</v>
      </c>
      <c r="M40" s="11"/>
    </row>
    <row r="41" spans="1:13">
      <c r="A41" s="12" t="s">
        <v>353</v>
      </c>
      <c r="B41" s="11" t="s">
        <v>2505</v>
      </c>
      <c r="C41" s="11" t="s">
        <v>2506</v>
      </c>
      <c r="D41" s="11" t="s">
        <v>2507</v>
      </c>
      <c r="E41" s="11" t="s">
        <v>2690</v>
      </c>
      <c r="F41" s="11" t="s">
        <v>2508</v>
      </c>
      <c r="G41" s="24" t="s">
        <v>18</v>
      </c>
      <c r="H41" s="25" t="s">
        <v>22</v>
      </c>
      <c r="I41" s="25" t="s">
        <v>22</v>
      </c>
      <c r="J41" s="12"/>
      <c r="K41" s="31" t="str">
        <f>"65,0"</f>
        <v>65,0</v>
      </c>
      <c r="L41" s="12" t="str">
        <f>"42,8317"</f>
        <v>42,8317</v>
      </c>
      <c r="M41" s="11"/>
    </row>
    <row r="42" spans="1:13">
      <c r="A42" s="12" t="s">
        <v>354</v>
      </c>
      <c r="B42" s="11" t="s">
        <v>2509</v>
      </c>
      <c r="C42" s="11" t="s">
        <v>2510</v>
      </c>
      <c r="D42" s="11" t="s">
        <v>2511</v>
      </c>
      <c r="E42" s="11" t="s">
        <v>2690</v>
      </c>
      <c r="F42" s="11" t="s">
        <v>370</v>
      </c>
      <c r="G42" s="24" t="s">
        <v>375</v>
      </c>
      <c r="H42" s="25" t="s">
        <v>18</v>
      </c>
      <c r="I42" s="25" t="s">
        <v>49</v>
      </c>
      <c r="J42" s="12"/>
      <c r="K42" s="31" t="str">
        <f>"57,5"</f>
        <v>57,5</v>
      </c>
      <c r="L42" s="12" t="str">
        <f>"39,1719"</f>
        <v>39,1719</v>
      </c>
      <c r="M42" s="11"/>
    </row>
    <row r="43" spans="1:13">
      <c r="A43" s="12" t="s">
        <v>349</v>
      </c>
      <c r="B43" s="11" t="s">
        <v>2512</v>
      </c>
      <c r="C43" s="11" t="s">
        <v>2666</v>
      </c>
      <c r="D43" s="11" t="s">
        <v>1325</v>
      </c>
      <c r="E43" s="11" t="s">
        <v>2693</v>
      </c>
      <c r="F43" s="11" t="s">
        <v>221</v>
      </c>
      <c r="G43" s="24" t="s">
        <v>375</v>
      </c>
      <c r="H43" s="24" t="s">
        <v>48</v>
      </c>
      <c r="I43" s="25" t="s">
        <v>18</v>
      </c>
      <c r="J43" s="12"/>
      <c r="K43" s="31" t="str">
        <f>"62,5"</f>
        <v>62,5</v>
      </c>
      <c r="L43" s="12" t="str">
        <f>"42,4224"</f>
        <v>42,4224</v>
      </c>
      <c r="M43" s="11" t="s">
        <v>1668</v>
      </c>
    </row>
    <row r="44" spans="1:13">
      <c r="A44" s="12" t="s">
        <v>349</v>
      </c>
      <c r="B44" s="11" t="s">
        <v>2155</v>
      </c>
      <c r="C44" s="11" t="s">
        <v>2156</v>
      </c>
      <c r="D44" s="11" t="s">
        <v>124</v>
      </c>
      <c r="E44" s="11" t="s">
        <v>2695</v>
      </c>
      <c r="F44" s="11" t="s">
        <v>382</v>
      </c>
      <c r="G44" s="24" t="s">
        <v>16</v>
      </c>
      <c r="H44" s="24" t="s">
        <v>17</v>
      </c>
      <c r="I44" s="25" t="s">
        <v>48</v>
      </c>
      <c r="J44" s="12"/>
      <c r="K44" s="31" t="str">
        <f>"60,0"</f>
        <v>60,0</v>
      </c>
      <c r="L44" s="12" t="str">
        <f>"43,7039"</f>
        <v>43,7039</v>
      </c>
      <c r="M44" s="11" t="s">
        <v>2157</v>
      </c>
    </row>
    <row r="45" spans="1:13">
      <c r="A45" s="14" t="s">
        <v>351</v>
      </c>
      <c r="B45" s="13" t="s">
        <v>2513</v>
      </c>
      <c r="C45" s="13" t="s">
        <v>2667</v>
      </c>
      <c r="D45" s="13" t="s">
        <v>2511</v>
      </c>
      <c r="E45" s="13" t="s">
        <v>2695</v>
      </c>
      <c r="F45" s="13" t="s">
        <v>2514</v>
      </c>
      <c r="G45" s="26" t="s">
        <v>779</v>
      </c>
      <c r="H45" s="27" t="s">
        <v>543</v>
      </c>
      <c r="I45" s="26" t="s">
        <v>543</v>
      </c>
      <c r="J45" s="14"/>
      <c r="K45" s="30" t="str">
        <f>"50,0"</f>
        <v>50,0</v>
      </c>
      <c r="L45" s="14" t="str">
        <f>"42,4419"</f>
        <v>42,4419</v>
      </c>
      <c r="M45" s="13" t="s">
        <v>2684</v>
      </c>
    </row>
    <row r="46" spans="1:13">
      <c r="B46" s="5" t="s">
        <v>350</v>
      </c>
    </row>
    <row r="47" spans="1:13" ht="16">
      <c r="A47" s="82" t="s">
        <v>143</v>
      </c>
      <c r="B47" s="82"/>
      <c r="C47" s="82"/>
      <c r="D47" s="82"/>
      <c r="E47" s="82"/>
      <c r="F47" s="82"/>
      <c r="G47" s="82"/>
      <c r="H47" s="82"/>
      <c r="I47" s="82"/>
      <c r="J47" s="82"/>
    </row>
    <row r="48" spans="1:13">
      <c r="A48" s="10" t="s">
        <v>349</v>
      </c>
      <c r="B48" s="9" t="s">
        <v>2515</v>
      </c>
      <c r="C48" s="9" t="s">
        <v>2668</v>
      </c>
      <c r="D48" s="9" t="s">
        <v>1784</v>
      </c>
      <c r="E48" s="9" t="s">
        <v>2689</v>
      </c>
      <c r="F48" s="9" t="s">
        <v>1606</v>
      </c>
      <c r="G48" s="23" t="s">
        <v>49</v>
      </c>
      <c r="H48" s="22" t="s">
        <v>49</v>
      </c>
      <c r="I48" s="22" t="s">
        <v>398</v>
      </c>
      <c r="J48" s="23" t="s">
        <v>2516</v>
      </c>
      <c r="K48" s="29" t="str">
        <f>"72,5"</f>
        <v>72,5</v>
      </c>
      <c r="L48" s="10" t="str">
        <f>"45,4466"</f>
        <v>45,4466</v>
      </c>
      <c r="M48" s="9" t="s">
        <v>2517</v>
      </c>
    </row>
    <row r="49" spans="1:13">
      <c r="A49" s="12" t="s">
        <v>349</v>
      </c>
      <c r="B49" s="11" t="s">
        <v>1795</v>
      </c>
      <c r="C49" s="11" t="s">
        <v>1796</v>
      </c>
      <c r="D49" s="11" t="s">
        <v>1162</v>
      </c>
      <c r="E49" s="11" t="s">
        <v>2690</v>
      </c>
      <c r="F49" s="11" t="s">
        <v>221</v>
      </c>
      <c r="G49" s="25" t="s">
        <v>61</v>
      </c>
      <c r="H49" s="24" t="s">
        <v>778</v>
      </c>
      <c r="I49" s="24" t="s">
        <v>23</v>
      </c>
      <c r="J49" s="12"/>
      <c r="K49" s="31" t="str">
        <f>"80,0"</f>
        <v>80,0</v>
      </c>
      <c r="L49" s="12" t="str">
        <f>"49,0680"</f>
        <v>49,0680</v>
      </c>
      <c r="M49" s="11" t="s">
        <v>1797</v>
      </c>
    </row>
    <row r="50" spans="1:13">
      <c r="A50" s="12" t="s">
        <v>351</v>
      </c>
      <c r="B50" s="11" t="s">
        <v>2518</v>
      </c>
      <c r="C50" s="11" t="s">
        <v>2519</v>
      </c>
      <c r="D50" s="11" t="s">
        <v>615</v>
      </c>
      <c r="E50" s="11" t="s">
        <v>2690</v>
      </c>
      <c r="F50" s="11" t="s">
        <v>1347</v>
      </c>
      <c r="G50" s="24" t="s">
        <v>61</v>
      </c>
      <c r="H50" s="25" t="s">
        <v>2516</v>
      </c>
      <c r="I50" s="25" t="s">
        <v>2516</v>
      </c>
      <c r="J50" s="12"/>
      <c r="K50" s="31" t="str">
        <f>"75,0"</f>
        <v>75,0</v>
      </c>
      <c r="L50" s="12" t="str">
        <f>"46,0912"</f>
        <v>46,0912</v>
      </c>
      <c r="M50" s="11"/>
    </row>
    <row r="51" spans="1:13">
      <c r="A51" s="12" t="s">
        <v>353</v>
      </c>
      <c r="B51" s="11" t="s">
        <v>2520</v>
      </c>
      <c r="C51" s="11" t="s">
        <v>2521</v>
      </c>
      <c r="D51" s="11" t="s">
        <v>1162</v>
      </c>
      <c r="E51" s="11" t="s">
        <v>2690</v>
      </c>
      <c r="F51" s="11" t="s">
        <v>2522</v>
      </c>
      <c r="G51" s="24" t="s">
        <v>22</v>
      </c>
      <c r="H51" s="24" t="s">
        <v>61</v>
      </c>
      <c r="I51" s="25" t="s">
        <v>778</v>
      </c>
      <c r="J51" s="12"/>
      <c r="K51" s="31" t="str">
        <f>"75,0"</f>
        <v>75,0</v>
      </c>
      <c r="L51" s="12" t="str">
        <f>"46,0012"</f>
        <v>46,0012</v>
      </c>
      <c r="M51" s="11"/>
    </row>
    <row r="52" spans="1:13">
      <c r="A52" s="12" t="s">
        <v>354</v>
      </c>
      <c r="B52" s="11" t="s">
        <v>2523</v>
      </c>
      <c r="C52" s="11" t="s">
        <v>2524</v>
      </c>
      <c r="D52" s="11" t="s">
        <v>2525</v>
      </c>
      <c r="E52" s="11" t="s">
        <v>2690</v>
      </c>
      <c r="F52" s="11" t="s">
        <v>1601</v>
      </c>
      <c r="G52" s="24" t="s">
        <v>17</v>
      </c>
      <c r="H52" s="25" t="s">
        <v>49</v>
      </c>
      <c r="I52" s="25" t="s">
        <v>49</v>
      </c>
      <c r="J52" s="12"/>
      <c r="K52" s="31" t="str">
        <f>"60,0"</f>
        <v>60,0</v>
      </c>
      <c r="L52" s="12" t="str">
        <f>"38,3790"</f>
        <v>38,3790</v>
      </c>
      <c r="M52" s="11"/>
    </row>
    <row r="53" spans="1:13">
      <c r="A53" s="12" t="s">
        <v>349</v>
      </c>
      <c r="B53" s="11" t="s">
        <v>2518</v>
      </c>
      <c r="C53" s="11" t="s">
        <v>2669</v>
      </c>
      <c r="D53" s="11" t="s">
        <v>615</v>
      </c>
      <c r="E53" s="11" t="s">
        <v>2693</v>
      </c>
      <c r="F53" s="11" t="s">
        <v>1347</v>
      </c>
      <c r="G53" s="24" t="s">
        <v>61</v>
      </c>
      <c r="H53" s="25" t="s">
        <v>2516</v>
      </c>
      <c r="I53" s="25" t="s">
        <v>2516</v>
      </c>
      <c r="J53" s="12"/>
      <c r="K53" s="31" t="str">
        <f>"75,0"</f>
        <v>75,0</v>
      </c>
      <c r="L53" s="12" t="s">
        <v>2562</v>
      </c>
      <c r="M53" s="11"/>
    </row>
    <row r="54" spans="1:13">
      <c r="A54" s="12" t="s">
        <v>351</v>
      </c>
      <c r="B54" s="11" t="s">
        <v>1026</v>
      </c>
      <c r="C54" s="11" t="s">
        <v>1027</v>
      </c>
      <c r="D54" s="11" t="s">
        <v>442</v>
      </c>
      <c r="E54" s="11" t="s">
        <v>2693</v>
      </c>
      <c r="F54" s="11" t="s">
        <v>221</v>
      </c>
      <c r="G54" s="24" t="s">
        <v>17</v>
      </c>
      <c r="H54" s="24" t="s">
        <v>18</v>
      </c>
      <c r="I54" s="25" t="s">
        <v>49</v>
      </c>
      <c r="J54" s="12"/>
      <c r="K54" s="31" t="str">
        <f>"65,0"</f>
        <v>65,0</v>
      </c>
      <c r="L54" s="12" t="str">
        <f>"40,0205"</f>
        <v>40,0205</v>
      </c>
      <c r="M54" s="11"/>
    </row>
    <row r="55" spans="1:13">
      <c r="A55" s="12" t="s">
        <v>349</v>
      </c>
      <c r="B55" s="11" t="s">
        <v>2526</v>
      </c>
      <c r="C55" s="11" t="s">
        <v>2670</v>
      </c>
      <c r="D55" s="11" t="s">
        <v>2128</v>
      </c>
      <c r="E55" s="11" t="s">
        <v>2695</v>
      </c>
      <c r="F55" s="11" t="s">
        <v>221</v>
      </c>
      <c r="G55" s="24" t="s">
        <v>408</v>
      </c>
      <c r="H55" s="24" t="s">
        <v>543</v>
      </c>
      <c r="I55" s="24" t="s">
        <v>16</v>
      </c>
      <c r="J55" s="12"/>
      <c r="K55" s="31" t="str">
        <f>"55,0"</f>
        <v>55,0</v>
      </c>
      <c r="L55" s="12" t="str">
        <f>"45,5923"</f>
        <v>45,5923</v>
      </c>
      <c r="M55" s="11"/>
    </row>
    <row r="56" spans="1:13">
      <c r="A56" s="14" t="s">
        <v>349</v>
      </c>
      <c r="B56" s="13" t="s">
        <v>1373</v>
      </c>
      <c r="C56" s="13" t="s">
        <v>2527</v>
      </c>
      <c r="D56" s="13" t="s">
        <v>1375</v>
      </c>
      <c r="E56" s="13" t="s">
        <v>2694</v>
      </c>
      <c r="F56" s="13" t="s">
        <v>1376</v>
      </c>
      <c r="G56" s="26" t="s">
        <v>20</v>
      </c>
      <c r="H56" s="26" t="s">
        <v>408</v>
      </c>
      <c r="I56" s="26" t="s">
        <v>543</v>
      </c>
      <c r="J56" s="14"/>
      <c r="K56" s="30" t="str">
        <f>"50,0"</f>
        <v>50,0</v>
      </c>
      <c r="L56" s="14" t="str">
        <f>"42,3842"</f>
        <v>42,3842</v>
      </c>
      <c r="M56" s="13"/>
    </row>
    <row r="57" spans="1:13">
      <c r="B57" s="5" t="s">
        <v>350</v>
      </c>
    </row>
    <row r="58" spans="1:13" ht="16">
      <c r="A58" s="82" t="s">
        <v>183</v>
      </c>
      <c r="B58" s="82"/>
      <c r="C58" s="82"/>
      <c r="D58" s="82"/>
      <c r="E58" s="82"/>
      <c r="F58" s="82"/>
      <c r="G58" s="82"/>
      <c r="H58" s="82"/>
      <c r="I58" s="82"/>
      <c r="J58" s="82"/>
    </row>
    <row r="59" spans="1:13">
      <c r="A59" s="10" t="s">
        <v>349</v>
      </c>
      <c r="B59" s="9" t="s">
        <v>2528</v>
      </c>
      <c r="C59" s="9" t="s">
        <v>2529</v>
      </c>
      <c r="D59" s="9" t="s">
        <v>191</v>
      </c>
      <c r="E59" s="9" t="s">
        <v>2690</v>
      </c>
      <c r="F59" s="9" t="s">
        <v>131</v>
      </c>
      <c r="G59" s="22" t="s">
        <v>61</v>
      </c>
      <c r="H59" s="22" t="s">
        <v>23</v>
      </c>
      <c r="I59" s="22" t="s">
        <v>62</v>
      </c>
      <c r="J59" s="10"/>
      <c r="K59" s="29" t="str">
        <f>"82,5"</f>
        <v>82,5</v>
      </c>
      <c r="L59" s="10" t="str">
        <f>"48,2047"</f>
        <v>48,2047</v>
      </c>
      <c r="M59" s="9" t="s">
        <v>2530</v>
      </c>
    </row>
    <row r="60" spans="1:13">
      <c r="A60" s="12" t="s">
        <v>351</v>
      </c>
      <c r="B60" s="11" t="s">
        <v>2531</v>
      </c>
      <c r="C60" s="11" t="s">
        <v>2532</v>
      </c>
      <c r="D60" s="11" t="s">
        <v>200</v>
      </c>
      <c r="E60" s="11" t="s">
        <v>2690</v>
      </c>
      <c r="F60" s="11" t="s">
        <v>2533</v>
      </c>
      <c r="G60" s="24" t="s">
        <v>398</v>
      </c>
      <c r="H60" s="24" t="s">
        <v>61</v>
      </c>
      <c r="I60" s="24" t="s">
        <v>778</v>
      </c>
      <c r="J60" s="12"/>
      <c r="K60" s="31" t="str">
        <f>"77,5"</f>
        <v>77,5</v>
      </c>
      <c r="L60" s="12" t="str">
        <f>"45,4654"</f>
        <v>45,4654</v>
      </c>
      <c r="M60" s="11"/>
    </row>
    <row r="61" spans="1:13">
      <c r="A61" s="12" t="s">
        <v>349</v>
      </c>
      <c r="B61" s="11" t="s">
        <v>2534</v>
      </c>
      <c r="C61" s="11" t="s">
        <v>2671</v>
      </c>
      <c r="D61" s="11" t="s">
        <v>2535</v>
      </c>
      <c r="E61" s="11" t="s">
        <v>2693</v>
      </c>
      <c r="F61" s="11" t="s">
        <v>221</v>
      </c>
      <c r="G61" s="24" t="s">
        <v>22</v>
      </c>
      <c r="H61" s="24" t="s">
        <v>61</v>
      </c>
      <c r="I61" s="24" t="s">
        <v>778</v>
      </c>
      <c r="J61" s="12"/>
      <c r="K61" s="31" t="str">
        <f>"77,5"</f>
        <v>77,5</v>
      </c>
      <c r="L61" s="12" t="str">
        <f>"48,0505"</f>
        <v>48,0505</v>
      </c>
      <c r="M61" s="11"/>
    </row>
    <row r="62" spans="1:13">
      <c r="A62" s="14" t="s">
        <v>351</v>
      </c>
      <c r="B62" s="13" t="s">
        <v>2536</v>
      </c>
      <c r="C62" s="13" t="s">
        <v>2672</v>
      </c>
      <c r="D62" s="13" t="s">
        <v>1867</v>
      </c>
      <c r="E62" s="13" t="s">
        <v>2693</v>
      </c>
      <c r="F62" s="13" t="s">
        <v>221</v>
      </c>
      <c r="G62" s="26" t="s">
        <v>22</v>
      </c>
      <c r="H62" s="27" t="s">
        <v>23</v>
      </c>
      <c r="I62" s="27" t="s">
        <v>23</v>
      </c>
      <c r="J62" s="14"/>
      <c r="K62" s="30" t="str">
        <f>"70,0"</f>
        <v>70,0</v>
      </c>
      <c r="L62" s="14" t="str">
        <f>"43,0029"</f>
        <v>43,0029</v>
      </c>
      <c r="M62" s="13"/>
    </row>
    <row r="63" spans="1:13">
      <c r="B63" s="5" t="s">
        <v>350</v>
      </c>
    </row>
    <row r="64" spans="1:13" ht="16">
      <c r="A64" s="82" t="s">
        <v>244</v>
      </c>
      <c r="B64" s="82"/>
      <c r="C64" s="82"/>
      <c r="D64" s="82"/>
      <c r="E64" s="82"/>
      <c r="F64" s="82"/>
      <c r="G64" s="82"/>
      <c r="H64" s="82"/>
      <c r="I64" s="82"/>
      <c r="J64" s="82"/>
    </row>
    <row r="65" spans="1:13">
      <c r="A65" s="10" t="s">
        <v>349</v>
      </c>
      <c r="B65" s="9" t="s">
        <v>2537</v>
      </c>
      <c r="C65" s="9" t="s">
        <v>2673</v>
      </c>
      <c r="D65" s="9" t="s">
        <v>2538</v>
      </c>
      <c r="E65" s="9" t="s">
        <v>2689</v>
      </c>
      <c r="F65" s="9" t="s">
        <v>221</v>
      </c>
      <c r="G65" s="22" t="s">
        <v>18</v>
      </c>
      <c r="H65" s="22" t="s">
        <v>22</v>
      </c>
      <c r="I65" s="22" t="s">
        <v>398</v>
      </c>
      <c r="J65" s="10"/>
      <c r="K65" s="29" t="str">
        <f>"72,5"</f>
        <v>72,5</v>
      </c>
      <c r="L65" s="10" t="str">
        <f>"41,2525"</f>
        <v>41,2525</v>
      </c>
      <c r="M65" s="9" t="s">
        <v>2541</v>
      </c>
    </row>
    <row r="66" spans="1:13">
      <c r="A66" s="12" t="s">
        <v>351</v>
      </c>
      <c r="B66" s="11" t="s">
        <v>2539</v>
      </c>
      <c r="C66" s="11" t="s">
        <v>2673</v>
      </c>
      <c r="D66" s="11" t="s">
        <v>2540</v>
      </c>
      <c r="E66" s="11" t="s">
        <v>2689</v>
      </c>
      <c r="F66" s="11" t="s">
        <v>221</v>
      </c>
      <c r="G66" s="24" t="s">
        <v>375</v>
      </c>
      <c r="H66" s="24" t="s">
        <v>48</v>
      </c>
      <c r="I66" s="25" t="s">
        <v>18</v>
      </c>
      <c r="J66" s="12"/>
      <c r="K66" s="31" t="str">
        <f>"62,5"</f>
        <v>62,5</v>
      </c>
      <c r="L66" s="12" t="str">
        <f>"35,6906"</f>
        <v>35,6906</v>
      </c>
      <c r="M66" s="11" t="s">
        <v>2541</v>
      </c>
    </row>
    <row r="67" spans="1:13">
      <c r="A67" s="12" t="s">
        <v>349</v>
      </c>
      <c r="B67" s="11" t="s">
        <v>2542</v>
      </c>
      <c r="C67" s="11" t="s">
        <v>2543</v>
      </c>
      <c r="D67" s="11" t="s">
        <v>260</v>
      </c>
      <c r="E67" s="11" t="s">
        <v>2690</v>
      </c>
      <c r="F67" s="11" t="s">
        <v>2544</v>
      </c>
      <c r="G67" s="24" t="s">
        <v>188</v>
      </c>
      <c r="H67" s="24" t="s">
        <v>66</v>
      </c>
      <c r="I67" s="24" t="s">
        <v>853</v>
      </c>
      <c r="J67" s="24" t="s">
        <v>2545</v>
      </c>
      <c r="K67" s="31" t="str">
        <f>"107,5"</f>
        <v>107,5</v>
      </c>
      <c r="L67" s="12" t="str">
        <f>"60,7053"</f>
        <v>60,7053</v>
      </c>
      <c r="M67" s="11"/>
    </row>
    <row r="68" spans="1:13">
      <c r="A68" s="14" t="s">
        <v>349</v>
      </c>
      <c r="B68" s="13" t="s">
        <v>712</v>
      </c>
      <c r="C68" s="13" t="s">
        <v>713</v>
      </c>
      <c r="D68" s="13" t="s">
        <v>714</v>
      </c>
      <c r="E68" s="13" t="s">
        <v>2693</v>
      </c>
      <c r="F68" s="13" t="s">
        <v>715</v>
      </c>
      <c r="G68" s="26" t="s">
        <v>543</v>
      </c>
      <c r="H68" s="26" t="s">
        <v>17</v>
      </c>
      <c r="I68" s="27" t="s">
        <v>22</v>
      </c>
      <c r="J68" s="14"/>
      <c r="K68" s="30" t="str">
        <f>"60,0"</f>
        <v>60,0</v>
      </c>
      <c r="L68" s="14" t="str">
        <f>"35,9209"</f>
        <v>35,9209</v>
      </c>
      <c r="M68" s="13"/>
    </row>
    <row r="69" spans="1:13">
      <c r="B69" s="5" t="s">
        <v>350</v>
      </c>
    </row>
    <row r="70" spans="1:13" ht="16">
      <c r="A70" s="82" t="s">
        <v>276</v>
      </c>
      <c r="B70" s="82"/>
      <c r="C70" s="82"/>
      <c r="D70" s="82"/>
      <c r="E70" s="82"/>
      <c r="F70" s="82"/>
      <c r="G70" s="82"/>
      <c r="H70" s="82"/>
      <c r="I70" s="82"/>
      <c r="J70" s="82"/>
    </row>
    <row r="71" spans="1:13">
      <c r="A71" s="10" t="s">
        <v>349</v>
      </c>
      <c r="B71" s="9" t="s">
        <v>1471</v>
      </c>
      <c r="C71" s="9" t="s">
        <v>2674</v>
      </c>
      <c r="D71" s="9" t="s">
        <v>1473</v>
      </c>
      <c r="E71" s="9" t="s">
        <v>2689</v>
      </c>
      <c r="F71" s="9" t="s">
        <v>104</v>
      </c>
      <c r="G71" s="22" t="s">
        <v>188</v>
      </c>
      <c r="H71" s="22" t="s">
        <v>364</v>
      </c>
      <c r="I71" s="22" t="s">
        <v>66</v>
      </c>
      <c r="J71" s="23" t="s">
        <v>2546</v>
      </c>
      <c r="K71" s="29" t="str">
        <f>"105,0"</f>
        <v>105,0</v>
      </c>
      <c r="L71" s="10" t="str">
        <f>"57,5505"</f>
        <v>57,5505</v>
      </c>
      <c r="M71" s="9"/>
    </row>
    <row r="72" spans="1:13">
      <c r="A72" s="14" t="s">
        <v>349</v>
      </c>
      <c r="B72" s="13" t="s">
        <v>1471</v>
      </c>
      <c r="C72" s="13" t="s">
        <v>2547</v>
      </c>
      <c r="D72" s="13" t="s">
        <v>1473</v>
      </c>
      <c r="E72" s="13" t="s">
        <v>2690</v>
      </c>
      <c r="F72" s="13" t="s">
        <v>104</v>
      </c>
      <c r="G72" s="26" t="s">
        <v>188</v>
      </c>
      <c r="H72" s="26" t="s">
        <v>364</v>
      </c>
      <c r="I72" s="26" t="s">
        <v>66</v>
      </c>
      <c r="J72" s="27" t="s">
        <v>2546</v>
      </c>
      <c r="K72" s="30" t="str">
        <f>"105,0"</f>
        <v>105,0</v>
      </c>
      <c r="L72" s="14" t="str">
        <f>"57,5505"</f>
        <v>57,5505</v>
      </c>
      <c r="M72" s="13"/>
    </row>
    <row r="73" spans="1:13">
      <c r="B73" s="5" t="s">
        <v>350</v>
      </c>
    </row>
    <row r="74" spans="1:13" ht="16">
      <c r="A74" s="82" t="s">
        <v>299</v>
      </c>
      <c r="B74" s="82"/>
      <c r="C74" s="82"/>
      <c r="D74" s="82"/>
      <c r="E74" s="82"/>
      <c r="F74" s="82"/>
      <c r="G74" s="82"/>
      <c r="H74" s="82"/>
      <c r="I74" s="82"/>
      <c r="J74" s="82"/>
    </row>
    <row r="75" spans="1:13">
      <c r="A75" s="10" t="s">
        <v>349</v>
      </c>
      <c r="B75" s="9" t="s">
        <v>2548</v>
      </c>
      <c r="C75" s="9" t="s">
        <v>2549</v>
      </c>
      <c r="D75" s="9" t="s">
        <v>2550</v>
      </c>
      <c r="E75" s="9" t="s">
        <v>2690</v>
      </c>
      <c r="F75" s="9" t="s">
        <v>221</v>
      </c>
      <c r="G75" s="22" t="s">
        <v>24</v>
      </c>
      <c r="H75" s="22" t="s">
        <v>466</v>
      </c>
      <c r="I75" s="23" t="s">
        <v>627</v>
      </c>
      <c r="J75" s="10"/>
      <c r="K75" s="29" t="str">
        <f>"95,0"</f>
        <v>95,0</v>
      </c>
      <c r="L75" s="10" t="str">
        <f>"50,8492"</f>
        <v>50,8492</v>
      </c>
      <c r="M75" s="9" t="s">
        <v>2551</v>
      </c>
    </row>
    <row r="76" spans="1:13">
      <c r="A76" s="14" t="s">
        <v>351</v>
      </c>
      <c r="B76" s="13" t="s">
        <v>2552</v>
      </c>
      <c r="C76" s="13" t="s">
        <v>2356</v>
      </c>
      <c r="D76" s="13" t="s">
        <v>2553</v>
      </c>
      <c r="E76" s="13" t="s">
        <v>2690</v>
      </c>
      <c r="F76" s="13" t="s">
        <v>2554</v>
      </c>
      <c r="G76" s="27" t="s">
        <v>407</v>
      </c>
      <c r="H76" s="27" t="s">
        <v>407</v>
      </c>
      <c r="I76" s="26" t="s">
        <v>407</v>
      </c>
      <c r="J76" s="14"/>
      <c r="K76" s="30" t="str">
        <f>"90,0"</f>
        <v>90,0</v>
      </c>
      <c r="L76" s="14" t="str">
        <f>"49,0725"</f>
        <v>49,0725</v>
      </c>
      <c r="M76" s="13" t="s">
        <v>2685</v>
      </c>
    </row>
    <row r="77" spans="1:13">
      <c r="B77" s="5" t="s">
        <v>350</v>
      </c>
    </row>
    <row r="78" spans="1:13">
      <c r="B78" s="5" t="s">
        <v>350</v>
      </c>
    </row>
    <row r="79" spans="1:13">
      <c r="B79" s="5" t="s">
        <v>350</v>
      </c>
    </row>
    <row r="80" spans="1:13" ht="18">
      <c r="B80" s="15" t="s">
        <v>316</v>
      </c>
      <c r="C80" s="15"/>
      <c r="F80" s="3"/>
    </row>
    <row r="81" spans="2:6" ht="16">
      <c r="B81" s="16" t="s">
        <v>336</v>
      </c>
      <c r="C81" s="16"/>
      <c r="F81" s="3"/>
    </row>
    <row r="82" spans="2:6" ht="14">
      <c r="B82" s="17"/>
      <c r="C82" s="18" t="s">
        <v>337</v>
      </c>
      <c r="F82" s="3"/>
    </row>
    <row r="83" spans="2:6" ht="14">
      <c r="B83" s="19" t="s">
        <v>319</v>
      </c>
      <c r="C83" s="19" t="s">
        <v>320</v>
      </c>
      <c r="D83" s="19" t="s">
        <v>2593</v>
      </c>
      <c r="E83" s="19" t="s">
        <v>1225</v>
      </c>
      <c r="F83" s="19" t="s">
        <v>1226</v>
      </c>
    </row>
    <row r="84" spans="2:6">
      <c r="B84" s="5" t="s">
        <v>1471</v>
      </c>
      <c r="C84" s="5" t="s">
        <v>2675</v>
      </c>
      <c r="D84" s="6" t="s">
        <v>348</v>
      </c>
      <c r="E84" s="6" t="s">
        <v>66</v>
      </c>
      <c r="F84" s="6" t="s">
        <v>2555</v>
      </c>
    </row>
    <row r="85" spans="2:6">
      <c r="B85" s="5" t="s">
        <v>2479</v>
      </c>
      <c r="C85" s="5" t="s">
        <v>2675</v>
      </c>
      <c r="D85" s="6" t="s">
        <v>330</v>
      </c>
      <c r="E85" s="6" t="s">
        <v>778</v>
      </c>
      <c r="F85" s="6" t="s">
        <v>2556</v>
      </c>
    </row>
    <row r="86" spans="2:6">
      <c r="B86" s="5" t="s">
        <v>2515</v>
      </c>
      <c r="C86" s="5" t="s">
        <v>2675</v>
      </c>
      <c r="D86" s="6" t="s">
        <v>338</v>
      </c>
      <c r="E86" s="6" t="s">
        <v>398</v>
      </c>
      <c r="F86" s="6" t="s">
        <v>2557</v>
      </c>
    </row>
    <row r="88" spans="2:6" ht="14">
      <c r="B88" s="17"/>
      <c r="C88" s="18" t="s">
        <v>318</v>
      </c>
    </row>
    <row r="89" spans="2:6" ht="14">
      <c r="B89" s="19" t="s">
        <v>319</v>
      </c>
      <c r="C89" s="19" t="s">
        <v>320</v>
      </c>
      <c r="D89" s="19" t="s">
        <v>2593</v>
      </c>
      <c r="E89" s="19" t="s">
        <v>1225</v>
      </c>
      <c r="F89" s="19" t="s">
        <v>1226</v>
      </c>
    </row>
    <row r="90" spans="2:6">
      <c r="B90" s="5" t="s">
        <v>2499</v>
      </c>
      <c r="C90" s="5" t="s">
        <v>318</v>
      </c>
      <c r="D90" s="6" t="s">
        <v>327</v>
      </c>
      <c r="E90" s="6" t="s">
        <v>407</v>
      </c>
      <c r="F90" s="6" t="s">
        <v>2558</v>
      </c>
    </row>
    <row r="91" spans="2:6">
      <c r="B91" s="5" t="s">
        <v>2542</v>
      </c>
      <c r="C91" s="5" t="s">
        <v>318</v>
      </c>
      <c r="D91" s="6" t="s">
        <v>340</v>
      </c>
      <c r="E91" s="6" t="s">
        <v>853</v>
      </c>
      <c r="F91" s="6" t="s">
        <v>2559</v>
      </c>
    </row>
    <row r="92" spans="2:6">
      <c r="B92" s="5" t="s">
        <v>1471</v>
      </c>
      <c r="C92" s="5" t="s">
        <v>318</v>
      </c>
      <c r="D92" s="6" t="s">
        <v>348</v>
      </c>
      <c r="E92" s="6" t="s">
        <v>66</v>
      </c>
      <c r="F92" s="6" t="s">
        <v>2555</v>
      </c>
    </row>
    <row r="94" spans="2:6" ht="14">
      <c r="B94" s="17"/>
      <c r="C94" s="18" t="s">
        <v>333</v>
      </c>
    </row>
    <row r="95" spans="2:6" ht="14">
      <c r="B95" s="19" t="s">
        <v>319</v>
      </c>
      <c r="C95" s="19" t="s">
        <v>320</v>
      </c>
      <c r="D95" s="19" t="s">
        <v>2593</v>
      </c>
      <c r="E95" s="19" t="s">
        <v>1225</v>
      </c>
      <c r="F95" s="19" t="s">
        <v>1226</v>
      </c>
    </row>
    <row r="96" spans="2:6">
      <c r="B96" s="5" t="s">
        <v>2464</v>
      </c>
      <c r="C96" s="5" t="s">
        <v>335</v>
      </c>
      <c r="D96" s="6" t="s">
        <v>494</v>
      </c>
      <c r="E96" s="6" t="s">
        <v>375</v>
      </c>
      <c r="F96" s="6" t="s">
        <v>2560</v>
      </c>
    </row>
    <row r="97" spans="2:6">
      <c r="B97" s="5" t="s">
        <v>2491</v>
      </c>
      <c r="C97" s="5" t="s">
        <v>335</v>
      </c>
      <c r="D97" s="6" t="s">
        <v>330</v>
      </c>
      <c r="E97" s="6" t="s">
        <v>49</v>
      </c>
      <c r="F97" s="6" t="s">
        <v>2561</v>
      </c>
    </row>
    <row r="98" spans="2:6">
      <c r="B98" s="5" t="s">
        <v>2518</v>
      </c>
      <c r="C98" s="5" t="s">
        <v>335</v>
      </c>
      <c r="D98" s="6" t="s">
        <v>338</v>
      </c>
      <c r="E98" s="6" t="s">
        <v>61</v>
      </c>
      <c r="F98" s="6" t="s">
        <v>2562</v>
      </c>
    </row>
    <row r="99" spans="2:6">
      <c r="B99" s="5" t="s">
        <v>350</v>
      </c>
    </row>
  </sheetData>
  <mergeCells count="22">
    <mergeCell ref="A58:J58"/>
    <mergeCell ref="A64:J64"/>
    <mergeCell ref="A70:J70"/>
    <mergeCell ref="A74:J74"/>
    <mergeCell ref="B3:B4"/>
    <mergeCell ref="A8:J8"/>
    <mergeCell ref="A11:J11"/>
    <mergeCell ref="A14:J14"/>
    <mergeCell ref="A22:J22"/>
    <mergeCell ref="A33:J33"/>
    <mergeCell ref="A47:J4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U77"/>
  <sheetViews>
    <sheetView topLeftCell="A20" workbookViewId="0">
      <selection activeCell="E61" sqref="E61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8" width="5.5" style="6" customWidth="1"/>
    <col min="19" max="19" width="7.83203125" style="28" bestFit="1" customWidth="1"/>
    <col min="20" max="20" width="8.5" style="6" bestFit="1" customWidth="1"/>
    <col min="21" max="21" width="31.5" style="5" bestFit="1" customWidth="1"/>
    <col min="22" max="16384" width="9.1640625" style="3"/>
  </cols>
  <sheetData>
    <row r="1" spans="1:21" s="2" customFormat="1" ht="29" customHeight="1">
      <c r="A1" s="71" t="s">
        <v>2630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1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65" t="s">
        <v>10</v>
      </c>
      <c r="P3" s="65"/>
      <c r="Q3" s="65"/>
      <c r="R3" s="65"/>
      <c r="S3" s="83" t="s">
        <v>1</v>
      </c>
      <c r="T3" s="65" t="s">
        <v>3</v>
      </c>
      <c r="U3" s="67" t="s">
        <v>2</v>
      </c>
    </row>
    <row r="4" spans="1:21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4"/>
      <c r="T4" s="66"/>
      <c r="U4" s="68"/>
    </row>
    <row r="5" spans="1:21" ht="16">
      <c r="A5" s="69" t="s">
        <v>359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1">
      <c r="A6" s="10" t="s">
        <v>352</v>
      </c>
      <c r="B6" s="9" t="s">
        <v>360</v>
      </c>
      <c r="C6" s="9" t="s">
        <v>361</v>
      </c>
      <c r="D6" s="9" t="s">
        <v>362</v>
      </c>
      <c r="E6" s="9" t="s">
        <v>2691</v>
      </c>
      <c r="F6" s="9" t="s">
        <v>363</v>
      </c>
      <c r="G6" s="23" t="s">
        <v>364</v>
      </c>
      <c r="H6" s="22" t="s">
        <v>364</v>
      </c>
      <c r="I6" s="23" t="s">
        <v>83</v>
      </c>
      <c r="J6" s="10"/>
      <c r="K6" s="23" t="s">
        <v>49</v>
      </c>
      <c r="L6" s="23" t="s">
        <v>49</v>
      </c>
      <c r="M6" s="23" t="s">
        <v>49</v>
      </c>
      <c r="N6" s="10"/>
      <c r="O6" s="10"/>
      <c r="P6" s="10"/>
      <c r="Q6" s="10"/>
      <c r="R6" s="23"/>
      <c r="S6" s="29">
        <v>0</v>
      </c>
      <c r="T6" s="10" t="str">
        <f>"0,0000"</f>
        <v>0,0000</v>
      </c>
      <c r="U6" s="9" t="s">
        <v>366</v>
      </c>
    </row>
    <row r="7" spans="1:21">
      <c r="A7" s="14" t="s">
        <v>349</v>
      </c>
      <c r="B7" s="13" t="s">
        <v>367</v>
      </c>
      <c r="C7" s="13" t="s">
        <v>368</v>
      </c>
      <c r="D7" s="13" t="s">
        <v>369</v>
      </c>
      <c r="E7" s="13" t="s">
        <v>2690</v>
      </c>
      <c r="F7" s="13" t="s">
        <v>370</v>
      </c>
      <c r="G7" s="26" t="s">
        <v>66</v>
      </c>
      <c r="H7" s="27" t="s">
        <v>83</v>
      </c>
      <c r="I7" s="27" t="s">
        <v>34</v>
      </c>
      <c r="J7" s="14"/>
      <c r="K7" s="26" t="s">
        <v>16</v>
      </c>
      <c r="L7" s="26" t="s">
        <v>17</v>
      </c>
      <c r="M7" s="27" t="s">
        <v>18</v>
      </c>
      <c r="N7" s="14"/>
      <c r="O7" s="26" t="s">
        <v>67</v>
      </c>
      <c r="P7" s="26" t="s">
        <v>50</v>
      </c>
      <c r="Q7" s="26" t="s">
        <v>84</v>
      </c>
      <c r="R7" s="14"/>
      <c r="S7" s="30" t="str">
        <f>"290,0"</f>
        <v>290,0</v>
      </c>
      <c r="T7" s="14" t="str">
        <f>"368,0680"</f>
        <v>368,0680</v>
      </c>
      <c r="U7" s="13" t="s">
        <v>371</v>
      </c>
    </row>
    <row r="8" spans="1:21">
      <c r="B8" s="5" t="s">
        <v>350</v>
      </c>
    </row>
    <row r="9" spans="1:21" ht="16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1">
      <c r="A10" s="8" t="s">
        <v>349</v>
      </c>
      <c r="B10" s="7" t="s">
        <v>372</v>
      </c>
      <c r="C10" s="7" t="s">
        <v>373</v>
      </c>
      <c r="D10" s="7" t="s">
        <v>374</v>
      </c>
      <c r="E10" s="7" t="s">
        <v>2690</v>
      </c>
      <c r="F10" s="7" t="s">
        <v>164</v>
      </c>
      <c r="G10" s="21" t="s">
        <v>66</v>
      </c>
      <c r="H10" s="20" t="s">
        <v>66</v>
      </c>
      <c r="I10" s="20" t="s">
        <v>34</v>
      </c>
      <c r="J10" s="8"/>
      <c r="K10" s="20" t="s">
        <v>375</v>
      </c>
      <c r="L10" s="21" t="s">
        <v>48</v>
      </c>
      <c r="M10" s="21" t="s">
        <v>48</v>
      </c>
      <c r="N10" s="8"/>
      <c r="O10" s="21" t="s">
        <v>36</v>
      </c>
      <c r="P10" s="20" t="s">
        <v>70</v>
      </c>
      <c r="Q10" s="20" t="s">
        <v>376</v>
      </c>
      <c r="R10" s="8"/>
      <c r="S10" s="32" t="str">
        <f>"307,5"</f>
        <v>307,5</v>
      </c>
      <c r="T10" s="8" t="str">
        <f>"369,5843"</f>
        <v>369,5843</v>
      </c>
      <c r="U10" s="7" t="s">
        <v>377</v>
      </c>
    </row>
    <row r="11" spans="1:21">
      <c r="B11" s="5" t="s">
        <v>350</v>
      </c>
    </row>
    <row r="12" spans="1:21" ht="16">
      <c r="A12" s="82" t="s">
        <v>378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21">
      <c r="A13" s="10" t="s">
        <v>349</v>
      </c>
      <c r="B13" s="9" t="s">
        <v>379</v>
      </c>
      <c r="C13" s="9" t="s">
        <v>380</v>
      </c>
      <c r="D13" s="9" t="s">
        <v>381</v>
      </c>
      <c r="E13" s="9" t="s">
        <v>2690</v>
      </c>
      <c r="F13" s="9" t="s">
        <v>382</v>
      </c>
      <c r="G13" s="22" t="s">
        <v>166</v>
      </c>
      <c r="H13" s="22" t="s">
        <v>116</v>
      </c>
      <c r="I13" s="23" t="s">
        <v>60</v>
      </c>
      <c r="J13" s="10"/>
      <c r="K13" s="22" t="s">
        <v>62</v>
      </c>
      <c r="L13" s="23" t="s">
        <v>24</v>
      </c>
      <c r="M13" s="22" t="s">
        <v>24</v>
      </c>
      <c r="N13" s="10"/>
      <c r="O13" s="22" t="s">
        <v>154</v>
      </c>
      <c r="P13" s="22" t="s">
        <v>52</v>
      </c>
      <c r="Q13" s="22" t="s">
        <v>47</v>
      </c>
      <c r="R13" s="10"/>
      <c r="S13" s="29" t="str">
        <f>"415,0"</f>
        <v>415,0</v>
      </c>
      <c r="T13" s="10" t="str">
        <f>"462,6835"</f>
        <v>462,6835</v>
      </c>
      <c r="U13" s="9" t="s">
        <v>383</v>
      </c>
    </row>
    <row r="14" spans="1:21">
      <c r="A14" s="12" t="s">
        <v>352</v>
      </c>
      <c r="B14" s="11" t="s">
        <v>384</v>
      </c>
      <c r="C14" s="11" t="s">
        <v>385</v>
      </c>
      <c r="D14" s="11" t="s">
        <v>386</v>
      </c>
      <c r="E14" s="11" t="s">
        <v>2690</v>
      </c>
      <c r="F14" s="11" t="s">
        <v>221</v>
      </c>
      <c r="G14" s="25" t="s">
        <v>154</v>
      </c>
      <c r="H14" s="25" t="s">
        <v>45</v>
      </c>
      <c r="I14" s="25" t="s">
        <v>45</v>
      </c>
      <c r="J14" s="12"/>
      <c r="K14" s="25"/>
      <c r="L14" s="12"/>
      <c r="M14" s="12"/>
      <c r="N14" s="12"/>
      <c r="O14" s="25"/>
      <c r="P14" s="12"/>
      <c r="Q14" s="12"/>
      <c r="R14" s="12"/>
      <c r="S14" s="31">
        <v>0</v>
      </c>
      <c r="T14" s="12" t="str">
        <f>"0,0000"</f>
        <v>0,0000</v>
      </c>
      <c r="U14" s="11" t="s">
        <v>387</v>
      </c>
    </row>
    <row r="15" spans="1:21">
      <c r="A15" s="14" t="s">
        <v>349</v>
      </c>
      <c r="B15" s="13" t="s">
        <v>388</v>
      </c>
      <c r="C15" s="13" t="s">
        <v>389</v>
      </c>
      <c r="D15" s="13" t="s">
        <v>390</v>
      </c>
      <c r="E15" s="13" t="s">
        <v>2693</v>
      </c>
      <c r="F15" s="13" t="s">
        <v>363</v>
      </c>
      <c r="G15" s="26" t="s">
        <v>66</v>
      </c>
      <c r="H15" s="26" t="s">
        <v>83</v>
      </c>
      <c r="I15" s="27" t="s">
        <v>34</v>
      </c>
      <c r="J15" s="14"/>
      <c r="K15" s="26" t="s">
        <v>16</v>
      </c>
      <c r="L15" s="27" t="s">
        <v>375</v>
      </c>
      <c r="M15" s="27" t="s">
        <v>375</v>
      </c>
      <c r="N15" s="14"/>
      <c r="O15" s="27" t="s">
        <v>391</v>
      </c>
      <c r="P15" s="26" t="s">
        <v>365</v>
      </c>
      <c r="Q15" s="26" t="s">
        <v>154</v>
      </c>
      <c r="R15" s="27" t="s">
        <v>52</v>
      </c>
      <c r="S15" s="30" t="str">
        <f>"305,0"</f>
        <v>305,0</v>
      </c>
      <c r="T15" s="14" t="str">
        <f>"353,7045"</f>
        <v>353,7045</v>
      </c>
      <c r="U15" s="13" t="s">
        <v>366</v>
      </c>
    </row>
    <row r="16" spans="1:21">
      <c r="B16" s="5" t="s">
        <v>350</v>
      </c>
    </row>
    <row r="17" spans="1:21" ht="16">
      <c r="A17" s="82" t="s">
        <v>26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1:21">
      <c r="A18" s="8" t="s">
        <v>349</v>
      </c>
      <c r="B18" s="7" t="s">
        <v>392</v>
      </c>
      <c r="C18" s="7" t="s">
        <v>393</v>
      </c>
      <c r="D18" s="7" t="s">
        <v>394</v>
      </c>
      <c r="E18" s="7" t="s">
        <v>2690</v>
      </c>
      <c r="F18" s="7" t="s">
        <v>92</v>
      </c>
      <c r="G18" s="20" t="s">
        <v>188</v>
      </c>
      <c r="H18" s="21" t="s">
        <v>83</v>
      </c>
      <c r="I18" s="21" t="s">
        <v>83</v>
      </c>
      <c r="J18" s="8"/>
      <c r="K18" s="20" t="s">
        <v>16</v>
      </c>
      <c r="L18" s="20" t="s">
        <v>17</v>
      </c>
      <c r="M18" s="20" t="s">
        <v>48</v>
      </c>
      <c r="N18" s="8"/>
      <c r="O18" s="20" t="s">
        <v>66</v>
      </c>
      <c r="P18" s="20" t="s">
        <v>67</v>
      </c>
      <c r="Q18" s="21" t="s">
        <v>84</v>
      </c>
      <c r="R18" s="8"/>
      <c r="S18" s="32" t="str">
        <f>"277,5"</f>
        <v>277,5</v>
      </c>
      <c r="T18" s="8" t="str">
        <f>"288,1837"</f>
        <v>288,1837</v>
      </c>
      <c r="U18" s="7" t="s">
        <v>95</v>
      </c>
    </row>
    <row r="19" spans="1:21">
      <c r="B19" s="5" t="s">
        <v>350</v>
      </c>
    </row>
    <row r="20" spans="1:21" ht="16">
      <c r="A20" s="82" t="s">
        <v>55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</row>
    <row r="21" spans="1:21">
      <c r="A21" s="10" t="s">
        <v>349</v>
      </c>
      <c r="B21" s="9" t="s">
        <v>395</v>
      </c>
      <c r="C21" s="9" t="s">
        <v>396</v>
      </c>
      <c r="D21" s="9" t="s">
        <v>397</v>
      </c>
      <c r="E21" s="9" t="s">
        <v>2691</v>
      </c>
      <c r="F21" s="9" t="s">
        <v>363</v>
      </c>
      <c r="G21" s="22" t="s">
        <v>391</v>
      </c>
      <c r="H21" s="23" t="s">
        <v>51</v>
      </c>
      <c r="I21" s="23" t="s">
        <v>51</v>
      </c>
      <c r="J21" s="10"/>
      <c r="K21" s="22" t="s">
        <v>49</v>
      </c>
      <c r="L21" s="22" t="s">
        <v>398</v>
      </c>
      <c r="M21" s="23" t="s">
        <v>61</v>
      </c>
      <c r="N21" s="10"/>
      <c r="O21" s="22" t="s">
        <v>365</v>
      </c>
      <c r="P21" s="22" t="s">
        <v>154</v>
      </c>
      <c r="Q21" s="22" t="s">
        <v>45</v>
      </c>
      <c r="R21" s="22" t="s">
        <v>52</v>
      </c>
      <c r="S21" s="29" t="str">
        <f>"345,0"</f>
        <v>345,0</v>
      </c>
      <c r="T21" s="10" t="str">
        <f>"331,9245"</f>
        <v>331,9245</v>
      </c>
      <c r="U21" s="9" t="s">
        <v>366</v>
      </c>
    </row>
    <row r="22" spans="1:21">
      <c r="A22" s="12" t="s">
        <v>349</v>
      </c>
      <c r="B22" s="11" t="s">
        <v>399</v>
      </c>
      <c r="C22" s="11" t="s">
        <v>400</v>
      </c>
      <c r="D22" s="11" t="s">
        <v>401</v>
      </c>
      <c r="E22" s="11" t="s">
        <v>2690</v>
      </c>
      <c r="F22" s="11" t="s">
        <v>402</v>
      </c>
      <c r="G22" s="24" t="s">
        <v>51</v>
      </c>
      <c r="H22" s="24" t="s">
        <v>45</v>
      </c>
      <c r="I22" s="25" t="s">
        <v>47</v>
      </c>
      <c r="J22" s="12"/>
      <c r="K22" s="24" t="s">
        <v>16</v>
      </c>
      <c r="L22" s="24" t="s">
        <v>17</v>
      </c>
      <c r="M22" s="24" t="s">
        <v>18</v>
      </c>
      <c r="N22" s="12"/>
      <c r="O22" s="24" t="s">
        <v>93</v>
      </c>
      <c r="P22" s="24" t="s">
        <v>46</v>
      </c>
      <c r="Q22" s="24" t="s">
        <v>59</v>
      </c>
      <c r="R22" s="12"/>
      <c r="S22" s="31" t="str">
        <f>"370,0"</f>
        <v>370,0</v>
      </c>
      <c r="T22" s="12" t="str">
        <f>"353,5350"</f>
        <v>353,5350</v>
      </c>
      <c r="U22" s="11" t="s">
        <v>403</v>
      </c>
    </row>
    <row r="23" spans="1:21">
      <c r="A23" s="12" t="s">
        <v>351</v>
      </c>
      <c r="B23" s="11" t="s">
        <v>404</v>
      </c>
      <c r="C23" s="11" t="s">
        <v>405</v>
      </c>
      <c r="D23" s="11" t="s">
        <v>98</v>
      </c>
      <c r="E23" s="11" t="s">
        <v>2690</v>
      </c>
      <c r="F23" s="11" t="s">
        <v>406</v>
      </c>
      <c r="G23" s="25" t="s">
        <v>407</v>
      </c>
      <c r="H23" s="24" t="s">
        <v>407</v>
      </c>
      <c r="I23" s="25" t="s">
        <v>83</v>
      </c>
      <c r="J23" s="12"/>
      <c r="K23" s="24" t="s">
        <v>408</v>
      </c>
      <c r="L23" s="24" t="s">
        <v>409</v>
      </c>
      <c r="M23" s="25" t="s">
        <v>375</v>
      </c>
      <c r="N23" s="12"/>
      <c r="O23" s="24" t="s">
        <v>407</v>
      </c>
      <c r="P23" s="24" t="s">
        <v>188</v>
      </c>
      <c r="Q23" s="25" t="s">
        <v>66</v>
      </c>
      <c r="R23" s="12"/>
      <c r="S23" s="31" t="str">
        <f>"242,5"</f>
        <v>242,5</v>
      </c>
      <c r="T23" s="12" t="str">
        <f>"230,5205"</f>
        <v>230,5205</v>
      </c>
      <c r="U23" s="11" t="s">
        <v>410</v>
      </c>
    </row>
    <row r="24" spans="1:21">
      <c r="A24" s="14" t="s">
        <v>352</v>
      </c>
      <c r="B24" s="13" t="s">
        <v>411</v>
      </c>
      <c r="C24" s="13" t="s">
        <v>412</v>
      </c>
      <c r="D24" s="13" t="s">
        <v>413</v>
      </c>
      <c r="E24" s="13" t="s">
        <v>2693</v>
      </c>
      <c r="F24" s="13" t="s">
        <v>402</v>
      </c>
      <c r="G24" s="27" t="s">
        <v>36</v>
      </c>
      <c r="H24" s="27" t="s">
        <v>365</v>
      </c>
      <c r="I24" s="27" t="s">
        <v>365</v>
      </c>
      <c r="J24" s="14"/>
      <c r="K24" s="14"/>
      <c r="L24" s="14"/>
      <c r="M24" s="14"/>
      <c r="N24" s="14"/>
      <c r="O24" s="14"/>
      <c r="P24" s="14"/>
      <c r="Q24" s="27"/>
      <c r="R24" s="14"/>
      <c r="S24" s="30">
        <v>0</v>
      </c>
      <c r="T24" s="14" t="str">
        <f>"0,0000"</f>
        <v>0,0000</v>
      </c>
      <c r="U24" s="13" t="s">
        <v>415</v>
      </c>
    </row>
    <row r="25" spans="1:21">
      <c r="B25" s="5" t="s">
        <v>350</v>
      </c>
    </row>
    <row r="26" spans="1:21" ht="16">
      <c r="A26" s="82" t="s">
        <v>378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</row>
    <row r="27" spans="1:21">
      <c r="A27" s="8" t="s">
        <v>349</v>
      </c>
      <c r="B27" s="7" t="s">
        <v>416</v>
      </c>
      <c r="C27" s="7" t="s">
        <v>417</v>
      </c>
      <c r="D27" s="7" t="s">
        <v>418</v>
      </c>
      <c r="E27" s="7" t="s">
        <v>2692</v>
      </c>
      <c r="F27" s="7" t="s">
        <v>419</v>
      </c>
      <c r="G27" s="21" t="s">
        <v>154</v>
      </c>
      <c r="H27" s="20" t="s">
        <v>154</v>
      </c>
      <c r="I27" s="21" t="s">
        <v>52</v>
      </c>
      <c r="J27" s="8"/>
      <c r="K27" s="20" t="s">
        <v>22</v>
      </c>
      <c r="L27" s="20" t="s">
        <v>61</v>
      </c>
      <c r="M27" s="21" t="s">
        <v>23</v>
      </c>
      <c r="N27" s="8"/>
      <c r="O27" s="20" t="s">
        <v>154</v>
      </c>
      <c r="P27" s="20" t="s">
        <v>414</v>
      </c>
      <c r="Q27" s="20" t="s">
        <v>47</v>
      </c>
      <c r="R27" s="20" t="s">
        <v>59</v>
      </c>
      <c r="S27" s="32" t="str">
        <f>"370,0"</f>
        <v>370,0</v>
      </c>
      <c r="T27" s="8" t="str">
        <f>"323,0470"</f>
        <v>323,0470</v>
      </c>
      <c r="U27" s="7" t="s">
        <v>420</v>
      </c>
    </row>
    <row r="28" spans="1:21">
      <c r="B28" s="5" t="s">
        <v>350</v>
      </c>
    </row>
    <row r="29" spans="1:21" ht="16">
      <c r="A29" s="82" t="s">
        <v>55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</row>
    <row r="30" spans="1:21">
      <c r="A30" s="10" t="s">
        <v>349</v>
      </c>
      <c r="B30" s="9" t="s">
        <v>421</v>
      </c>
      <c r="C30" s="9" t="s">
        <v>422</v>
      </c>
      <c r="D30" s="9" t="s">
        <v>65</v>
      </c>
      <c r="E30" s="9" t="s">
        <v>2689</v>
      </c>
      <c r="F30" s="9" t="s">
        <v>221</v>
      </c>
      <c r="G30" s="23" t="s">
        <v>59</v>
      </c>
      <c r="H30" s="22" t="s">
        <v>59</v>
      </c>
      <c r="I30" s="22" t="s">
        <v>109</v>
      </c>
      <c r="J30" s="10"/>
      <c r="K30" s="22" t="s">
        <v>50</v>
      </c>
      <c r="L30" s="23" t="s">
        <v>84</v>
      </c>
      <c r="M30" s="23" t="s">
        <v>84</v>
      </c>
      <c r="N30" s="10"/>
      <c r="O30" s="22" t="s">
        <v>60</v>
      </c>
      <c r="P30" s="23" t="s">
        <v>37</v>
      </c>
      <c r="Q30" s="22" t="s">
        <v>284</v>
      </c>
      <c r="R30" s="10"/>
      <c r="S30" s="29" t="str">
        <f>"485,0"</f>
        <v>485,0</v>
      </c>
      <c r="T30" s="10" t="str">
        <f>"352,3040"</f>
        <v>352,3040</v>
      </c>
      <c r="U30" s="9" t="s">
        <v>423</v>
      </c>
    </row>
    <row r="31" spans="1:21">
      <c r="A31" s="14" t="s">
        <v>349</v>
      </c>
      <c r="B31" s="13" t="s">
        <v>424</v>
      </c>
      <c r="C31" s="13" t="s">
        <v>425</v>
      </c>
      <c r="D31" s="13" t="s">
        <v>98</v>
      </c>
      <c r="E31" s="13" t="s">
        <v>2693</v>
      </c>
      <c r="F31" s="13" t="s">
        <v>426</v>
      </c>
      <c r="G31" s="26" t="s">
        <v>31</v>
      </c>
      <c r="H31" s="26" t="s">
        <v>32</v>
      </c>
      <c r="I31" s="27" t="s">
        <v>33</v>
      </c>
      <c r="J31" s="14"/>
      <c r="K31" s="26" t="s">
        <v>51</v>
      </c>
      <c r="L31" s="26" t="s">
        <v>154</v>
      </c>
      <c r="M31" s="27" t="s">
        <v>45</v>
      </c>
      <c r="N31" s="14"/>
      <c r="O31" s="26" t="s">
        <v>33</v>
      </c>
      <c r="P31" s="26" t="s">
        <v>85</v>
      </c>
      <c r="Q31" s="27" t="s">
        <v>86</v>
      </c>
      <c r="R31" s="14"/>
      <c r="S31" s="30" t="str">
        <f>"590,0"</f>
        <v>590,0</v>
      </c>
      <c r="T31" s="14" t="str">
        <f>"432,2061"</f>
        <v>432,2061</v>
      </c>
      <c r="U31" s="13"/>
    </row>
    <row r="32" spans="1:21">
      <c r="B32" s="5" t="s">
        <v>350</v>
      </c>
    </row>
    <row r="33" spans="1:21" ht="16">
      <c r="A33" s="82" t="s">
        <v>72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1:21">
      <c r="A34" s="8" t="s">
        <v>349</v>
      </c>
      <c r="B34" s="7" t="s">
        <v>427</v>
      </c>
      <c r="C34" s="7" t="s">
        <v>428</v>
      </c>
      <c r="D34" s="7" t="s">
        <v>429</v>
      </c>
      <c r="E34" s="7" t="s">
        <v>2692</v>
      </c>
      <c r="F34" s="7" t="s">
        <v>147</v>
      </c>
      <c r="G34" s="20" t="s">
        <v>109</v>
      </c>
      <c r="H34" s="20" t="s">
        <v>60</v>
      </c>
      <c r="I34" s="20" t="s">
        <v>37</v>
      </c>
      <c r="J34" s="8"/>
      <c r="K34" s="20" t="s">
        <v>67</v>
      </c>
      <c r="L34" s="21" t="s">
        <v>35</v>
      </c>
      <c r="M34" s="21" t="s">
        <v>35</v>
      </c>
      <c r="N34" s="8"/>
      <c r="O34" s="20" t="s">
        <v>59</v>
      </c>
      <c r="P34" s="21" t="s">
        <v>109</v>
      </c>
      <c r="Q34" s="21" t="s">
        <v>116</v>
      </c>
      <c r="R34" s="8"/>
      <c r="S34" s="32" t="str">
        <f>"465,0"</f>
        <v>465,0</v>
      </c>
      <c r="T34" s="8" t="str">
        <f>"318,9900"</f>
        <v>318,9900</v>
      </c>
      <c r="U34" s="7" t="s">
        <v>430</v>
      </c>
    </row>
    <row r="35" spans="1:21">
      <c r="B35" s="5" t="s">
        <v>350</v>
      </c>
    </row>
    <row r="36" spans="1:21" ht="16">
      <c r="A36" s="82" t="s">
        <v>143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1:21">
      <c r="A37" s="10" t="s">
        <v>349</v>
      </c>
      <c r="B37" s="9" t="s">
        <v>431</v>
      </c>
      <c r="C37" s="9" t="s">
        <v>432</v>
      </c>
      <c r="D37" s="9" t="s">
        <v>433</v>
      </c>
      <c r="E37" s="9" t="s">
        <v>2691</v>
      </c>
      <c r="F37" s="9" t="s">
        <v>434</v>
      </c>
      <c r="G37" s="22" t="s">
        <v>109</v>
      </c>
      <c r="H37" s="22" t="s">
        <v>60</v>
      </c>
      <c r="I37" s="23" t="s">
        <v>37</v>
      </c>
      <c r="J37" s="10"/>
      <c r="K37" s="22" t="s">
        <v>66</v>
      </c>
      <c r="L37" s="22" t="s">
        <v>67</v>
      </c>
      <c r="M37" s="23" t="s">
        <v>50</v>
      </c>
      <c r="N37" s="10"/>
      <c r="O37" s="22" t="s">
        <v>284</v>
      </c>
      <c r="P37" s="22" t="s">
        <v>32</v>
      </c>
      <c r="Q37" s="23" t="s">
        <v>78</v>
      </c>
      <c r="R37" s="10"/>
      <c r="S37" s="29" t="str">
        <f>"510,0"</f>
        <v>510,0</v>
      </c>
      <c r="T37" s="10" t="str">
        <f>"326,7060"</f>
        <v>326,7060</v>
      </c>
      <c r="U37" s="9" t="s">
        <v>435</v>
      </c>
    </row>
    <row r="38" spans="1:21">
      <c r="A38" s="12" t="s">
        <v>349</v>
      </c>
      <c r="B38" s="11" t="s">
        <v>436</v>
      </c>
      <c r="C38" s="11" t="s">
        <v>437</v>
      </c>
      <c r="D38" s="11" t="s">
        <v>438</v>
      </c>
      <c r="E38" s="11" t="s">
        <v>2690</v>
      </c>
      <c r="F38" s="11" t="s">
        <v>221</v>
      </c>
      <c r="G38" s="24" t="s">
        <v>129</v>
      </c>
      <c r="H38" s="24" t="s">
        <v>126</v>
      </c>
      <c r="I38" s="24" t="s">
        <v>119</v>
      </c>
      <c r="J38" s="12"/>
      <c r="K38" s="24" t="s">
        <v>59</v>
      </c>
      <c r="L38" s="25" t="s">
        <v>109</v>
      </c>
      <c r="M38" s="25" t="s">
        <v>109</v>
      </c>
      <c r="N38" s="12"/>
      <c r="O38" s="24" t="s">
        <v>94</v>
      </c>
      <c r="P38" s="24" t="s">
        <v>115</v>
      </c>
      <c r="Q38" s="25" t="s">
        <v>439</v>
      </c>
      <c r="R38" s="12"/>
      <c r="S38" s="31" t="str">
        <f>"715,0"</f>
        <v>715,0</v>
      </c>
      <c r="T38" s="12" t="str">
        <f>"459,8880"</f>
        <v>459,8880</v>
      </c>
      <c r="U38" s="11"/>
    </row>
    <row r="39" spans="1:21">
      <c r="A39" s="12" t="s">
        <v>351</v>
      </c>
      <c r="B39" s="11" t="s">
        <v>440</v>
      </c>
      <c r="C39" s="11" t="s">
        <v>441</v>
      </c>
      <c r="D39" s="11" t="s">
        <v>442</v>
      </c>
      <c r="E39" s="11" t="s">
        <v>2690</v>
      </c>
      <c r="F39" s="11" t="s">
        <v>443</v>
      </c>
      <c r="G39" s="24" t="s">
        <v>100</v>
      </c>
      <c r="H39" s="24" t="s">
        <v>444</v>
      </c>
      <c r="I39" s="25" t="s">
        <v>94</v>
      </c>
      <c r="J39" s="12"/>
      <c r="K39" s="24" t="s">
        <v>52</v>
      </c>
      <c r="L39" s="24" t="s">
        <v>47</v>
      </c>
      <c r="M39" s="24" t="s">
        <v>136</v>
      </c>
      <c r="N39" s="12"/>
      <c r="O39" s="24" t="s">
        <v>87</v>
      </c>
      <c r="P39" s="24" t="s">
        <v>130</v>
      </c>
      <c r="Q39" s="25" t="s">
        <v>126</v>
      </c>
      <c r="R39" s="12"/>
      <c r="S39" s="31" t="str">
        <f>"675,0"</f>
        <v>675,0</v>
      </c>
      <c r="T39" s="12" t="str">
        <f>"433,4175"</f>
        <v>433,4175</v>
      </c>
      <c r="U39" s="11"/>
    </row>
    <row r="40" spans="1:21">
      <c r="A40" s="12" t="s">
        <v>353</v>
      </c>
      <c r="B40" s="11" t="s">
        <v>445</v>
      </c>
      <c r="C40" s="11" t="s">
        <v>446</v>
      </c>
      <c r="D40" s="11" t="s">
        <v>447</v>
      </c>
      <c r="E40" s="11" t="s">
        <v>2690</v>
      </c>
      <c r="F40" s="11" t="s">
        <v>221</v>
      </c>
      <c r="G40" s="24" t="s">
        <v>100</v>
      </c>
      <c r="H40" s="24" t="s">
        <v>87</v>
      </c>
      <c r="I40" s="25" t="s">
        <v>129</v>
      </c>
      <c r="J40" s="12"/>
      <c r="K40" s="24" t="s">
        <v>52</v>
      </c>
      <c r="L40" s="24" t="s">
        <v>46</v>
      </c>
      <c r="M40" s="24" t="s">
        <v>47</v>
      </c>
      <c r="N40" s="12"/>
      <c r="O40" s="24" t="s">
        <v>77</v>
      </c>
      <c r="P40" s="25" t="s">
        <v>33</v>
      </c>
      <c r="Q40" s="25" t="s">
        <v>33</v>
      </c>
      <c r="R40" s="12"/>
      <c r="S40" s="31" t="str">
        <f>"625,0"</f>
        <v>625,0</v>
      </c>
      <c r="T40" s="12" t="str">
        <f>"401,7500"</f>
        <v>401,7500</v>
      </c>
      <c r="U40" s="11"/>
    </row>
    <row r="41" spans="1:21">
      <c r="A41" s="12" t="s">
        <v>352</v>
      </c>
      <c r="B41" s="11" t="s">
        <v>448</v>
      </c>
      <c r="C41" s="11" t="s">
        <v>449</v>
      </c>
      <c r="D41" s="11" t="s">
        <v>450</v>
      </c>
      <c r="E41" s="11" t="s">
        <v>2690</v>
      </c>
      <c r="F41" s="11" t="s">
        <v>451</v>
      </c>
      <c r="G41" s="25" t="s">
        <v>32</v>
      </c>
      <c r="H41" s="25" t="s">
        <v>77</v>
      </c>
      <c r="I41" s="25" t="s">
        <v>77</v>
      </c>
      <c r="J41" s="12"/>
      <c r="K41" s="25"/>
      <c r="L41" s="12"/>
      <c r="M41" s="12"/>
      <c r="N41" s="12"/>
      <c r="O41" s="25"/>
      <c r="P41" s="12"/>
      <c r="Q41" s="12"/>
      <c r="R41" s="12"/>
      <c r="S41" s="31">
        <v>0</v>
      </c>
      <c r="T41" s="12" t="str">
        <f>"0,0000"</f>
        <v>0,0000</v>
      </c>
      <c r="U41" s="11"/>
    </row>
    <row r="42" spans="1:21">
      <c r="A42" s="14" t="s">
        <v>349</v>
      </c>
      <c r="B42" s="13" t="s">
        <v>452</v>
      </c>
      <c r="C42" s="13" t="s">
        <v>453</v>
      </c>
      <c r="D42" s="13" t="s">
        <v>433</v>
      </c>
      <c r="E42" s="13" t="s">
        <v>2693</v>
      </c>
      <c r="F42" s="13" t="s">
        <v>454</v>
      </c>
      <c r="G42" s="26" t="s">
        <v>116</v>
      </c>
      <c r="H42" s="26" t="s">
        <v>37</v>
      </c>
      <c r="I42" s="26" t="s">
        <v>31</v>
      </c>
      <c r="J42" s="14"/>
      <c r="K42" s="26" t="s">
        <v>93</v>
      </c>
      <c r="L42" s="26" t="s">
        <v>414</v>
      </c>
      <c r="M42" s="26" t="s">
        <v>46</v>
      </c>
      <c r="N42" s="14"/>
      <c r="O42" s="26" t="s">
        <v>32</v>
      </c>
      <c r="P42" s="26" t="s">
        <v>33</v>
      </c>
      <c r="Q42" s="26" t="s">
        <v>78</v>
      </c>
      <c r="R42" s="14"/>
      <c r="S42" s="30" t="str">
        <f>"587,5"</f>
        <v>587,5</v>
      </c>
      <c r="T42" s="14" t="str">
        <f>"378,2343"</f>
        <v>378,2343</v>
      </c>
      <c r="U42" s="13"/>
    </row>
    <row r="43" spans="1:21">
      <c r="B43" s="5" t="s">
        <v>350</v>
      </c>
    </row>
    <row r="44" spans="1:21" ht="16">
      <c r="A44" s="82" t="s">
        <v>183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5" spans="1:21">
      <c r="A45" s="10" t="s">
        <v>349</v>
      </c>
      <c r="B45" s="9" t="s">
        <v>455</v>
      </c>
      <c r="C45" s="9" t="s">
        <v>456</v>
      </c>
      <c r="D45" s="9" t="s">
        <v>457</v>
      </c>
      <c r="E45" s="9" t="s">
        <v>2691</v>
      </c>
      <c r="F45" s="9" t="s">
        <v>164</v>
      </c>
      <c r="G45" s="22" t="s">
        <v>59</v>
      </c>
      <c r="H45" s="23" t="s">
        <v>109</v>
      </c>
      <c r="I45" s="23" t="s">
        <v>109</v>
      </c>
      <c r="J45" s="10"/>
      <c r="K45" s="23" t="s">
        <v>24</v>
      </c>
      <c r="L45" s="22" t="s">
        <v>24</v>
      </c>
      <c r="M45" s="22" t="s">
        <v>458</v>
      </c>
      <c r="N45" s="10"/>
      <c r="O45" s="22" t="s">
        <v>59</v>
      </c>
      <c r="P45" s="22" t="s">
        <v>127</v>
      </c>
      <c r="Q45" s="23" t="s">
        <v>118</v>
      </c>
      <c r="R45" s="10"/>
      <c r="S45" s="29" t="str">
        <f>"425,0"</f>
        <v>425,0</v>
      </c>
      <c r="T45" s="10" t="str">
        <f>"267,7925"</f>
        <v>267,7925</v>
      </c>
      <c r="U45" s="9" t="s">
        <v>377</v>
      </c>
    </row>
    <row r="46" spans="1:21">
      <c r="A46" s="12" t="s">
        <v>349</v>
      </c>
      <c r="B46" s="11" t="s">
        <v>459</v>
      </c>
      <c r="C46" s="11" t="s">
        <v>460</v>
      </c>
      <c r="D46" s="11" t="s">
        <v>461</v>
      </c>
      <c r="E46" s="11" t="s">
        <v>2689</v>
      </c>
      <c r="F46" s="11" t="s">
        <v>462</v>
      </c>
      <c r="G46" s="24" t="s">
        <v>39</v>
      </c>
      <c r="H46" s="24" t="s">
        <v>77</v>
      </c>
      <c r="I46" s="24" t="s">
        <v>78</v>
      </c>
      <c r="J46" s="12"/>
      <c r="K46" s="24" t="s">
        <v>84</v>
      </c>
      <c r="L46" s="24" t="s">
        <v>365</v>
      </c>
      <c r="M46" s="24" t="s">
        <v>376</v>
      </c>
      <c r="N46" s="12"/>
      <c r="O46" s="24" t="s">
        <v>78</v>
      </c>
      <c r="P46" s="24" t="s">
        <v>100</v>
      </c>
      <c r="Q46" s="24" t="s">
        <v>87</v>
      </c>
      <c r="R46" s="12"/>
      <c r="S46" s="31" t="str">
        <f>"617,5"</f>
        <v>617,5</v>
      </c>
      <c r="T46" s="12" t="str">
        <f>"385,1965"</f>
        <v>385,1965</v>
      </c>
      <c r="U46" s="11"/>
    </row>
    <row r="47" spans="1:21">
      <c r="A47" s="12" t="s">
        <v>351</v>
      </c>
      <c r="B47" s="11" t="s">
        <v>463</v>
      </c>
      <c r="C47" s="11" t="s">
        <v>464</v>
      </c>
      <c r="D47" s="11" t="s">
        <v>465</v>
      </c>
      <c r="E47" s="11" t="s">
        <v>2689</v>
      </c>
      <c r="F47" s="11" t="s">
        <v>248</v>
      </c>
      <c r="G47" s="25" t="s">
        <v>45</v>
      </c>
      <c r="H47" s="24" t="s">
        <v>52</v>
      </c>
      <c r="I47" s="24" t="s">
        <v>59</v>
      </c>
      <c r="J47" s="12"/>
      <c r="K47" s="24" t="s">
        <v>466</v>
      </c>
      <c r="L47" s="24" t="s">
        <v>188</v>
      </c>
      <c r="M47" s="24" t="s">
        <v>66</v>
      </c>
      <c r="N47" s="12"/>
      <c r="O47" s="24" t="s">
        <v>60</v>
      </c>
      <c r="P47" s="24" t="s">
        <v>37</v>
      </c>
      <c r="Q47" s="25" t="s">
        <v>160</v>
      </c>
      <c r="R47" s="12"/>
      <c r="S47" s="31" t="str">
        <f>"455,0"</f>
        <v>455,0</v>
      </c>
      <c r="T47" s="12" t="str">
        <f>"286,1040"</f>
        <v>286,1040</v>
      </c>
      <c r="U47" s="11" t="s">
        <v>2605</v>
      </c>
    </row>
    <row r="48" spans="1:21">
      <c r="A48" s="12" t="s">
        <v>349</v>
      </c>
      <c r="B48" s="11" t="s">
        <v>467</v>
      </c>
      <c r="C48" s="11" t="s">
        <v>468</v>
      </c>
      <c r="D48" s="11" t="s">
        <v>200</v>
      </c>
      <c r="E48" s="11" t="s">
        <v>2690</v>
      </c>
      <c r="F48" s="11" t="s">
        <v>469</v>
      </c>
      <c r="G48" s="25" t="s">
        <v>85</v>
      </c>
      <c r="H48" s="24" t="s">
        <v>100</v>
      </c>
      <c r="I48" s="24" t="s">
        <v>87</v>
      </c>
      <c r="J48" s="12"/>
      <c r="K48" s="24" t="s">
        <v>45</v>
      </c>
      <c r="L48" s="24" t="s">
        <v>47</v>
      </c>
      <c r="M48" s="25" t="s">
        <v>109</v>
      </c>
      <c r="N48" s="12"/>
      <c r="O48" s="24" t="s">
        <v>77</v>
      </c>
      <c r="P48" s="24" t="s">
        <v>85</v>
      </c>
      <c r="Q48" s="25" t="s">
        <v>87</v>
      </c>
      <c r="R48" s="12"/>
      <c r="S48" s="31" t="str">
        <f>"640,0"</f>
        <v>640,0</v>
      </c>
      <c r="T48" s="12" t="str">
        <f>"392,8960"</f>
        <v>392,8960</v>
      </c>
      <c r="U48" s="11" t="s">
        <v>2606</v>
      </c>
    </row>
    <row r="49" spans="1:21">
      <c r="A49" s="12" t="s">
        <v>351</v>
      </c>
      <c r="B49" s="11" t="s">
        <v>470</v>
      </c>
      <c r="C49" s="11" t="s">
        <v>471</v>
      </c>
      <c r="D49" s="11" t="s">
        <v>472</v>
      </c>
      <c r="E49" s="11" t="s">
        <v>2690</v>
      </c>
      <c r="F49" s="11" t="s">
        <v>147</v>
      </c>
      <c r="G49" s="24" t="s">
        <v>38</v>
      </c>
      <c r="H49" s="24" t="s">
        <v>33</v>
      </c>
      <c r="I49" s="25" t="s">
        <v>270</v>
      </c>
      <c r="J49" s="12"/>
      <c r="K49" s="24" t="s">
        <v>52</v>
      </c>
      <c r="L49" s="25" t="s">
        <v>226</v>
      </c>
      <c r="M49" s="25" t="s">
        <v>226</v>
      </c>
      <c r="N49" s="12"/>
      <c r="O49" s="24" t="s">
        <v>37</v>
      </c>
      <c r="P49" s="24" t="s">
        <v>39</v>
      </c>
      <c r="Q49" s="24" t="s">
        <v>77</v>
      </c>
      <c r="R49" s="12"/>
      <c r="S49" s="31" t="str">
        <f>"595,0"</f>
        <v>595,0</v>
      </c>
      <c r="T49" s="12" t="str">
        <f>"362,1170"</f>
        <v>362,1170</v>
      </c>
      <c r="U49" s="11" t="s">
        <v>430</v>
      </c>
    </row>
    <row r="50" spans="1:21">
      <c r="A50" s="14" t="s">
        <v>353</v>
      </c>
      <c r="B50" s="13" t="s">
        <v>473</v>
      </c>
      <c r="C50" s="13" t="s">
        <v>474</v>
      </c>
      <c r="D50" s="13" t="s">
        <v>232</v>
      </c>
      <c r="E50" s="13" t="s">
        <v>2690</v>
      </c>
      <c r="F50" s="13" t="s">
        <v>135</v>
      </c>
      <c r="G50" s="27" t="s">
        <v>38</v>
      </c>
      <c r="H50" s="26" t="s">
        <v>39</v>
      </c>
      <c r="I50" s="27" t="s">
        <v>77</v>
      </c>
      <c r="J50" s="14"/>
      <c r="K50" s="26" t="s">
        <v>154</v>
      </c>
      <c r="L50" s="27" t="s">
        <v>45</v>
      </c>
      <c r="M50" s="27" t="s">
        <v>45</v>
      </c>
      <c r="N50" s="14"/>
      <c r="O50" s="26" t="s">
        <v>77</v>
      </c>
      <c r="P50" s="27" t="s">
        <v>475</v>
      </c>
      <c r="Q50" s="27" t="s">
        <v>475</v>
      </c>
      <c r="R50" s="14"/>
      <c r="S50" s="30" t="str">
        <f>"570,0"</f>
        <v>570,0</v>
      </c>
      <c r="T50" s="14" t="str">
        <f>"349,0110"</f>
        <v>349,0110</v>
      </c>
      <c r="U50" s="13"/>
    </row>
    <row r="51" spans="1:21">
      <c r="B51" s="5" t="s">
        <v>350</v>
      </c>
    </row>
    <row r="52" spans="1:21" ht="16">
      <c r="A52" s="82" t="s">
        <v>244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</row>
    <row r="53" spans="1:21">
      <c r="A53" s="8" t="s">
        <v>349</v>
      </c>
      <c r="B53" s="7" t="s">
        <v>476</v>
      </c>
      <c r="C53" s="7" t="s">
        <v>477</v>
      </c>
      <c r="D53" s="7" t="s">
        <v>478</v>
      </c>
      <c r="E53" s="7" t="s">
        <v>2690</v>
      </c>
      <c r="F53" s="7" t="s">
        <v>135</v>
      </c>
      <c r="G53" s="20" t="s">
        <v>87</v>
      </c>
      <c r="H53" s="20" t="s">
        <v>149</v>
      </c>
      <c r="I53" s="20" t="s">
        <v>119</v>
      </c>
      <c r="J53" s="8"/>
      <c r="K53" s="20" t="s">
        <v>226</v>
      </c>
      <c r="L53" s="21" t="s">
        <v>116</v>
      </c>
      <c r="M53" s="21" t="s">
        <v>116</v>
      </c>
      <c r="N53" s="8"/>
      <c r="O53" s="20" t="s">
        <v>119</v>
      </c>
      <c r="P53" s="21" t="s">
        <v>292</v>
      </c>
      <c r="Q53" s="20" t="s">
        <v>292</v>
      </c>
      <c r="R53" s="8"/>
      <c r="S53" s="32" t="str">
        <f>"732,5"</f>
        <v>732,5</v>
      </c>
      <c r="T53" s="8" t="str">
        <f>"433,5667"</f>
        <v>433,5667</v>
      </c>
      <c r="U53" s="7" t="s">
        <v>479</v>
      </c>
    </row>
    <row r="54" spans="1:21">
      <c r="B54" s="5" t="s">
        <v>350</v>
      </c>
    </row>
    <row r="55" spans="1:21" ht="16">
      <c r="A55" s="82" t="s">
        <v>276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</row>
    <row r="56" spans="1:21">
      <c r="A56" s="10" t="s">
        <v>349</v>
      </c>
      <c r="B56" s="9" t="s">
        <v>480</v>
      </c>
      <c r="C56" s="9" t="s">
        <v>481</v>
      </c>
      <c r="D56" s="9" t="s">
        <v>482</v>
      </c>
      <c r="E56" s="9" t="s">
        <v>2690</v>
      </c>
      <c r="F56" s="9" t="s">
        <v>221</v>
      </c>
      <c r="G56" s="23" t="s">
        <v>77</v>
      </c>
      <c r="H56" s="23" t="s">
        <v>77</v>
      </c>
      <c r="I56" s="22" t="s">
        <v>77</v>
      </c>
      <c r="J56" s="10"/>
      <c r="K56" s="22" t="s">
        <v>67</v>
      </c>
      <c r="L56" s="22" t="s">
        <v>84</v>
      </c>
      <c r="M56" s="23" t="s">
        <v>51</v>
      </c>
      <c r="N56" s="10"/>
      <c r="O56" s="22" t="s">
        <v>77</v>
      </c>
      <c r="P56" s="23" t="s">
        <v>483</v>
      </c>
      <c r="Q56" s="23" t="s">
        <v>483</v>
      </c>
      <c r="R56" s="10"/>
      <c r="S56" s="29" t="str">
        <f>"565,0"</f>
        <v>565,0</v>
      </c>
      <c r="T56" s="10" t="str">
        <f>"323,6320"</f>
        <v>323,6320</v>
      </c>
      <c r="U56" s="9" t="s">
        <v>484</v>
      </c>
    </row>
    <row r="57" spans="1:21">
      <c r="A57" s="14" t="s">
        <v>351</v>
      </c>
      <c r="B57" s="13" t="s">
        <v>485</v>
      </c>
      <c r="C57" s="13" t="s">
        <v>486</v>
      </c>
      <c r="D57" s="13" t="s">
        <v>487</v>
      </c>
      <c r="E57" s="13" t="s">
        <v>2690</v>
      </c>
      <c r="F57" s="13" t="s">
        <v>406</v>
      </c>
      <c r="G57" s="27" t="s">
        <v>109</v>
      </c>
      <c r="H57" s="27" t="s">
        <v>109</v>
      </c>
      <c r="I57" s="26" t="s">
        <v>109</v>
      </c>
      <c r="J57" s="14"/>
      <c r="K57" s="26" t="s">
        <v>70</v>
      </c>
      <c r="L57" s="26" t="s">
        <v>154</v>
      </c>
      <c r="M57" s="27" t="s">
        <v>52</v>
      </c>
      <c r="N57" s="14"/>
      <c r="O57" s="27" t="s">
        <v>37</v>
      </c>
      <c r="P57" s="26" t="s">
        <v>37</v>
      </c>
      <c r="Q57" s="26" t="s">
        <v>39</v>
      </c>
      <c r="R57" s="14"/>
      <c r="S57" s="30" t="str">
        <f>"520,0"</f>
        <v>520,0</v>
      </c>
      <c r="T57" s="14" t="str">
        <f>"302,2760"</f>
        <v>302,2760</v>
      </c>
      <c r="U57" s="13" t="s">
        <v>410</v>
      </c>
    </row>
    <row r="58" spans="1:21">
      <c r="B58" s="5" t="s">
        <v>350</v>
      </c>
    </row>
    <row r="59" spans="1:21" ht="16">
      <c r="A59" s="82" t="s">
        <v>309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</row>
    <row r="60" spans="1:21">
      <c r="A60" s="8" t="s">
        <v>349</v>
      </c>
      <c r="B60" s="7" t="s">
        <v>488</v>
      </c>
      <c r="C60" s="7" t="s">
        <v>489</v>
      </c>
      <c r="D60" s="7" t="s">
        <v>490</v>
      </c>
      <c r="E60" s="7" t="s">
        <v>2690</v>
      </c>
      <c r="F60" s="7" t="s">
        <v>491</v>
      </c>
      <c r="G60" s="20" t="s">
        <v>100</v>
      </c>
      <c r="H60" s="20" t="s">
        <v>129</v>
      </c>
      <c r="I60" s="20" t="s">
        <v>126</v>
      </c>
      <c r="J60" s="8"/>
      <c r="K60" s="20" t="s">
        <v>47</v>
      </c>
      <c r="L60" s="21" t="s">
        <v>166</v>
      </c>
      <c r="M60" s="21" t="s">
        <v>166</v>
      </c>
      <c r="N60" s="8"/>
      <c r="O60" s="20" t="s">
        <v>100</v>
      </c>
      <c r="P60" s="20" t="s">
        <v>129</v>
      </c>
      <c r="Q60" s="21" t="s">
        <v>130</v>
      </c>
      <c r="R60" s="8"/>
      <c r="S60" s="32" t="str">
        <f>"680,0"</f>
        <v>680,0</v>
      </c>
      <c r="T60" s="8" t="str">
        <f>"378,0800"</f>
        <v>378,0800</v>
      </c>
      <c r="U60" s="7"/>
    </row>
    <row r="61" spans="1:21">
      <c r="B61" s="5" t="s">
        <v>350</v>
      </c>
    </row>
    <row r="62" spans="1:21">
      <c r="B62" s="5" t="s">
        <v>350</v>
      </c>
    </row>
    <row r="63" spans="1:21">
      <c r="B63" s="5" t="s">
        <v>350</v>
      </c>
    </row>
    <row r="64" spans="1:21" ht="18">
      <c r="B64" s="15" t="s">
        <v>316</v>
      </c>
      <c r="C64" s="15"/>
    </row>
    <row r="65" spans="2:6" ht="16">
      <c r="B65" s="16" t="s">
        <v>317</v>
      </c>
      <c r="C65" s="16"/>
    </row>
    <row r="66" spans="2:6" ht="14">
      <c r="B66" s="17"/>
      <c r="C66" s="18" t="s">
        <v>318</v>
      </c>
    </row>
    <row r="67" spans="2:6" ht="14">
      <c r="B67" s="19" t="s">
        <v>319</v>
      </c>
      <c r="C67" s="19" t="s">
        <v>320</v>
      </c>
      <c r="D67" s="19" t="s">
        <v>2593</v>
      </c>
      <c r="E67" s="19" t="s">
        <v>322</v>
      </c>
      <c r="F67" s="19" t="s">
        <v>323</v>
      </c>
    </row>
    <row r="68" spans="2:6">
      <c r="B68" s="5" t="s">
        <v>379</v>
      </c>
      <c r="C68" s="5" t="s">
        <v>318</v>
      </c>
      <c r="D68" s="6" t="s">
        <v>494</v>
      </c>
      <c r="E68" s="6" t="s">
        <v>495</v>
      </c>
      <c r="F68" s="6" t="s">
        <v>496</v>
      </c>
    </row>
    <row r="69" spans="2:6">
      <c r="B69" s="5" t="s">
        <v>372</v>
      </c>
      <c r="C69" s="5" t="s">
        <v>318</v>
      </c>
      <c r="D69" s="6" t="s">
        <v>497</v>
      </c>
      <c r="E69" s="6" t="s">
        <v>202</v>
      </c>
      <c r="F69" s="6" t="s">
        <v>498</v>
      </c>
    </row>
    <row r="70" spans="2:6">
      <c r="B70" s="5" t="s">
        <v>367</v>
      </c>
      <c r="C70" s="5" t="s">
        <v>318</v>
      </c>
      <c r="D70" s="6" t="s">
        <v>499</v>
      </c>
      <c r="E70" s="6" t="s">
        <v>209</v>
      </c>
      <c r="F70" s="6" t="s">
        <v>500</v>
      </c>
    </row>
    <row r="72" spans="2:6" ht="16">
      <c r="B72" s="16" t="s">
        <v>336</v>
      </c>
      <c r="C72" s="16"/>
    </row>
    <row r="73" spans="2:6" ht="14">
      <c r="B73" s="17"/>
      <c r="C73" s="18" t="s">
        <v>318</v>
      </c>
    </row>
    <row r="74" spans="2:6" ht="14">
      <c r="B74" s="19" t="s">
        <v>319</v>
      </c>
      <c r="C74" s="19" t="s">
        <v>320</v>
      </c>
      <c r="D74" s="19" t="s">
        <v>2593</v>
      </c>
      <c r="E74" s="19" t="s">
        <v>322</v>
      </c>
      <c r="F74" s="19" t="s">
        <v>323</v>
      </c>
    </row>
    <row r="75" spans="2:6">
      <c r="B75" s="5" t="s">
        <v>436</v>
      </c>
      <c r="C75" s="5" t="s">
        <v>318</v>
      </c>
      <c r="D75" s="6" t="s">
        <v>338</v>
      </c>
      <c r="E75" s="6" t="s">
        <v>504</v>
      </c>
      <c r="F75" s="6" t="s">
        <v>505</v>
      </c>
    </row>
    <row r="76" spans="2:6">
      <c r="B76" s="5" t="s">
        <v>476</v>
      </c>
      <c r="C76" s="5" t="s">
        <v>318</v>
      </c>
      <c r="D76" s="6" t="s">
        <v>340</v>
      </c>
      <c r="E76" s="6" t="s">
        <v>506</v>
      </c>
      <c r="F76" s="6" t="s">
        <v>507</v>
      </c>
    </row>
    <row r="77" spans="2:6">
      <c r="B77" s="5" t="s">
        <v>440</v>
      </c>
      <c r="C77" s="5" t="s">
        <v>318</v>
      </c>
      <c r="D77" s="6" t="s">
        <v>338</v>
      </c>
      <c r="E77" s="6" t="s">
        <v>508</v>
      </c>
      <c r="F77" s="6" t="s">
        <v>509</v>
      </c>
    </row>
  </sheetData>
  <mergeCells count="26">
    <mergeCell ref="A5:R5"/>
    <mergeCell ref="B3:B4"/>
    <mergeCell ref="A59:R59"/>
    <mergeCell ref="A9:R9"/>
    <mergeCell ref="A12:R12"/>
    <mergeCell ref="A17:R17"/>
    <mergeCell ref="A20:R20"/>
    <mergeCell ref="A26:R26"/>
    <mergeCell ref="A29:R29"/>
    <mergeCell ref="A33:R33"/>
    <mergeCell ref="A36:R36"/>
    <mergeCell ref="A44:R44"/>
    <mergeCell ref="A52:R52"/>
    <mergeCell ref="A55:R5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5">
    <pageSetUpPr fitToPage="1"/>
  </sheetPr>
  <dimension ref="A1:U100"/>
  <sheetViews>
    <sheetView workbookViewId="0">
      <selection activeCell="E84" sqref="E84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32.1640625" style="5" bestFit="1" customWidth="1"/>
    <col min="22" max="16384" width="9.1640625" style="3"/>
  </cols>
  <sheetData>
    <row r="1" spans="1:21" s="2" customFormat="1" ht="29" customHeight="1">
      <c r="A1" s="71" t="s">
        <v>2631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1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65" t="s">
        <v>10</v>
      </c>
      <c r="P3" s="65"/>
      <c r="Q3" s="65"/>
      <c r="R3" s="65"/>
      <c r="S3" s="83" t="s">
        <v>1</v>
      </c>
      <c r="T3" s="65" t="s">
        <v>3</v>
      </c>
      <c r="U3" s="67" t="s">
        <v>2</v>
      </c>
    </row>
    <row r="4" spans="1:21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4"/>
      <c r="T4" s="66"/>
      <c r="U4" s="68"/>
    </row>
    <row r="5" spans="1:21" ht="16">
      <c r="A5" s="69" t="s">
        <v>11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1">
      <c r="A6" s="8" t="s">
        <v>349</v>
      </c>
      <c r="B6" s="7" t="s">
        <v>12</v>
      </c>
      <c r="C6" s="7" t="s">
        <v>13</v>
      </c>
      <c r="D6" s="7" t="s">
        <v>14</v>
      </c>
      <c r="E6" s="7" t="s">
        <v>2690</v>
      </c>
      <c r="F6" s="7" t="s">
        <v>15</v>
      </c>
      <c r="G6" s="20" t="s">
        <v>16</v>
      </c>
      <c r="H6" s="20" t="s">
        <v>17</v>
      </c>
      <c r="I6" s="21" t="s">
        <v>18</v>
      </c>
      <c r="J6" s="8"/>
      <c r="K6" s="20" t="s">
        <v>19</v>
      </c>
      <c r="L6" s="20" t="s">
        <v>20</v>
      </c>
      <c r="M6" s="20" t="s">
        <v>21</v>
      </c>
      <c r="N6" s="8"/>
      <c r="O6" s="20" t="s">
        <v>22</v>
      </c>
      <c r="P6" s="20" t="s">
        <v>23</v>
      </c>
      <c r="Q6" s="20" t="s">
        <v>24</v>
      </c>
      <c r="R6" s="8"/>
      <c r="S6" s="32" t="str">
        <f>"182,5"</f>
        <v>182,5</v>
      </c>
      <c r="T6" s="8" t="str">
        <f>"218,7263"</f>
        <v>218,7263</v>
      </c>
      <c r="U6" s="7" t="s">
        <v>25</v>
      </c>
    </row>
    <row r="7" spans="1:21">
      <c r="B7" s="5" t="s">
        <v>350</v>
      </c>
    </row>
    <row r="8" spans="1:21" ht="16">
      <c r="A8" s="82" t="s">
        <v>26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21">
      <c r="A9" s="10" t="s">
        <v>349</v>
      </c>
      <c r="B9" s="9" t="s">
        <v>27</v>
      </c>
      <c r="C9" s="9" t="s">
        <v>28</v>
      </c>
      <c r="D9" s="9" t="s">
        <v>29</v>
      </c>
      <c r="E9" s="9" t="s">
        <v>2690</v>
      </c>
      <c r="F9" s="9" t="s">
        <v>30</v>
      </c>
      <c r="G9" s="22" t="s">
        <v>31</v>
      </c>
      <c r="H9" s="22" t="s">
        <v>32</v>
      </c>
      <c r="I9" s="23" t="s">
        <v>33</v>
      </c>
      <c r="J9" s="10"/>
      <c r="K9" s="22" t="s">
        <v>34</v>
      </c>
      <c r="L9" s="22" t="s">
        <v>35</v>
      </c>
      <c r="M9" s="22" t="s">
        <v>36</v>
      </c>
      <c r="N9" s="10"/>
      <c r="O9" s="22" t="s">
        <v>37</v>
      </c>
      <c r="P9" s="22" t="s">
        <v>38</v>
      </c>
      <c r="Q9" s="23" t="s">
        <v>39</v>
      </c>
      <c r="R9" s="10"/>
      <c r="S9" s="29" t="str">
        <f>"537,5"</f>
        <v>537,5</v>
      </c>
      <c r="T9" s="10" t="str">
        <f>"548,5725"</f>
        <v>548,5725</v>
      </c>
      <c r="U9" s="9" t="s">
        <v>40</v>
      </c>
    </row>
    <row r="10" spans="1:21">
      <c r="A10" s="12" t="s">
        <v>351</v>
      </c>
      <c r="B10" s="11" t="s">
        <v>41</v>
      </c>
      <c r="C10" s="11" t="s">
        <v>42</v>
      </c>
      <c r="D10" s="11" t="s">
        <v>43</v>
      </c>
      <c r="E10" s="11" t="s">
        <v>2690</v>
      </c>
      <c r="F10" s="11" t="s">
        <v>44</v>
      </c>
      <c r="G10" s="24" t="s">
        <v>45</v>
      </c>
      <c r="H10" s="25" t="s">
        <v>46</v>
      </c>
      <c r="I10" s="25" t="s">
        <v>47</v>
      </c>
      <c r="J10" s="12"/>
      <c r="K10" s="24" t="s">
        <v>48</v>
      </c>
      <c r="L10" s="24" t="s">
        <v>18</v>
      </c>
      <c r="M10" s="25" t="s">
        <v>49</v>
      </c>
      <c r="N10" s="12"/>
      <c r="O10" s="24" t="s">
        <v>50</v>
      </c>
      <c r="P10" s="24" t="s">
        <v>51</v>
      </c>
      <c r="Q10" s="24" t="s">
        <v>52</v>
      </c>
      <c r="R10" s="12"/>
      <c r="S10" s="31" t="str">
        <f>"360,0"</f>
        <v>360,0</v>
      </c>
      <c r="T10" s="12" t="str">
        <f>"368,6040"</f>
        <v>368,6040</v>
      </c>
      <c r="U10" s="11" t="s">
        <v>53</v>
      </c>
    </row>
    <row r="11" spans="1:21">
      <c r="A11" s="14" t="s">
        <v>349</v>
      </c>
      <c r="B11" s="13" t="s">
        <v>41</v>
      </c>
      <c r="C11" s="13" t="s">
        <v>54</v>
      </c>
      <c r="D11" s="13" t="s">
        <v>43</v>
      </c>
      <c r="E11" s="13" t="s">
        <v>2693</v>
      </c>
      <c r="F11" s="13" t="s">
        <v>44</v>
      </c>
      <c r="G11" s="26" t="s">
        <v>45</v>
      </c>
      <c r="H11" s="27" t="s">
        <v>46</v>
      </c>
      <c r="I11" s="27" t="s">
        <v>47</v>
      </c>
      <c r="J11" s="14"/>
      <c r="K11" s="26" t="s">
        <v>48</v>
      </c>
      <c r="L11" s="26" t="s">
        <v>18</v>
      </c>
      <c r="M11" s="27" t="s">
        <v>49</v>
      </c>
      <c r="N11" s="14"/>
      <c r="O11" s="26" t="s">
        <v>50</v>
      </c>
      <c r="P11" s="26" t="s">
        <v>51</v>
      </c>
      <c r="Q11" s="26" t="s">
        <v>52</v>
      </c>
      <c r="R11" s="14"/>
      <c r="S11" s="30" t="str">
        <f>"360,0"</f>
        <v>360,0</v>
      </c>
      <c r="T11" s="14" t="str">
        <f>"397,3551"</f>
        <v>397,3551</v>
      </c>
      <c r="U11" s="13" t="s">
        <v>53</v>
      </c>
    </row>
    <row r="12" spans="1:21">
      <c r="B12" s="5" t="s">
        <v>350</v>
      </c>
    </row>
    <row r="13" spans="1:21" ht="16">
      <c r="A13" s="82" t="s">
        <v>55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21">
      <c r="A14" s="10" t="s">
        <v>349</v>
      </c>
      <c r="B14" s="9" t="s">
        <v>56</v>
      </c>
      <c r="C14" s="9" t="s">
        <v>57</v>
      </c>
      <c r="D14" s="9" t="s">
        <v>58</v>
      </c>
      <c r="E14" s="9" t="s">
        <v>2690</v>
      </c>
      <c r="F14" s="9" t="s">
        <v>44</v>
      </c>
      <c r="G14" s="23" t="s">
        <v>47</v>
      </c>
      <c r="H14" s="22" t="s">
        <v>59</v>
      </c>
      <c r="I14" s="23" t="s">
        <v>60</v>
      </c>
      <c r="J14" s="10"/>
      <c r="K14" s="22" t="s">
        <v>61</v>
      </c>
      <c r="L14" s="22" t="s">
        <v>62</v>
      </c>
      <c r="M14" s="22" t="s">
        <v>24</v>
      </c>
      <c r="N14" s="10"/>
      <c r="O14" s="22" t="s">
        <v>45</v>
      </c>
      <c r="P14" s="22" t="s">
        <v>47</v>
      </c>
      <c r="Q14" s="22" t="s">
        <v>59</v>
      </c>
      <c r="R14" s="10"/>
      <c r="S14" s="29" t="str">
        <f>"405,0"</f>
        <v>405,0</v>
      </c>
      <c r="T14" s="10" t="str">
        <f>"394,2270"</f>
        <v>394,2270</v>
      </c>
      <c r="U14" s="9" t="s">
        <v>53</v>
      </c>
    </row>
    <row r="15" spans="1:21">
      <c r="A15" s="12" t="s">
        <v>351</v>
      </c>
      <c r="B15" s="11" t="s">
        <v>63</v>
      </c>
      <c r="C15" s="11" t="s">
        <v>64</v>
      </c>
      <c r="D15" s="11" t="s">
        <v>65</v>
      </c>
      <c r="E15" s="11" t="s">
        <v>2690</v>
      </c>
      <c r="F15" s="11" t="s">
        <v>15</v>
      </c>
      <c r="G15" s="24" t="s">
        <v>66</v>
      </c>
      <c r="H15" s="25" t="s">
        <v>67</v>
      </c>
      <c r="I15" s="24" t="s">
        <v>67</v>
      </c>
      <c r="J15" s="12"/>
      <c r="K15" s="24" t="s">
        <v>68</v>
      </c>
      <c r="L15" s="25" t="s">
        <v>69</v>
      </c>
      <c r="M15" s="25" t="s">
        <v>69</v>
      </c>
      <c r="N15" s="12"/>
      <c r="O15" s="24" t="s">
        <v>67</v>
      </c>
      <c r="P15" s="24" t="s">
        <v>36</v>
      </c>
      <c r="Q15" s="24" t="s">
        <v>70</v>
      </c>
      <c r="R15" s="12"/>
      <c r="S15" s="31" t="str">
        <f>"287,5"</f>
        <v>287,5</v>
      </c>
      <c r="T15" s="12" t="str">
        <f>"278,0700"</f>
        <v>278,0700</v>
      </c>
      <c r="U15" s="11" t="s">
        <v>25</v>
      </c>
    </row>
    <row r="16" spans="1:21">
      <c r="A16" s="14" t="s">
        <v>349</v>
      </c>
      <c r="B16" s="13" t="s">
        <v>56</v>
      </c>
      <c r="C16" s="13" t="s">
        <v>71</v>
      </c>
      <c r="D16" s="13" t="s">
        <v>58</v>
      </c>
      <c r="E16" s="13" t="s">
        <v>2695</v>
      </c>
      <c r="F16" s="13" t="s">
        <v>44</v>
      </c>
      <c r="G16" s="27" t="s">
        <v>47</v>
      </c>
      <c r="H16" s="26" t="s">
        <v>59</v>
      </c>
      <c r="I16" s="27" t="s">
        <v>60</v>
      </c>
      <c r="J16" s="14"/>
      <c r="K16" s="26" t="s">
        <v>61</v>
      </c>
      <c r="L16" s="26" t="s">
        <v>62</v>
      </c>
      <c r="M16" s="26" t="s">
        <v>24</v>
      </c>
      <c r="N16" s="14"/>
      <c r="O16" s="26" t="s">
        <v>45</v>
      </c>
      <c r="P16" s="26" t="s">
        <v>47</v>
      </c>
      <c r="Q16" s="26" t="s">
        <v>59</v>
      </c>
      <c r="R16" s="14"/>
      <c r="S16" s="30" t="str">
        <f>"405,0"</f>
        <v>405,0</v>
      </c>
      <c r="T16" s="14" t="str">
        <f>"460,4571"</f>
        <v>460,4571</v>
      </c>
      <c r="U16" s="13" t="s">
        <v>53</v>
      </c>
    </row>
    <row r="17" spans="1:21">
      <c r="B17" s="5" t="s">
        <v>350</v>
      </c>
    </row>
    <row r="18" spans="1:21" ht="16">
      <c r="A18" s="82" t="s">
        <v>72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spans="1:21">
      <c r="A19" s="8" t="s">
        <v>349</v>
      </c>
      <c r="B19" s="7" t="s">
        <v>73</v>
      </c>
      <c r="C19" s="7" t="s">
        <v>74</v>
      </c>
      <c r="D19" s="7" t="s">
        <v>75</v>
      </c>
      <c r="E19" s="7" t="s">
        <v>2690</v>
      </c>
      <c r="F19" s="7" t="s">
        <v>76</v>
      </c>
      <c r="G19" s="20" t="s">
        <v>31</v>
      </c>
      <c r="H19" s="20" t="s">
        <v>32</v>
      </c>
      <c r="I19" s="21" t="s">
        <v>33</v>
      </c>
      <c r="J19" s="8"/>
      <c r="K19" s="20" t="s">
        <v>36</v>
      </c>
      <c r="L19" s="20" t="s">
        <v>70</v>
      </c>
      <c r="M19" s="21" t="s">
        <v>51</v>
      </c>
      <c r="N19" s="8"/>
      <c r="O19" s="20" t="s">
        <v>39</v>
      </c>
      <c r="P19" s="20" t="s">
        <v>77</v>
      </c>
      <c r="Q19" s="21" t="s">
        <v>78</v>
      </c>
      <c r="R19" s="8"/>
      <c r="S19" s="32" t="str">
        <f>"565,0"</f>
        <v>565,0</v>
      </c>
      <c r="T19" s="8" t="str">
        <f>"508,7825"</f>
        <v>508,7825</v>
      </c>
      <c r="U19" s="7" t="s">
        <v>40</v>
      </c>
    </row>
    <row r="20" spans="1:21">
      <c r="B20" s="5" t="s">
        <v>350</v>
      </c>
    </row>
    <row r="21" spans="1:21" ht="16">
      <c r="A21" s="82" t="s">
        <v>26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21">
      <c r="A22" s="8" t="s">
        <v>349</v>
      </c>
      <c r="B22" s="7" t="s">
        <v>79</v>
      </c>
      <c r="C22" s="7" t="s">
        <v>80</v>
      </c>
      <c r="D22" s="7" t="s">
        <v>81</v>
      </c>
      <c r="E22" s="7" t="s">
        <v>2689</v>
      </c>
      <c r="F22" s="7" t="s">
        <v>82</v>
      </c>
      <c r="G22" s="20" t="s">
        <v>60</v>
      </c>
      <c r="H22" s="21" t="s">
        <v>37</v>
      </c>
      <c r="I22" s="20" t="s">
        <v>37</v>
      </c>
      <c r="J22" s="8"/>
      <c r="K22" s="20" t="s">
        <v>83</v>
      </c>
      <c r="L22" s="20" t="s">
        <v>50</v>
      </c>
      <c r="M22" s="21" t="s">
        <v>84</v>
      </c>
      <c r="N22" s="8"/>
      <c r="O22" s="20" t="s">
        <v>85</v>
      </c>
      <c r="P22" s="20" t="s">
        <v>86</v>
      </c>
      <c r="Q22" s="21" t="s">
        <v>87</v>
      </c>
      <c r="R22" s="8"/>
      <c r="S22" s="32" t="str">
        <f>"555,0"</f>
        <v>555,0</v>
      </c>
      <c r="T22" s="8" t="str">
        <f>"440,2260"</f>
        <v>440,2260</v>
      </c>
      <c r="U22" s="7" t="s">
        <v>88</v>
      </c>
    </row>
    <row r="23" spans="1:21">
      <c r="B23" s="5" t="s">
        <v>350</v>
      </c>
    </row>
    <row r="24" spans="1:21" ht="16">
      <c r="A24" s="82" t="s">
        <v>55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</row>
    <row r="25" spans="1:21">
      <c r="A25" s="10" t="s">
        <v>352</v>
      </c>
      <c r="B25" s="9" t="s">
        <v>89</v>
      </c>
      <c r="C25" s="9" t="s">
        <v>90</v>
      </c>
      <c r="D25" s="9" t="s">
        <v>91</v>
      </c>
      <c r="E25" s="9" t="s">
        <v>2689</v>
      </c>
      <c r="F25" s="9" t="s">
        <v>92</v>
      </c>
      <c r="G25" s="22" t="s">
        <v>39</v>
      </c>
      <c r="H25" s="22" t="s">
        <v>77</v>
      </c>
      <c r="I25" s="22" t="s">
        <v>78</v>
      </c>
      <c r="J25" s="10"/>
      <c r="K25" s="23" t="s">
        <v>51</v>
      </c>
      <c r="L25" s="22" t="s">
        <v>51</v>
      </c>
      <c r="M25" s="22" t="s">
        <v>93</v>
      </c>
      <c r="N25" s="10"/>
      <c r="O25" s="23" t="s">
        <v>94</v>
      </c>
      <c r="P25" s="23" t="s">
        <v>94</v>
      </c>
      <c r="Q25" s="23" t="s">
        <v>94</v>
      </c>
      <c r="R25" s="10"/>
      <c r="S25" s="29">
        <v>0</v>
      </c>
      <c r="T25" s="10" t="str">
        <f>"0,0000"</f>
        <v>0,0000</v>
      </c>
      <c r="U25" s="9" t="s">
        <v>95</v>
      </c>
    </row>
    <row r="26" spans="1:21">
      <c r="A26" s="14" t="s">
        <v>349</v>
      </c>
      <c r="B26" s="13" t="s">
        <v>96</v>
      </c>
      <c r="C26" s="13" t="s">
        <v>97</v>
      </c>
      <c r="D26" s="13" t="s">
        <v>98</v>
      </c>
      <c r="E26" s="13" t="s">
        <v>2690</v>
      </c>
      <c r="F26" s="13" t="s">
        <v>99</v>
      </c>
      <c r="G26" s="26" t="s">
        <v>77</v>
      </c>
      <c r="H26" s="26" t="s">
        <v>78</v>
      </c>
      <c r="I26" s="27" t="s">
        <v>100</v>
      </c>
      <c r="J26" s="14"/>
      <c r="K26" s="26" t="s">
        <v>35</v>
      </c>
      <c r="L26" s="26" t="s">
        <v>36</v>
      </c>
      <c r="M26" s="26" t="s">
        <v>70</v>
      </c>
      <c r="N26" s="14"/>
      <c r="O26" s="26" t="s">
        <v>77</v>
      </c>
      <c r="P26" s="26" t="s">
        <v>78</v>
      </c>
      <c r="Q26" s="27" t="s">
        <v>100</v>
      </c>
      <c r="R26" s="14"/>
      <c r="S26" s="30" t="str">
        <f>"590,0"</f>
        <v>590,0</v>
      </c>
      <c r="T26" s="14" t="str">
        <f>"420,4340"</f>
        <v>420,4340</v>
      </c>
      <c r="U26" s="13"/>
    </row>
    <row r="27" spans="1:21">
      <c r="B27" s="5" t="s">
        <v>350</v>
      </c>
    </row>
    <row r="28" spans="1:21" ht="16">
      <c r="A28" s="82" t="s">
        <v>72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</row>
    <row r="29" spans="1:21">
      <c r="A29" s="10" t="s">
        <v>349</v>
      </c>
      <c r="B29" s="9" t="s">
        <v>101</v>
      </c>
      <c r="C29" s="9" t="s">
        <v>102</v>
      </c>
      <c r="D29" s="9" t="s">
        <v>103</v>
      </c>
      <c r="E29" s="9" t="s">
        <v>2689</v>
      </c>
      <c r="F29" s="9" t="s">
        <v>104</v>
      </c>
      <c r="G29" s="23" t="s">
        <v>39</v>
      </c>
      <c r="H29" s="22" t="s">
        <v>39</v>
      </c>
      <c r="I29" s="22" t="s">
        <v>77</v>
      </c>
      <c r="J29" s="10"/>
      <c r="K29" s="22" t="s">
        <v>45</v>
      </c>
      <c r="L29" s="22" t="s">
        <v>47</v>
      </c>
      <c r="M29" s="22" t="s">
        <v>59</v>
      </c>
      <c r="N29" s="10"/>
      <c r="O29" s="22" t="s">
        <v>78</v>
      </c>
      <c r="P29" s="22" t="s">
        <v>86</v>
      </c>
      <c r="Q29" s="22" t="s">
        <v>94</v>
      </c>
      <c r="R29" s="10"/>
      <c r="S29" s="29" t="str">
        <f>"640,0"</f>
        <v>640,0</v>
      </c>
      <c r="T29" s="10" t="str">
        <f>"429,6960"</f>
        <v>429,6960</v>
      </c>
      <c r="U29" s="9"/>
    </row>
    <row r="30" spans="1:21">
      <c r="A30" s="12" t="s">
        <v>352</v>
      </c>
      <c r="B30" s="11" t="s">
        <v>105</v>
      </c>
      <c r="C30" s="11" t="s">
        <v>106</v>
      </c>
      <c r="D30" s="11" t="s">
        <v>107</v>
      </c>
      <c r="E30" s="11" t="s">
        <v>2689</v>
      </c>
      <c r="F30" s="11" t="s">
        <v>108</v>
      </c>
      <c r="G30" s="25" t="s">
        <v>87</v>
      </c>
      <c r="H30" s="25" t="s">
        <v>87</v>
      </c>
      <c r="I30" s="25" t="s">
        <v>87</v>
      </c>
      <c r="J30" s="12"/>
      <c r="K30" s="25"/>
      <c r="L30" s="12"/>
      <c r="M30" s="12"/>
      <c r="N30" s="12"/>
      <c r="O30" s="25"/>
      <c r="P30" s="12"/>
      <c r="Q30" s="12"/>
      <c r="R30" s="12"/>
      <c r="S30" s="31">
        <v>0</v>
      </c>
      <c r="T30" s="12" t="str">
        <f>"0,0000"</f>
        <v>0,0000</v>
      </c>
      <c r="U30" s="11"/>
    </row>
    <row r="31" spans="1:21">
      <c r="A31" s="12" t="s">
        <v>349</v>
      </c>
      <c r="B31" s="11" t="s">
        <v>110</v>
      </c>
      <c r="C31" s="11" t="s">
        <v>111</v>
      </c>
      <c r="D31" s="11" t="s">
        <v>112</v>
      </c>
      <c r="E31" s="11" t="s">
        <v>2690</v>
      </c>
      <c r="F31" s="11" t="s">
        <v>113</v>
      </c>
      <c r="G31" s="24" t="s">
        <v>94</v>
      </c>
      <c r="H31" s="24" t="s">
        <v>114</v>
      </c>
      <c r="I31" s="25" t="s">
        <v>115</v>
      </c>
      <c r="J31" s="12"/>
      <c r="K31" s="24" t="s">
        <v>116</v>
      </c>
      <c r="L31" s="24" t="s">
        <v>117</v>
      </c>
      <c r="M31" s="24" t="s">
        <v>118</v>
      </c>
      <c r="N31" s="12"/>
      <c r="O31" s="24" t="s">
        <v>94</v>
      </c>
      <c r="P31" s="24" t="s">
        <v>119</v>
      </c>
      <c r="Q31" s="24" t="s">
        <v>120</v>
      </c>
      <c r="R31" s="12"/>
      <c r="S31" s="31" t="str">
        <f>"742,5"</f>
        <v>742,5</v>
      </c>
      <c r="T31" s="12" t="str">
        <f>"499,6283"</f>
        <v>499,6283</v>
      </c>
      <c r="U31" s="11" t="s">
        <v>121</v>
      </c>
    </row>
    <row r="32" spans="1:21">
      <c r="A32" s="12" t="s">
        <v>351</v>
      </c>
      <c r="B32" s="11" t="s">
        <v>122</v>
      </c>
      <c r="C32" s="11" t="s">
        <v>123</v>
      </c>
      <c r="D32" s="11" t="s">
        <v>124</v>
      </c>
      <c r="E32" s="11" t="s">
        <v>2690</v>
      </c>
      <c r="F32" s="11" t="s">
        <v>125</v>
      </c>
      <c r="G32" s="24" t="s">
        <v>94</v>
      </c>
      <c r="H32" s="24" t="s">
        <v>126</v>
      </c>
      <c r="I32" s="25" t="s">
        <v>115</v>
      </c>
      <c r="J32" s="12"/>
      <c r="K32" s="24" t="s">
        <v>127</v>
      </c>
      <c r="L32" s="25" t="s">
        <v>128</v>
      </c>
      <c r="M32" s="24" t="s">
        <v>128</v>
      </c>
      <c r="N32" s="12"/>
      <c r="O32" s="24" t="s">
        <v>129</v>
      </c>
      <c r="P32" s="24" t="s">
        <v>130</v>
      </c>
      <c r="Q32" s="25" t="s">
        <v>115</v>
      </c>
      <c r="R32" s="12"/>
      <c r="S32" s="31" t="str">
        <f>"712,5"</f>
        <v>712,5</v>
      </c>
      <c r="T32" s="12" t="str">
        <f>"477,3038"</f>
        <v>477,3038</v>
      </c>
      <c r="U32" s="11"/>
    </row>
    <row r="33" spans="1:21">
      <c r="A33" s="12" t="s">
        <v>353</v>
      </c>
      <c r="B33" s="11" t="s">
        <v>132</v>
      </c>
      <c r="C33" s="11" t="s">
        <v>133</v>
      </c>
      <c r="D33" s="11" t="s">
        <v>134</v>
      </c>
      <c r="E33" s="11" t="s">
        <v>2690</v>
      </c>
      <c r="F33" s="11" t="s">
        <v>135</v>
      </c>
      <c r="G33" s="24" t="s">
        <v>78</v>
      </c>
      <c r="H33" s="25" t="s">
        <v>100</v>
      </c>
      <c r="I33" s="25" t="s">
        <v>100</v>
      </c>
      <c r="J33" s="12"/>
      <c r="K33" s="24" t="s">
        <v>52</v>
      </c>
      <c r="L33" s="25" t="s">
        <v>136</v>
      </c>
      <c r="M33" s="25" t="s">
        <v>59</v>
      </c>
      <c r="N33" s="12"/>
      <c r="O33" s="24" t="s">
        <v>100</v>
      </c>
      <c r="P33" s="24" t="s">
        <v>87</v>
      </c>
      <c r="Q33" s="25" t="s">
        <v>129</v>
      </c>
      <c r="R33" s="12"/>
      <c r="S33" s="31" t="str">
        <f>"630,0"</f>
        <v>630,0</v>
      </c>
      <c r="T33" s="12" t="str">
        <f>"423,6120"</f>
        <v>423,6120</v>
      </c>
      <c r="U33" s="11" t="s">
        <v>137</v>
      </c>
    </row>
    <row r="34" spans="1:21">
      <c r="A34" s="12" t="s">
        <v>354</v>
      </c>
      <c r="B34" s="11" t="s">
        <v>138</v>
      </c>
      <c r="C34" s="11" t="s">
        <v>139</v>
      </c>
      <c r="D34" s="11" t="s">
        <v>140</v>
      </c>
      <c r="E34" s="11" t="s">
        <v>2690</v>
      </c>
      <c r="F34" s="11" t="s">
        <v>141</v>
      </c>
      <c r="G34" s="25" t="s">
        <v>60</v>
      </c>
      <c r="H34" s="24" t="s">
        <v>37</v>
      </c>
      <c r="I34" s="24" t="s">
        <v>39</v>
      </c>
      <c r="J34" s="12"/>
      <c r="K34" s="24" t="s">
        <v>84</v>
      </c>
      <c r="L34" s="25" t="s">
        <v>51</v>
      </c>
      <c r="M34" s="24" t="s">
        <v>51</v>
      </c>
      <c r="N34" s="12"/>
      <c r="O34" s="24" t="s">
        <v>37</v>
      </c>
      <c r="P34" s="24" t="s">
        <v>38</v>
      </c>
      <c r="Q34" s="24" t="s">
        <v>31</v>
      </c>
      <c r="R34" s="12"/>
      <c r="S34" s="31" t="str">
        <f>"550,0"</f>
        <v>550,0</v>
      </c>
      <c r="T34" s="12" t="str">
        <f>"380,7100"</f>
        <v>380,7100</v>
      </c>
      <c r="U34" s="11" t="s">
        <v>2607</v>
      </c>
    </row>
    <row r="35" spans="1:21">
      <c r="A35" s="14" t="s">
        <v>352</v>
      </c>
      <c r="B35" s="13" t="s">
        <v>105</v>
      </c>
      <c r="C35" s="13" t="s">
        <v>142</v>
      </c>
      <c r="D35" s="13" t="s">
        <v>107</v>
      </c>
      <c r="E35" s="11" t="s">
        <v>2690</v>
      </c>
      <c r="F35" s="13" t="s">
        <v>108</v>
      </c>
      <c r="G35" s="27" t="s">
        <v>87</v>
      </c>
      <c r="H35" s="27" t="s">
        <v>87</v>
      </c>
      <c r="I35" s="27" t="s">
        <v>87</v>
      </c>
      <c r="J35" s="14"/>
      <c r="K35" s="27"/>
      <c r="L35" s="14"/>
      <c r="M35" s="14"/>
      <c r="N35" s="14"/>
      <c r="O35" s="27"/>
      <c r="P35" s="14"/>
      <c r="Q35" s="14"/>
      <c r="R35" s="14"/>
      <c r="S35" s="30">
        <v>0</v>
      </c>
      <c r="T35" s="14" t="str">
        <f>"0,0000"</f>
        <v>0,0000</v>
      </c>
      <c r="U35" s="13"/>
    </row>
    <row r="36" spans="1:21">
      <c r="B36" s="5" t="s">
        <v>350</v>
      </c>
    </row>
    <row r="37" spans="1:21" ht="16">
      <c r="A37" s="82" t="s">
        <v>143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1:21">
      <c r="A38" s="10" t="s">
        <v>349</v>
      </c>
      <c r="B38" s="9" t="s">
        <v>144</v>
      </c>
      <c r="C38" s="9" t="s">
        <v>145</v>
      </c>
      <c r="D38" s="9" t="s">
        <v>146</v>
      </c>
      <c r="E38" s="9" t="s">
        <v>2689</v>
      </c>
      <c r="F38" s="9" t="s">
        <v>147</v>
      </c>
      <c r="G38" s="23" t="s">
        <v>77</v>
      </c>
      <c r="H38" s="23" t="s">
        <v>77</v>
      </c>
      <c r="I38" s="22" t="s">
        <v>77</v>
      </c>
      <c r="J38" s="10"/>
      <c r="K38" s="22" t="s">
        <v>52</v>
      </c>
      <c r="L38" s="22" t="s">
        <v>59</v>
      </c>
      <c r="M38" s="22" t="s">
        <v>148</v>
      </c>
      <c r="N38" s="10"/>
      <c r="O38" s="22" t="s">
        <v>100</v>
      </c>
      <c r="P38" s="22" t="s">
        <v>94</v>
      </c>
      <c r="Q38" s="22" t="s">
        <v>149</v>
      </c>
      <c r="R38" s="10"/>
      <c r="S38" s="29" t="str">
        <f>"655,0"</f>
        <v>655,0</v>
      </c>
      <c r="T38" s="10" t="str">
        <f>"428,1080"</f>
        <v>428,1080</v>
      </c>
      <c r="U38" s="9" t="s">
        <v>150</v>
      </c>
    </row>
    <row r="39" spans="1:21">
      <c r="A39" s="12" t="s">
        <v>351</v>
      </c>
      <c r="B39" s="11" t="s">
        <v>151</v>
      </c>
      <c r="C39" s="11" t="s">
        <v>152</v>
      </c>
      <c r="D39" s="11" t="s">
        <v>153</v>
      </c>
      <c r="E39" s="11" t="s">
        <v>2689</v>
      </c>
      <c r="F39" s="11" t="s">
        <v>135</v>
      </c>
      <c r="G39" s="25" t="s">
        <v>78</v>
      </c>
      <c r="H39" s="25" t="s">
        <v>78</v>
      </c>
      <c r="I39" s="24" t="s">
        <v>78</v>
      </c>
      <c r="J39" s="12"/>
      <c r="K39" s="24" t="s">
        <v>51</v>
      </c>
      <c r="L39" s="24" t="s">
        <v>154</v>
      </c>
      <c r="M39" s="25" t="s">
        <v>93</v>
      </c>
      <c r="N39" s="12"/>
      <c r="O39" s="24" t="s">
        <v>86</v>
      </c>
      <c r="P39" s="24" t="s">
        <v>129</v>
      </c>
      <c r="Q39" s="25" t="s">
        <v>94</v>
      </c>
      <c r="R39" s="12"/>
      <c r="S39" s="31" t="str">
        <f>"625,0"</f>
        <v>625,0</v>
      </c>
      <c r="T39" s="12" t="str">
        <f>"401,5000"</f>
        <v>401,5000</v>
      </c>
      <c r="U39" s="11"/>
    </row>
    <row r="40" spans="1:21">
      <c r="A40" s="12" t="s">
        <v>349</v>
      </c>
      <c r="B40" s="11" t="s">
        <v>155</v>
      </c>
      <c r="C40" s="11" t="s">
        <v>156</v>
      </c>
      <c r="D40" s="11" t="s">
        <v>157</v>
      </c>
      <c r="E40" s="11" t="s">
        <v>2690</v>
      </c>
      <c r="F40" s="11" t="s">
        <v>158</v>
      </c>
      <c r="G40" s="24" t="s">
        <v>94</v>
      </c>
      <c r="H40" s="24" t="s">
        <v>119</v>
      </c>
      <c r="I40" s="24" t="s">
        <v>115</v>
      </c>
      <c r="J40" s="12"/>
      <c r="K40" s="24" t="s">
        <v>159</v>
      </c>
      <c r="L40" s="24" t="s">
        <v>160</v>
      </c>
      <c r="M40" s="24" t="s">
        <v>38</v>
      </c>
      <c r="N40" s="12"/>
      <c r="O40" s="24" t="s">
        <v>126</v>
      </c>
      <c r="P40" s="25" t="s">
        <v>115</v>
      </c>
      <c r="Q40" s="24" t="s">
        <v>115</v>
      </c>
      <c r="R40" s="12"/>
      <c r="S40" s="31" t="str">
        <f>"760,0"</f>
        <v>760,0</v>
      </c>
      <c r="T40" s="12" t="str">
        <f>"485,1840"</f>
        <v>485,1840</v>
      </c>
      <c r="U40" s="11"/>
    </row>
    <row r="41" spans="1:21">
      <c r="A41" s="12" t="s">
        <v>351</v>
      </c>
      <c r="B41" s="11" t="s">
        <v>161</v>
      </c>
      <c r="C41" s="11" t="s">
        <v>162</v>
      </c>
      <c r="D41" s="11" t="s">
        <v>163</v>
      </c>
      <c r="E41" s="11" t="s">
        <v>2690</v>
      </c>
      <c r="F41" s="11" t="s">
        <v>164</v>
      </c>
      <c r="G41" s="24" t="s">
        <v>126</v>
      </c>
      <c r="H41" s="25" t="s">
        <v>165</v>
      </c>
      <c r="I41" s="24" t="s">
        <v>165</v>
      </c>
      <c r="J41" s="12"/>
      <c r="K41" s="24" t="s">
        <v>59</v>
      </c>
      <c r="L41" s="24" t="s">
        <v>166</v>
      </c>
      <c r="M41" s="25" t="s">
        <v>148</v>
      </c>
      <c r="N41" s="12"/>
      <c r="O41" s="25" t="s">
        <v>115</v>
      </c>
      <c r="P41" s="25" t="s">
        <v>115</v>
      </c>
      <c r="Q41" s="24" t="s">
        <v>115</v>
      </c>
      <c r="R41" s="12"/>
      <c r="S41" s="31" t="str">
        <f>"727,5"</f>
        <v>727,5</v>
      </c>
      <c r="T41" s="12" t="str">
        <f>"472,8023"</f>
        <v>472,8023</v>
      </c>
      <c r="U41" s="11"/>
    </row>
    <row r="42" spans="1:21">
      <c r="A42" s="12" t="s">
        <v>353</v>
      </c>
      <c r="B42" s="11" t="s">
        <v>167</v>
      </c>
      <c r="C42" s="11" t="s">
        <v>168</v>
      </c>
      <c r="D42" s="11" t="s">
        <v>169</v>
      </c>
      <c r="E42" s="11" t="s">
        <v>2690</v>
      </c>
      <c r="F42" s="11" t="s">
        <v>170</v>
      </c>
      <c r="G42" s="25" t="s">
        <v>85</v>
      </c>
      <c r="H42" s="25" t="s">
        <v>85</v>
      </c>
      <c r="I42" s="24" t="s">
        <v>85</v>
      </c>
      <c r="J42" s="12"/>
      <c r="K42" s="24" t="s">
        <v>52</v>
      </c>
      <c r="L42" s="25" t="s">
        <v>47</v>
      </c>
      <c r="M42" s="12"/>
      <c r="N42" s="12"/>
      <c r="O42" s="24" t="s">
        <v>171</v>
      </c>
      <c r="P42" s="25" t="s">
        <v>172</v>
      </c>
      <c r="Q42" s="25" t="s">
        <v>172</v>
      </c>
      <c r="R42" s="12"/>
      <c r="S42" s="31" t="str">
        <f>"690,0"</f>
        <v>690,0</v>
      </c>
      <c r="T42" s="12" t="str">
        <f>"445,3950"</f>
        <v>445,3950</v>
      </c>
      <c r="U42" s="11" t="s">
        <v>173</v>
      </c>
    </row>
    <row r="43" spans="1:21">
      <c r="A43" s="12" t="s">
        <v>354</v>
      </c>
      <c r="B43" s="11" t="s">
        <v>174</v>
      </c>
      <c r="C43" s="11" t="s">
        <v>175</v>
      </c>
      <c r="D43" s="11" t="s">
        <v>176</v>
      </c>
      <c r="E43" s="11" t="s">
        <v>2690</v>
      </c>
      <c r="F43" s="11" t="s">
        <v>177</v>
      </c>
      <c r="G43" s="24" t="s">
        <v>86</v>
      </c>
      <c r="H43" s="25" t="s">
        <v>129</v>
      </c>
      <c r="I43" s="24" t="s">
        <v>94</v>
      </c>
      <c r="J43" s="12"/>
      <c r="K43" s="24" t="s">
        <v>47</v>
      </c>
      <c r="L43" s="24" t="s">
        <v>166</v>
      </c>
      <c r="M43" s="25" t="s">
        <v>109</v>
      </c>
      <c r="N43" s="12"/>
      <c r="O43" s="24" t="s">
        <v>86</v>
      </c>
      <c r="P43" s="24" t="s">
        <v>129</v>
      </c>
      <c r="Q43" s="25" t="s">
        <v>130</v>
      </c>
      <c r="R43" s="12"/>
      <c r="S43" s="31" t="str">
        <f>"680,0"</f>
        <v>680,0</v>
      </c>
      <c r="T43" s="12" t="str">
        <f>"444,1760"</f>
        <v>444,1760</v>
      </c>
      <c r="U43" s="11"/>
    </row>
    <row r="44" spans="1:21">
      <c r="A44" s="12" t="s">
        <v>349</v>
      </c>
      <c r="B44" s="11" t="s">
        <v>161</v>
      </c>
      <c r="C44" s="11" t="s">
        <v>178</v>
      </c>
      <c r="D44" s="11" t="s">
        <v>163</v>
      </c>
      <c r="E44" s="11" t="s">
        <v>2693</v>
      </c>
      <c r="F44" s="11" t="s">
        <v>164</v>
      </c>
      <c r="G44" s="24" t="s">
        <v>126</v>
      </c>
      <c r="H44" s="25" t="s">
        <v>165</v>
      </c>
      <c r="I44" s="24" t="s">
        <v>165</v>
      </c>
      <c r="J44" s="12"/>
      <c r="K44" s="24" t="s">
        <v>59</v>
      </c>
      <c r="L44" s="24" t="s">
        <v>166</v>
      </c>
      <c r="M44" s="25" t="s">
        <v>148</v>
      </c>
      <c r="N44" s="12"/>
      <c r="O44" s="25" t="s">
        <v>115</v>
      </c>
      <c r="P44" s="25" t="s">
        <v>115</v>
      </c>
      <c r="Q44" s="24" t="s">
        <v>115</v>
      </c>
      <c r="R44" s="12"/>
      <c r="S44" s="31" t="str">
        <f>"727,5"</f>
        <v>727,5</v>
      </c>
      <c r="T44" s="12" t="str">
        <f>"472,8023"</f>
        <v>472,8023</v>
      </c>
      <c r="U44" s="11"/>
    </row>
    <row r="45" spans="1:21">
      <c r="A45" s="14" t="s">
        <v>352</v>
      </c>
      <c r="B45" s="13" t="s">
        <v>179</v>
      </c>
      <c r="C45" s="13" t="s">
        <v>180</v>
      </c>
      <c r="D45" s="13" t="s">
        <v>181</v>
      </c>
      <c r="E45" s="13" t="s">
        <v>2695</v>
      </c>
      <c r="F45" s="13" t="s">
        <v>15</v>
      </c>
      <c r="G45" s="27" t="s">
        <v>85</v>
      </c>
      <c r="H45" s="27" t="s">
        <v>85</v>
      </c>
      <c r="I45" s="27" t="s">
        <v>85</v>
      </c>
      <c r="J45" s="14"/>
      <c r="K45" s="14"/>
      <c r="L45" s="14"/>
      <c r="M45" s="14"/>
      <c r="N45" s="14"/>
      <c r="O45" s="14"/>
      <c r="P45" s="14"/>
      <c r="Q45" s="27"/>
      <c r="R45" s="14"/>
      <c r="S45" s="30">
        <v>0</v>
      </c>
      <c r="T45" s="14" t="str">
        <f>"0,0000"</f>
        <v>0,0000</v>
      </c>
      <c r="U45" s="13"/>
    </row>
    <row r="46" spans="1:21">
      <c r="B46" s="5" t="s">
        <v>350</v>
      </c>
    </row>
    <row r="47" spans="1:21" ht="16">
      <c r="A47" s="82" t="s">
        <v>183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</row>
    <row r="48" spans="1:21">
      <c r="A48" s="10" t="s">
        <v>352</v>
      </c>
      <c r="B48" s="9" t="s">
        <v>184</v>
      </c>
      <c r="C48" s="9" t="s">
        <v>185</v>
      </c>
      <c r="D48" s="9" t="s">
        <v>186</v>
      </c>
      <c r="E48" s="9" t="s">
        <v>2689</v>
      </c>
      <c r="F48" s="9" t="s">
        <v>187</v>
      </c>
      <c r="G48" s="23" t="s">
        <v>188</v>
      </c>
      <c r="H48" s="23" t="s">
        <v>83</v>
      </c>
      <c r="I48" s="23" t="s">
        <v>83</v>
      </c>
      <c r="J48" s="10"/>
      <c r="K48" s="23"/>
      <c r="L48" s="10"/>
      <c r="M48" s="10"/>
      <c r="N48" s="10"/>
      <c r="O48" s="23"/>
      <c r="P48" s="10"/>
      <c r="Q48" s="10"/>
      <c r="R48" s="10"/>
      <c r="S48" s="29">
        <v>0</v>
      </c>
      <c r="T48" s="10" t="str">
        <f>"0,0000"</f>
        <v>0,0000</v>
      </c>
      <c r="U48" s="9"/>
    </row>
    <row r="49" spans="1:21">
      <c r="A49" s="12" t="s">
        <v>349</v>
      </c>
      <c r="B49" s="11" t="s">
        <v>189</v>
      </c>
      <c r="C49" s="11" t="s">
        <v>190</v>
      </c>
      <c r="D49" s="11" t="s">
        <v>191</v>
      </c>
      <c r="E49" s="11" t="s">
        <v>2690</v>
      </c>
      <c r="F49" s="11" t="s">
        <v>192</v>
      </c>
      <c r="G49" s="25" t="s">
        <v>193</v>
      </c>
      <c r="H49" s="24" t="s">
        <v>193</v>
      </c>
      <c r="I49" s="25" t="s">
        <v>194</v>
      </c>
      <c r="J49" s="12"/>
      <c r="K49" s="24" t="s">
        <v>37</v>
      </c>
      <c r="L49" s="24" t="s">
        <v>38</v>
      </c>
      <c r="M49" s="25" t="s">
        <v>195</v>
      </c>
      <c r="N49" s="12"/>
      <c r="O49" s="24" t="s">
        <v>194</v>
      </c>
      <c r="P49" s="24" t="s">
        <v>196</v>
      </c>
      <c r="Q49" s="24" t="s">
        <v>197</v>
      </c>
      <c r="R49" s="12"/>
      <c r="S49" s="31" t="str">
        <f>"840,0"</f>
        <v>840,0</v>
      </c>
      <c r="T49" s="12" t="str">
        <f>"513,7440"</f>
        <v>513,7440</v>
      </c>
      <c r="U49" s="11"/>
    </row>
    <row r="50" spans="1:21">
      <c r="A50" s="12" t="s">
        <v>351</v>
      </c>
      <c r="B50" s="11" t="s">
        <v>198</v>
      </c>
      <c r="C50" s="11" t="s">
        <v>199</v>
      </c>
      <c r="D50" s="11" t="s">
        <v>200</v>
      </c>
      <c r="E50" s="11" t="s">
        <v>2690</v>
      </c>
      <c r="F50" s="11" t="s">
        <v>201</v>
      </c>
      <c r="G50" s="24" t="s">
        <v>171</v>
      </c>
      <c r="H50" s="24" t="s">
        <v>194</v>
      </c>
      <c r="I50" s="24" t="s">
        <v>172</v>
      </c>
      <c r="J50" s="12"/>
      <c r="K50" s="25" t="s">
        <v>148</v>
      </c>
      <c r="L50" s="24" t="s">
        <v>109</v>
      </c>
      <c r="M50" s="24" t="s">
        <v>128</v>
      </c>
      <c r="N50" s="12"/>
      <c r="O50" s="24" t="s">
        <v>202</v>
      </c>
      <c r="P50" s="25" t="s">
        <v>203</v>
      </c>
      <c r="Q50" s="24" t="s">
        <v>172</v>
      </c>
      <c r="R50" s="12"/>
      <c r="S50" s="31" t="str">
        <f>"817,5"</f>
        <v>817,5</v>
      </c>
      <c r="T50" s="12" t="str">
        <f>"501,8633"</f>
        <v>501,8633</v>
      </c>
      <c r="U50" s="11" t="s">
        <v>204</v>
      </c>
    </row>
    <row r="51" spans="1:21">
      <c r="A51" s="12" t="s">
        <v>353</v>
      </c>
      <c r="B51" s="11" t="s">
        <v>205</v>
      </c>
      <c r="C51" s="11" t="s">
        <v>206</v>
      </c>
      <c r="D51" s="11" t="s">
        <v>207</v>
      </c>
      <c r="E51" s="11" t="s">
        <v>2690</v>
      </c>
      <c r="F51" s="11" t="s">
        <v>208</v>
      </c>
      <c r="G51" s="25" t="s">
        <v>209</v>
      </c>
      <c r="H51" s="24" t="s">
        <v>209</v>
      </c>
      <c r="I51" s="24" t="s">
        <v>171</v>
      </c>
      <c r="J51" s="12"/>
      <c r="K51" s="24" t="s">
        <v>60</v>
      </c>
      <c r="L51" s="24" t="s">
        <v>210</v>
      </c>
      <c r="M51" s="25" t="s">
        <v>159</v>
      </c>
      <c r="N51" s="12"/>
      <c r="O51" s="24" t="s">
        <v>193</v>
      </c>
      <c r="P51" s="25" t="s">
        <v>211</v>
      </c>
      <c r="Q51" s="25" t="s">
        <v>212</v>
      </c>
      <c r="R51" s="12"/>
      <c r="S51" s="31" t="str">
        <f>"792,5"</f>
        <v>792,5</v>
      </c>
      <c r="T51" s="12" t="str">
        <f>"488,4177"</f>
        <v>488,4177</v>
      </c>
      <c r="U51" s="11"/>
    </row>
    <row r="52" spans="1:21">
      <c r="A52" s="12" t="s">
        <v>354</v>
      </c>
      <c r="B52" s="11" t="s">
        <v>213</v>
      </c>
      <c r="C52" s="11" t="s">
        <v>214</v>
      </c>
      <c r="D52" s="11" t="s">
        <v>215</v>
      </c>
      <c r="E52" s="11" t="s">
        <v>2690</v>
      </c>
      <c r="F52" s="11" t="s">
        <v>216</v>
      </c>
      <c r="G52" s="25" t="s">
        <v>126</v>
      </c>
      <c r="H52" s="24" t="s">
        <v>126</v>
      </c>
      <c r="I52" s="24" t="s">
        <v>120</v>
      </c>
      <c r="J52" s="12"/>
      <c r="K52" s="24" t="s">
        <v>109</v>
      </c>
      <c r="L52" s="25" t="s">
        <v>60</v>
      </c>
      <c r="M52" s="25" t="s">
        <v>60</v>
      </c>
      <c r="N52" s="12"/>
      <c r="O52" s="24" t="s">
        <v>193</v>
      </c>
      <c r="P52" s="24" t="s">
        <v>212</v>
      </c>
      <c r="Q52" s="24" t="s">
        <v>172</v>
      </c>
      <c r="R52" s="12"/>
      <c r="S52" s="31" t="str">
        <f>"775,0"</f>
        <v>775,0</v>
      </c>
      <c r="T52" s="12" t="str">
        <f>"472,5950"</f>
        <v>472,5950</v>
      </c>
      <c r="U52" s="11" t="s">
        <v>217</v>
      </c>
    </row>
    <row r="53" spans="1:21">
      <c r="A53" s="12" t="s">
        <v>355</v>
      </c>
      <c r="B53" s="11" t="s">
        <v>218</v>
      </c>
      <c r="C53" s="11" t="s">
        <v>219</v>
      </c>
      <c r="D53" s="11" t="s">
        <v>220</v>
      </c>
      <c r="E53" s="11" t="s">
        <v>2690</v>
      </c>
      <c r="F53" s="11" t="s">
        <v>221</v>
      </c>
      <c r="G53" s="24" t="s">
        <v>130</v>
      </c>
      <c r="H53" s="24" t="s">
        <v>119</v>
      </c>
      <c r="I53" s="24" t="s">
        <v>120</v>
      </c>
      <c r="J53" s="12"/>
      <c r="K53" s="24" t="s">
        <v>166</v>
      </c>
      <c r="L53" s="24" t="s">
        <v>109</v>
      </c>
      <c r="M53" s="24" t="s">
        <v>116</v>
      </c>
      <c r="N53" s="12"/>
      <c r="O53" s="24" t="s">
        <v>119</v>
      </c>
      <c r="P53" s="24" t="s">
        <v>120</v>
      </c>
      <c r="Q53" s="24" t="s">
        <v>193</v>
      </c>
      <c r="R53" s="12"/>
      <c r="S53" s="31" t="str">
        <f>"760,0"</f>
        <v>760,0</v>
      </c>
      <c r="T53" s="12" t="str">
        <f>"471,6560"</f>
        <v>471,6560</v>
      </c>
      <c r="U53" s="11" t="s">
        <v>222</v>
      </c>
    </row>
    <row r="54" spans="1:21">
      <c r="A54" s="12" t="s">
        <v>356</v>
      </c>
      <c r="B54" s="11" t="s">
        <v>223</v>
      </c>
      <c r="C54" s="11" t="s">
        <v>224</v>
      </c>
      <c r="D54" s="11" t="s">
        <v>225</v>
      </c>
      <c r="E54" s="11" t="s">
        <v>2690</v>
      </c>
      <c r="F54" s="11" t="s">
        <v>221</v>
      </c>
      <c r="G54" s="24" t="s">
        <v>87</v>
      </c>
      <c r="H54" s="24" t="s">
        <v>130</v>
      </c>
      <c r="I54" s="12"/>
      <c r="J54" s="12"/>
      <c r="K54" s="24" t="s">
        <v>226</v>
      </c>
      <c r="L54" s="24" t="s">
        <v>148</v>
      </c>
      <c r="M54" s="24" t="s">
        <v>127</v>
      </c>
      <c r="N54" s="12"/>
      <c r="O54" s="24" t="s">
        <v>209</v>
      </c>
      <c r="P54" s="25" t="s">
        <v>212</v>
      </c>
      <c r="Q54" s="25" t="s">
        <v>212</v>
      </c>
      <c r="R54" s="12"/>
      <c r="S54" s="31" t="str">
        <f>"727,5"</f>
        <v>727,5</v>
      </c>
      <c r="T54" s="12" t="str">
        <f>"445,6665"</f>
        <v>445,6665</v>
      </c>
      <c r="U54" s="11"/>
    </row>
    <row r="55" spans="1:21">
      <c r="A55" s="12" t="s">
        <v>357</v>
      </c>
      <c r="B55" s="11" t="s">
        <v>227</v>
      </c>
      <c r="C55" s="11" t="s">
        <v>228</v>
      </c>
      <c r="D55" s="11" t="s">
        <v>229</v>
      </c>
      <c r="E55" s="11" t="s">
        <v>2690</v>
      </c>
      <c r="F55" s="11" t="s">
        <v>30</v>
      </c>
      <c r="G55" s="25" t="s">
        <v>130</v>
      </c>
      <c r="H55" s="24" t="s">
        <v>130</v>
      </c>
      <c r="I55" s="24" t="s">
        <v>126</v>
      </c>
      <c r="J55" s="12"/>
      <c r="K55" s="24" t="s">
        <v>52</v>
      </c>
      <c r="L55" s="24" t="s">
        <v>59</v>
      </c>
      <c r="M55" s="25" t="s">
        <v>166</v>
      </c>
      <c r="N55" s="12"/>
      <c r="O55" s="25" t="s">
        <v>77</v>
      </c>
      <c r="P55" s="25" t="s">
        <v>85</v>
      </c>
      <c r="Q55" s="24" t="s">
        <v>85</v>
      </c>
      <c r="R55" s="12"/>
      <c r="S55" s="31" t="str">
        <f>"665,0"</f>
        <v>665,0</v>
      </c>
      <c r="T55" s="12" t="str">
        <f>"411,3690"</f>
        <v>411,3690</v>
      </c>
      <c r="U55" s="11"/>
    </row>
    <row r="56" spans="1:21">
      <c r="A56" s="12" t="s">
        <v>358</v>
      </c>
      <c r="B56" s="11" t="s">
        <v>230</v>
      </c>
      <c r="C56" s="11" t="s">
        <v>231</v>
      </c>
      <c r="D56" s="11" t="s">
        <v>232</v>
      </c>
      <c r="E56" s="11" t="s">
        <v>2690</v>
      </c>
      <c r="F56" s="11" t="s">
        <v>233</v>
      </c>
      <c r="G56" s="24" t="s">
        <v>87</v>
      </c>
      <c r="H56" s="25" t="s">
        <v>130</v>
      </c>
      <c r="I56" s="25" t="s">
        <v>126</v>
      </c>
      <c r="J56" s="12"/>
      <c r="K56" s="24" t="s">
        <v>70</v>
      </c>
      <c r="L56" s="24" t="s">
        <v>51</v>
      </c>
      <c r="M56" s="24" t="s">
        <v>154</v>
      </c>
      <c r="N56" s="12"/>
      <c r="O56" s="25" t="s">
        <v>78</v>
      </c>
      <c r="P56" s="25" t="s">
        <v>78</v>
      </c>
      <c r="Q56" s="24" t="s">
        <v>78</v>
      </c>
      <c r="R56" s="12"/>
      <c r="S56" s="31" t="str">
        <f>"620,0"</f>
        <v>620,0</v>
      </c>
      <c r="T56" s="12" t="str">
        <f>"379,6260"</f>
        <v>379,6260</v>
      </c>
      <c r="U56" s="11" t="s">
        <v>234</v>
      </c>
    </row>
    <row r="57" spans="1:21">
      <c r="A57" s="12" t="s">
        <v>352</v>
      </c>
      <c r="B57" s="11" t="s">
        <v>235</v>
      </c>
      <c r="C57" s="11" t="s">
        <v>236</v>
      </c>
      <c r="D57" s="11" t="s">
        <v>237</v>
      </c>
      <c r="E57" s="11" t="s">
        <v>2690</v>
      </c>
      <c r="F57" s="11" t="s">
        <v>238</v>
      </c>
      <c r="G57" s="25" t="s">
        <v>94</v>
      </c>
      <c r="H57" s="25" t="s">
        <v>126</v>
      </c>
      <c r="I57" s="25" t="s">
        <v>126</v>
      </c>
      <c r="J57" s="12"/>
      <c r="K57" s="25"/>
      <c r="L57" s="12"/>
      <c r="M57" s="12"/>
      <c r="N57" s="12"/>
      <c r="O57" s="25"/>
      <c r="P57" s="12"/>
      <c r="Q57" s="12"/>
      <c r="R57" s="12"/>
      <c r="S57" s="31">
        <v>0</v>
      </c>
      <c r="T57" s="12" t="str">
        <f>"0,0000"</f>
        <v>0,0000</v>
      </c>
      <c r="U57" s="11" t="s">
        <v>239</v>
      </c>
    </row>
    <row r="58" spans="1:21">
      <c r="A58" s="14" t="s">
        <v>349</v>
      </c>
      <c r="B58" s="13" t="s">
        <v>240</v>
      </c>
      <c r="C58" s="13" t="s">
        <v>241</v>
      </c>
      <c r="D58" s="13" t="s">
        <v>242</v>
      </c>
      <c r="E58" s="13" t="s">
        <v>2693</v>
      </c>
      <c r="F58" s="13" t="s">
        <v>243</v>
      </c>
      <c r="G58" s="26" t="s">
        <v>94</v>
      </c>
      <c r="H58" s="26" t="s">
        <v>119</v>
      </c>
      <c r="I58" s="26" t="s">
        <v>120</v>
      </c>
      <c r="J58" s="14"/>
      <c r="K58" s="26" t="s">
        <v>59</v>
      </c>
      <c r="L58" s="26" t="s">
        <v>109</v>
      </c>
      <c r="M58" s="27" t="s">
        <v>116</v>
      </c>
      <c r="N58" s="14"/>
      <c r="O58" s="26" t="s">
        <v>126</v>
      </c>
      <c r="P58" s="27" t="s">
        <v>120</v>
      </c>
      <c r="Q58" s="26" t="s">
        <v>120</v>
      </c>
      <c r="R58" s="14"/>
      <c r="S58" s="30" t="str">
        <f>"740,0"</f>
        <v>740,0</v>
      </c>
      <c r="T58" s="14" t="str">
        <f>"455,9625"</f>
        <v>455,9625</v>
      </c>
      <c r="U58" s="13"/>
    </row>
    <row r="59" spans="1:21">
      <c r="B59" s="5" t="s">
        <v>350</v>
      </c>
    </row>
    <row r="60" spans="1:21" ht="16">
      <c r="A60" s="82" t="s">
        <v>244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</row>
    <row r="61" spans="1:21">
      <c r="A61" s="10" t="s">
        <v>349</v>
      </c>
      <c r="B61" s="9" t="s">
        <v>245</v>
      </c>
      <c r="C61" s="9" t="s">
        <v>246</v>
      </c>
      <c r="D61" s="9" t="s">
        <v>247</v>
      </c>
      <c r="E61" s="9" t="s">
        <v>2689</v>
      </c>
      <c r="F61" s="9" t="s">
        <v>248</v>
      </c>
      <c r="G61" s="22" t="s">
        <v>100</v>
      </c>
      <c r="H61" s="22" t="s">
        <v>87</v>
      </c>
      <c r="I61" s="22" t="s">
        <v>94</v>
      </c>
      <c r="J61" s="10"/>
      <c r="K61" s="22" t="s">
        <v>154</v>
      </c>
      <c r="L61" s="22" t="s">
        <v>52</v>
      </c>
      <c r="M61" s="22" t="s">
        <v>59</v>
      </c>
      <c r="N61" s="10"/>
      <c r="O61" s="22" t="s">
        <v>87</v>
      </c>
      <c r="P61" s="22" t="s">
        <v>126</v>
      </c>
      <c r="Q61" s="23" t="s">
        <v>209</v>
      </c>
      <c r="R61" s="10"/>
      <c r="S61" s="29" t="str">
        <f>"690,0"</f>
        <v>690,0</v>
      </c>
      <c r="T61" s="10" t="str">
        <f>"415,6560"</f>
        <v>415,6560</v>
      </c>
      <c r="U61" s="9"/>
    </row>
    <row r="62" spans="1:21">
      <c r="A62" s="12" t="s">
        <v>349</v>
      </c>
      <c r="B62" s="11" t="s">
        <v>249</v>
      </c>
      <c r="C62" s="11" t="s">
        <v>250</v>
      </c>
      <c r="D62" s="11" t="s">
        <v>251</v>
      </c>
      <c r="E62" s="11" t="s">
        <v>2690</v>
      </c>
      <c r="F62" s="11" t="s">
        <v>252</v>
      </c>
      <c r="G62" s="24" t="s">
        <v>196</v>
      </c>
      <c r="H62" s="24" t="s">
        <v>253</v>
      </c>
      <c r="I62" s="25" t="s">
        <v>254</v>
      </c>
      <c r="J62" s="12"/>
      <c r="K62" s="24" t="s">
        <v>77</v>
      </c>
      <c r="L62" s="24" t="s">
        <v>78</v>
      </c>
      <c r="M62" s="25" t="s">
        <v>100</v>
      </c>
      <c r="N62" s="12"/>
      <c r="O62" s="24" t="s">
        <v>126</v>
      </c>
      <c r="P62" s="24" t="s">
        <v>209</v>
      </c>
      <c r="Q62" s="24" t="s">
        <v>193</v>
      </c>
      <c r="R62" s="12"/>
      <c r="S62" s="31" t="str">
        <f>"880,0"</f>
        <v>880,0</v>
      </c>
      <c r="T62" s="12" t="str">
        <f>"522,8080"</f>
        <v>522,8080</v>
      </c>
      <c r="U62" s="11" t="s">
        <v>255</v>
      </c>
    </row>
    <row r="63" spans="1:21">
      <c r="A63" s="12" t="s">
        <v>351</v>
      </c>
      <c r="B63" s="11" t="s">
        <v>256</v>
      </c>
      <c r="C63" s="11" t="s">
        <v>257</v>
      </c>
      <c r="D63" s="11" t="s">
        <v>251</v>
      </c>
      <c r="E63" s="11" t="s">
        <v>2690</v>
      </c>
      <c r="F63" s="11" t="s">
        <v>221</v>
      </c>
      <c r="G63" s="24" t="s">
        <v>94</v>
      </c>
      <c r="H63" s="24" t="s">
        <v>115</v>
      </c>
      <c r="I63" s="24" t="s">
        <v>209</v>
      </c>
      <c r="J63" s="12"/>
      <c r="K63" s="24" t="s">
        <v>39</v>
      </c>
      <c r="L63" s="24" t="s">
        <v>77</v>
      </c>
      <c r="M63" s="25" t="s">
        <v>33</v>
      </c>
      <c r="N63" s="12"/>
      <c r="O63" s="24" t="s">
        <v>193</v>
      </c>
      <c r="P63" s="25" t="s">
        <v>194</v>
      </c>
      <c r="Q63" s="25" t="s">
        <v>194</v>
      </c>
      <c r="R63" s="12"/>
      <c r="S63" s="31" t="str">
        <f>"810,0"</f>
        <v>810,0</v>
      </c>
      <c r="T63" s="12" t="str">
        <f>"481,2210"</f>
        <v>481,2210</v>
      </c>
      <c r="U63" s="11"/>
    </row>
    <row r="64" spans="1:21">
      <c r="A64" s="12" t="s">
        <v>353</v>
      </c>
      <c r="B64" s="11" t="s">
        <v>258</v>
      </c>
      <c r="C64" s="11" t="s">
        <v>259</v>
      </c>
      <c r="D64" s="11" t="s">
        <v>260</v>
      </c>
      <c r="E64" s="11" t="s">
        <v>2690</v>
      </c>
      <c r="F64" s="11" t="s">
        <v>261</v>
      </c>
      <c r="G64" s="24" t="s">
        <v>87</v>
      </c>
      <c r="H64" s="24" t="s">
        <v>130</v>
      </c>
      <c r="I64" s="25" t="s">
        <v>119</v>
      </c>
      <c r="J64" s="12"/>
      <c r="K64" s="24" t="s">
        <v>109</v>
      </c>
      <c r="L64" s="24" t="s">
        <v>60</v>
      </c>
      <c r="M64" s="24" t="s">
        <v>37</v>
      </c>
      <c r="N64" s="12"/>
      <c r="O64" s="25" t="s">
        <v>209</v>
      </c>
      <c r="P64" s="25" t="s">
        <v>171</v>
      </c>
      <c r="Q64" s="24" t="s">
        <v>194</v>
      </c>
      <c r="R64" s="12"/>
      <c r="S64" s="31" t="str">
        <f>"770,0"</f>
        <v>770,0</v>
      </c>
      <c r="T64" s="12" t="str">
        <f>"455,0700"</f>
        <v>455,0700</v>
      </c>
      <c r="U64" s="11" t="s">
        <v>262</v>
      </c>
    </row>
    <row r="65" spans="1:21">
      <c r="A65" s="12" t="s">
        <v>354</v>
      </c>
      <c r="B65" s="11" t="s">
        <v>263</v>
      </c>
      <c r="C65" s="11" t="s">
        <v>264</v>
      </c>
      <c r="D65" s="11" t="s">
        <v>265</v>
      </c>
      <c r="E65" s="11" t="s">
        <v>2690</v>
      </c>
      <c r="F65" s="11" t="s">
        <v>92</v>
      </c>
      <c r="G65" s="24" t="s">
        <v>193</v>
      </c>
      <c r="H65" s="25" t="s">
        <v>172</v>
      </c>
      <c r="I65" s="25" t="s">
        <v>172</v>
      </c>
      <c r="J65" s="12"/>
      <c r="K65" s="24" t="s">
        <v>116</v>
      </c>
      <c r="L65" s="24" t="s">
        <v>118</v>
      </c>
      <c r="M65" s="24" t="s">
        <v>159</v>
      </c>
      <c r="N65" s="12"/>
      <c r="O65" s="24" t="s">
        <v>94</v>
      </c>
      <c r="P65" s="24" t="s">
        <v>126</v>
      </c>
      <c r="Q65" s="24" t="s">
        <v>119</v>
      </c>
      <c r="R65" s="12"/>
      <c r="S65" s="31" t="str">
        <f>"767,5"</f>
        <v>767,5</v>
      </c>
      <c r="T65" s="12" t="str">
        <f>"457,4300"</f>
        <v>457,4300</v>
      </c>
      <c r="U65" s="11" t="s">
        <v>95</v>
      </c>
    </row>
    <row r="66" spans="1:21">
      <c r="A66" s="12" t="s">
        <v>355</v>
      </c>
      <c r="B66" s="11" t="s">
        <v>266</v>
      </c>
      <c r="C66" s="11" t="s">
        <v>267</v>
      </c>
      <c r="D66" s="11" t="s">
        <v>268</v>
      </c>
      <c r="E66" s="11" t="s">
        <v>2690</v>
      </c>
      <c r="F66" s="11" t="s">
        <v>221</v>
      </c>
      <c r="G66" s="25" t="s">
        <v>77</v>
      </c>
      <c r="H66" s="25" t="s">
        <v>77</v>
      </c>
      <c r="I66" s="24" t="s">
        <v>77</v>
      </c>
      <c r="J66" s="12"/>
      <c r="K66" s="25" t="s">
        <v>136</v>
      </c>
      <c r="L66" s="25" t="s">
        <v>59</v>
      </c>
      <c r="M66" s="24" t="s">
        <v>226</v>
      </c>
      <c r="N66" s="12"/>
      <c r="O66" s="24" t="s">
        <v>269</v>
      </c>
      <c r="P66" s="24" t="s">
        <v>33</v>
      </c>
      <c r="Q66" s="24" t="s">
        <v>270</v>
      </c>
      <c r="R66" s="12"/>
      <c r="S66" s="31" t="str">
        <f>"620,0"</f>
        <v>620,0</v>
      </c>
      <c r="T66" s="12" t="str">
        <f>"370,2640"</f>
        <v>370,2640</v>
      </c>
      <c r="U66" s="11" t="s">
        <v>271</v>
      </c>
    </row>
    <row r="67" spans="1:21">
      <c r="A67" s="12" t="s">
        <v>349</v>
      </c>
      <c r="B67" s="11" t="s">
        <v>263</v>
      </c>
      <c r="C67" s="11" t="s">
        <v>272</v>
      </c>
      <c r="D67" s="11" t="s">
        <v>265</v>
      </c>
      <c r="E67" s="11" t="s">
        <v>2693</v>
      </c>
      <c r="F67" s="11" t="s">
        <v>92</v>
      </c>
      <c r="G67" s="24" t="s">
        <v>193</v>
      </c>
      <c r="H67" s="25" t="s">
        <v>172</v>
      </c>
      <c r="I67" s="25" t="s">
        <v>172</v>
      </c>
      <c r="J67" s="12"/>
      <c r="K67" s="24" t="s">
        <v>116</v>
      </c>
      <c r="L67" s="24" t="s">
        <v>118</v>
      </c>
      <c r="M67" s="24" t="s">
        <v>159</v>
      </c>
      <c r="N67" s="12"/>
      <c r="O67" s="24" t="s">
        <v>94</v>
      </c>
      <c r="P67" s="24" t="s">
        <v>126</v>
      </c>
      <c r="Q67" s="24" t="s">
        <v>119</v>
      </c>
      <c r="R67" s="12"/>
      <c r="S67" s="31" t="str">
        <f>"767,5"</f>
        <v>767,5</v>
      </c>
      <c r="T67" s="12" t="str">
        <f>"493,1096"</f>
        <v>493,1096</v>
      </c>
      <c r="U67" s="11" t="s">
        <v>95</v>
      </c>
    </row>
    <row r="68" spans="1:21">
      <c r="A68" s="14" t="s">
        <v>352</v>
      </c>
      <c r="B68" s="13" t="s">
        <v>273</v>
      </c>
      <c r="C68" s="13" t="s">
        <v>274</v>
      </c>
      <c r="D68" s="13" t="s">
        <v>275</v>
      </c>
      <c r="E68" s="13" t="s">
        <v>2693</v>
      </c>
      <c r="F68" s="13" t="s">
        <v>221</v>
      </c>
      <c r="G68" s="27" t="s">
        <v>115</v>
      </c>
      <c r="H68" s="27" t="s">
        <v>115</v>
      </c>
      <c r="I68" s="27" t="s">
        <v>115</v>
      </c>
      <c r="J68" s="14"/>
      <c r="K68" s="27"/>
      <c r="L68" s="14"/>
      <c r="M68" s="14"/>
      <c r="N68" s="14"/>
      <c r="O68" s="27"/>
      <c r="P68" s="14"/>
      <c r="Q68" s="14"/>
      <c r="R68" s="14"/>
      <c r="S68" s="30">
        <v>0</v>
      </c>
      <c r="T68" s="14" t="str">
        <f>"0,0000"</f>
        <v>0,0000</v>
      </c>
      <c r="U68" s="13"/>
    </row>
    <row r="69" spans="1:21">
      <c r="B69" s="5" t="s">
        <v>350</v>
      </c>
    </row>
    <row r="70" spans="1:21" ht="16">
      <c r="A70" s="82" t="s">
        <v>276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</row>
    <row r="71" spans="1:21">
      <c r="A71" s="10" t="s">
        <v>349</v>
      </c>
      <c r="B71" s="9" t="s">
        <v>277</v>
      </c>
      <c r="C71" s="9" t="s">
        <v>278</v>
      </c>
      <c r="D71" s="9" t="s">
        <v>279</v>
      </c>
      <c r="E71" s="9" t="s">
        <v>2690</v>
      </c>
      <c r="F71" s="9" t="s">
        <v>221</v>
      </c>
      <c r="G71" s="23" t="s">
        <v>196</v>
      </c>
      <c r="H71" s="22" t="s">
        <v>196</v>
      </c>
      <c r="I71" s="23" t="s">
        <v>253</v>
      </c>
      <c r="J71" s="10"/>
      <c r="K71" s="22" t="s">
        <v>117</v>
      </c>
      <c r="L71" s="22" t="s">
        <v>37</v>
      </c>
      <c r="M71" s="22" t="s">
        <v>160</v>
      </c>
      <c r="N71" s="10"/>
      <c r="O71" s="22" t="s">
        <v>211</v>
      </c>
      <c r="P71" s="22" t="s">
        <v>196</v>
      </c>
      <c r="Q71" s="22" t="s">
        <v>197</v>
      </c>
      <c r="R71" s="10"/>
      <c r="S71" s="29" t="str">
        <f>"867,5"</f>
        <v>867,5</v>
      </c>
      <c r="T71" s="10" t="str">
        <f>"495,1690"</f>
        <v>495,1690</v>
      </c>
      <c r="U71" s="9" t="s">
        <v>222</v>
      </c>
    </row>
    <row r="72" spans="1:21">
      <c r="A72" s="12" t="s">
        <v>351</v>
      </c>
      <c r="B72" s="11" t="s">
        <v>280</v>
      </c>
      <c r="C72" s="11" t="s">
        <v>281</v>
      </c>
      <c r="D72" s="11" t="s">
        <v>282</v>
      </c>
      <c r="E72" s="9" t="s">
        <v>2690</v>
      </c>
      <c r="F72" s="11" t="s">
        <v>283</v>
      </c>
      <c r="G72" s="24" t="s">
        <v>126</v>
      </c>
      <c r="H72" s="24" t="s">
        <v>120</v>
      </c>
      <c r="I72" s="24" t="s">
        <v>193</v>
      </c>
      <c r="J72" s="12"/>
      <c r="K72" s="24" t="s">
        <v>118</v>
      </c>
      <c r="L72" s="24" t="s">
        <v>284</v>
      </c>
      <c r="M72" s="24" t="s">
        <v>38</v>
      </c>
      <c r="N72" s="12"/>
      <c r="O72" s="24" t="s">
        <v>115</v>
      </c>
      <c r="P72" s="24" t="s">
        <v>209</v>
      </c>
      <c r="Q72" s="24" t="s">
        <v>193</v>
      </c>
      <c r="R72" s="12"/>
      <c r="S72" s="31" t="str">
        <f>"800,0"</f>
        <v>800,0</v>
      </c>
      <c r="T72" s="12" t="str">
        <f>"458,4800"</f>
        <v>458,4800</v>
      </c>
      <c r="U72" s="11" t="s">
        <v>2608</v>
      </c>
    </row>
    <row r="73" spans="1:21">
      <c r="A73" s="12" t="s">
        <v>353</v>
      </c>
      <c r="B73" s="11" t="s">
        <v>285</v>
      </c>
      <c r="C73" s="11" t="s">
        <v>286</v>
      </c>
      <c r="D73" s="11" t="s">
        <v>287</v>
      </c>
      <c r="E73" s="9" t="s">
        <v>2690</v>
      </c>
      <c r="F73" s="11" t="s">
        <v>221</v>
      </c>
      <c r="G73" s="25" t="s">
        <v>100</v>
      </c>
      <c r="H73" s="24" t="s">
        <v>129</v>
      </c>
      <c r="I73" s="24" t="s">
        <v>126</v>
      </c>
      <c r="J73" s="12"/>
      <c r="K73" s="24" t="s">
        <v>37</v>
      </c>
      <c r="L73" s="24" t="s">
        <v>31</v>
      </c>
      <c r="M73" s="24" t="s">
        <v>195</v>
      </c>
      <c r="N73" s="12"/>
      <c r="O73" s="24" t="s">
        <v>119</v>
      </c>
      <c r="P73" s="24" t="s">
        <v>209</v>
      </c>
      <c r="Q73" s="24" t="s">
        <v>193</v>
      </c>
      <c r="R73" s="12"/>
      <c r="S73" s="31" t="str">
        <f>"777,5"</f>
        <v>777,5</v>
      </c>
      <c r="T73" s="12" t="str">
        <f>"447,1403"</f>
        <v>447,1403</v>
      </c>
      <c r="U73" s="11"/>
    </row>
    <row r="74" spans="1:21">
      <c r="A74" s="12" t="s">
        <v>354</v>
      </c>
      <c r="B74" s="11" t="s">
        <v>288</v>
      </c>
      <c r="C74" s="11" t="s">
        <v>289</v>
      </c>
      <c r="D74" s="11" t="s">
        <v>290</v>
      </c>
      <c r="E74" s="9" t="s">
        <v>2690</v>
      </c>
      <c r="F74" s="11" t="s">
        <v>291</v>
      </c>
      <c r="G74" s="24" t="s">
        <v>120</v>
      </c>
      <c r="H74" s="25" t="s">
        <v>292</v>
      </c>
      <c r="I74" s="24" t="s">
        <v>292</v>
      </c>
      <c r="J74" s="12"/>
      <c r="K74" s="24" t="s">
        <v>166</v>
      </c>
      <c r="L74" s="24" t="s">
        <v>109</v>
      </c>
      <c r="M74" s="25" t="s">
        <v>60</v>
      </c>
      <c r="N74" s="12"/>
      <c r="O74" s="24" t="s">
        <v>86</v>
      </c>
      <c r="P74" s="24" t="s">
        <v>130</v>
      </c>
      <c r="Q74" s="24" t="s">
        <v>119</v>
      </c>
      <c r="R74" s="12"/>
      <c r="S74" s="31" t="str">
        <f>"740,0"</f>
        <v>740,0</v>
      </c>
      <c r="T74" s="12" t="str">
        <f>"426,6840"</f>
        <v>426,6840</v>
      </c>
      <c r="U74" s="11"/>
    </row>
    <row r="75" spans="1:21">
      <c r="A75" s="12" t="s">
        <v>349</v>
      </c>
      <c r="B75" s="11" t="s">
        <v>280</v>
      </c>
      <c r="C75" s="11" t="s">
        <v>293</v>
      </c>
      <c r="D75" s="11" t="s">
        <v>282</v>
      </c>
      <c r="E75" s="11" t="s">
        <v>2693</v>
      </c>
      <c r="F75" s="11" t="s">
        <v>283</v>
      </c>
      <c r="G75" s="24" t="s">
        <v>126</v>
      </c>
      <c r="H75" s="24" t="s">
        <v>120</v>
      </c>
      <c r="I75" s="24" t="s">
        <v>193</v>
      </c>
      <c r="J75" s="12"/>
      <c r="K75" s="24" t="s">
        <v>118</v>
      </c>
      <c r="L75" s="24" t="s">
        <v>284</v>
      </c>
      <c r="M75" s="24" t="s">
        <v>38</v>
      </c>
      <c r="N75" s="12"/>
      <c r="O75" s="24" t="s">
        <v>115</v>
      </c>
      <c r="P75" s="24" t="s">
        <v>209</v>
      </c>
      <c r="Q75" s="24" t="s">
        <v>193</v>
      </c>
      <c r="R75" s="12"/>
      <c r="S75" s="31" t="str">
        <f>"800,0"</f>
        <v>800,0</v>
      </c>
      <c r="T75" s="12" t="str">
        <f>"464,8987"</f>
        <v>464,8987</v>
      </c>
      <c r="U75" s="11" t="s">
        <v>2608</v>
      </c>
    </row>
    <row r="76" spans="1:21">
      <c r="A76" s="14" t="s">
        <v>349</v>
      </c>
      <c r="B76" s="13" t="s">
        <v>294</v>
      </c>
      <c r="C76" s="13" t="s">
        <v>295</v>
      </c>
      <c r="D76" s="13" t="s">
        <v>296</v>
      </c>
      <c r="E76" s="13" t="s">
        <v>2695</v>
      </c>
      <c r="F76" s="13" t="s">
        <v>297</v>
      </c>
      <c r="G76" s="26" t="s">
        <v>38</v>
      </c>
      <c r="H76" s="26" t="s">
        <v>32</v>
      </c>
      <c r="I76" s="26" t="s">
        <v>33</v>
      </c>
      <c r="J76" s="14"/>
      <c r="K76" s="26" t="s">
        <v>83</v>
      </c>
      <c r="L76" s="26" t="s">
        <v>50</v>
      </c>
      <c r="M76" s="26" t="s">
        <v>84</v>
      </c>
      <c r="N76" s="14"/>
      <c r="O76" s="26" t="s">
        <v>38</v>
      </c>
      <c r="P76" s="26" t="s">
        <v>32</v>
      </c>
      <c r="Q76" s="26" t="s">
        <v>33</v>
      </c>
      <c r="R76" s="14"/>
      <c r="S76" s="30" t="str">
        <f>"575,0"</f>
        <v>575,0</v>
      </c>
      <c r="T76" s="14" t="str">
        <f>"397,5026"</f>
        <v>397,5026</v>
      </c>
      <c r="U76" s="13" t="s">
        <v>1175</v>
      </c>
    </row>
    <row r="77" spans="1:21">
      <c r="B77" s="5" t="s">
        <v>350</v>
      </c>
    </row>
    <row r="78" spans="1:21" ht="16">
      <c r="A78" s="82" t="s">
        <v>299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</row>
    <row r="79" spans="1:21">
      <c r="A79" s="10" t="s">
        <v>349</v>
      </c>
      <c r="B79" s="9" t="s">
        <v>300</v>
      </c>
      <c r="C79" s="9" t="s">
        <v>301</v>
      </c>
      <c r="D79" s="9" t="s">
        <v>302</v>
      </c>
      <c r="E79" s="9" t="s">
        <v>2690</v>
      </c>
      <c r="F79" s="9" t="s">
        <v>92</v>
      </c>
      <c r="G79" s="22" t="s">
        <v>197</v>
      </c>
      <c r="H79" s="22" t="s">
        <v>303</v>
      </c>
      <c r="I79" s="23" t="s">
        <v>254</v>
      </c>
      <c r="J79" s="10"/>
      <c r="K79" s="22" t="s">
        <v>38</v>
      </c>
      <c r="L79" s="23" t="s">
        <v>77</v>
      </c>
      <c r="M79" s="23" t="s">
        <v>77</v>
      </c>
      <c r="N79" s="10"/>
      <c r="O79" s="22" t="s">
        <v>120</v>
      </c>
      <c r="P79" s="23" t="s">
        <v>193</v>
      </c>
      <c r="Q79" s="22" t="s">
        <v>304</v>
      </c>
      <c r="R79" s="10"/>
      <c r="S79" s="29" t="str">
        <f>"862,5"</f>
        <v>862,5</v>
      </c>
      <c r="T79" s="10" t="str">
        <f>"491,4525"</f>
        <v>491,4525</v>
      </c>
      <c r="U79" s="9" t="s">
        <v>95</v>
      </c>
    </row>
    <row r="80" spans="1:21">
      <c r="A80" s="14" t="s">
        <v>351</v>
      </c>
      <c r="B80" s="13" t="s">
        <v>305</v>
      </c>
      <c r="C80" s="13" t="s">
        <v>306</v>
      </c>
      <c r="D80" s="13" t="s">
        <v>307</v>
      </c>
      <c r="E80" s="13" t="s">
        <v>2690</v>
      </c>
      <c r="F80" s="13" t="s">
        <v>135</v>
      </c>
      <c r="G80" s="26" t="s">
        <v>193</v>
      </c>
      <c r="H80" s="26" t="s">
        <v>194</v>
      </c>
      <c r="I80" s="27" t="s">
        <v>308</v>
      </c>
      <c r="J80" s="14"/>
      <c r="K80" s="26" t="s">
        <v>77</v>
      </c>
      <c r="L80" s="26" t="s">
        <v>78</v>
      </c>
      <c r="M80" s="27" t="s">
        <v>85</v>
      </c>
      <c r="N80" s="14"/>
      <c r="O80" s="26" t="s">
        <v>129</v>
      </c>
      <c r="P80" s="26" t="s">
        <v>126</v>
      </c>
      <c r="Q80" s="14"/>
      <c r="R80" s="14"/>
      <c r="S80" s="30" t="str">
        <f>"815,0"</f>
        <v>815,0</v>
      </c>
      <c r="T80" s="14" t="str">
        <f>"461,6160"</f>
        <v>461,6160</v>
      </c>
      <c r="U80" s="13" t="s">
        <v>2609</v>
      </c>
    </row>
    <row r="81" spans="1:21">
      <c r="B81" s="5" t="s">
        <v>350</v>
      </c>
    </row>
    <row r="82" spans="1:21" ht="16">
      <c r="A82" s="82" t="s">
        <v>309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</row>
    <row r="83" spans="1:21">
      <c r="A83" s="8" t="s">
        <v>349</v>
      </c>
      <c r="B83" s="7" t="s">
        <v>310</v>
      </c>
      <c r="C83" s="7" t="s">
        <v>311</v>
      </c>
      <c r="D83" s="7" t="s">
        <v>312</v>
      </c>
      <c r="E83" s="7" t="s">
        <v>2690</v>
      </c>
      <c r="F83" s="7" t="s">
        <v>313</v>
      </c>
      <c r="G83" s="20" t="s">
        <v>94</v>
      </c>
      <c r="H83" s="20" t="s">
        <v>115</v>
      </c>
      <c r="I83" s="21" t="s">
        <v>193</v>
      </c>
      <c r="J83" s="8"/>
      <c r="K83" s="20" t="s">
        <v>37</v>
      </c>
      <c r="L83" s="20" t="s">
        <v>314</v>
      </c>
      <c r="M83" s="20" t="s">
        <v>39</v>
      </c>
      <c r="N83" s="8"/>
      <c r="O83" s="20" t="s">
        <v>94</v>
      </c>
      <c r="P83" s="20" t="s">
        <v>119</v>
      </c>
      <c r="Q83" s="21" t="s">
        <v>115</v>
      </c>
      <c r="R83" s="8"/>
      <c r="S83" s="32" t="str">
        <f>"765,0"</f>
        <v>765,0</v>
      </c>
      <c r="T83" s="8" t="str">
        <f>"423,1980"</f>
        <v>423,1980</v>
      </c>
      <c r="U83" s="7" t="s">
        <v>315</v>
      </c>
    </row>
    <row r="84" spans="1:21">
      <c r="B84" s="5" t="s">
        <v>350</v>
      </c>
    </row>
    <row r="85" spans="1:21">
      <c r="B85" s="5" t="s">
        <v>350</v>
      </c>
    </row>
    <row r="86" spans="1:21">
      <c r="B86" s="5" t="s">
        <v>350</v>
      </c>
    </row>
    <row r="87" spans="1:21" ht="18">
      <c r="B87" s="15" t="s">
        <v>316</v>
      </c>
      <c r="C87" s="15"/>
      <c r="F87" s="3"/>
    </row>
    <row r="88" spans="1:21" ht="16">
      <c r="B88" s="16" t="s">
        <v>317</v>
      </c>
      <c r="C88" s="16"/>
      <c r="F88" s="3"/>
    </row>
    <row r="89" spans="1:21" ht="14">
      <c r="B89" s="17"/>
      <c r="C89" s="18" t="s">
        <v>318</v>
      </c>
      <c r="F89" s="3"/>
    </row>
    <row r="90" spans="1:21" ht="14">
      <c r="B90" s="19" t="s">
        <v>319</v>
      </c>
      <c r="C90" s="19" t="s">
        <v>320</v>
      </c>
      <c r="D90" s="19" t="s">
        <v>321</v>
      </c>
      <c r="E90" s="19" t="s">
        <v>322</v>
      </c>
      <c r="F90" s="19" t="s">
        <v>323</v>
      </c>
    </row>
    <row r="91" spans="1:21">
      <c r="B91" s="5" t="s">
        <v>27</v>
      </c>
      <c r="C91" s="5" t="s">
        <v>318</v>
      </c>
      <c r="D91" s="6" t="s">
        <v>324</v>
      </c>
      <c r="E91" s="6" t="s">
        <v>325</v>
      </c>
      <c r="F91" s="6" t="s">
        <v>326</v>
      </c>
    </row>
    <row r="92" spans="1:21">
      <c r="B92" s="5" t="s">
        <v>73</v>
      </c>
      <c r="C92" s="5" t="s">
        <v>318</v>
      </c>
      <c r="D92" s="6" t="s">
        <v>327</v>
      </c>
      <c r="E92" s="6" t="s">
        <v>328</v>
      </c>
      <c r="F92" s="6" t="s">
        <v>329</v>
      </c>
    </row>
    <row r="93" spans="1:21">
      <c r="B93" s="5" t="s">
        <v>56</v>
      </c>
      <c r="C93" s="5" t="s">
        <v>318</v>
      </c>
      <c r="D93" s="6" t="s">
        <v>330</v>
      </c>
      <c r="E93" s="6" t="s">
        <v>331</v>
      </c>
      <c r="F93" s="6" t="s">
        <v>332</v>
      </c>
    </row>
    <row r="95" spans="1:21" ht="16">
      <c r="B95" s="16" t="s">
        <v>336</v>
      </c>
      <c r="C95" s="16"/>
    </row>
    <row r="96" spans="1:21" ht="14">
      <c r="B96" s="17"/>
      <c r="C96" s="18" t="s">
        <v>318</v>
      </c>
    </row>
    <row r="97" spans="2:6" ht="14">
      <c r="B97" s="19" t="s">
        <v>319</v>
      </c>
      <c r="C97" s="19" t="s">
        <v>320</v>
      </c>
      <c r="D97" s="19" t="s">
        <v>321</v>
      </c>
      <c r="E97" s="19" t="s">
        <v>322</v>
      </c>
      <c r="F97" s="19" t="s">
        <v>323</v>
      </c>
    </row>
    <row r="98" spans="2:6">
      <c r="B98" s="5" t="s">
        <v>249</v>
      </c>
      <c r="C98" s="5" t="s">
        <v>318</v>
      </c>
      <c r="D98" s="6" t="s">
        <v>340</v>
      </c>
      <c r="E98" s="6" t="s">
        <v>341</v>
      </c>
      <c r="F98" s="6" t="s">
        <v>342</v>
      </c>
    </row>
    <row r="99" spans="2:6">
      <c r="B99" s="5" t="s">
        <v>189</v>
      </c>
      <c r="C99" s="5" t="s">
        <v>318</v>
      </c>
      <c r="D99" s="6" t="s">
        <v>343</v>
      </c>
      <c r="E99" s="6" t="s">
        <v>344</v>
      </c>
      <c r="F99" s="6" t="s">
        <v>345</v>
      </c>
    </row>
    <row r="100" spans="2:6">
      <c r="B100" s="5" t="s">
        <v>198</v>
      </c>
      <c r="C100" s="5" t="s">
        <v>318</v>
      </c>
      <c r="D100" s="6" t="s">
        <v>343</v>
      </c>
      <c r="E100" s="6" t="s">
        <v>346</v>
      </c>
      <c r="F100" s="6" t="s">
        <v>347</v>
      </c>
    </row>
  </sheetData>
  <mergeCells count="26">
    <mergeCell ref="A70:R70"/>
    <mergeCell ref="A78:R78"/>
    <mergeCell ref="A82:R82"/>
    <mergeCell ref="B3:B4"/>
    <mergeCell ref="A24:R24"/>
    <mergeCell ref="A28:R28"/>
    <mergeCell ref="A37:R37"/>
    <mergeCell ref="A47:R47"/>
    <mergeCell ref="A60:R60"/>
    <mergeCell ref="A5:R5"/>
    <mergeCell ref="A8:R8"/>
    <mergeCell ref="A13:R13"/>
    <mergeCell ref="A18:R18"/>
    <mergeCell ref="A21:R21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6640625" style="5" customWidth="1"/>
    <col min="22" max="16384" width="9.1640625" style="3"/>
  </cols>
  <sheetData>
    <row r="1" spans="1:21" s="2" customFormat="1" ht="29" customHeight="1">
      <c r="A1" s="71" t="s">
        <v>2632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1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65" t="s">
        <v>10</v>
      </c>
      <c r="P3" s="65"/>
      <c r="Q3" s="65"/>
      <c r="R3" s="65"/>
      <c r="S3" s="65" t="s">
        <v>1</v>
      </c>
      <c r="T3" s="65" t="s">
        <v>3</v>
      </c>
      <c r="U3" s="67" t="s">
        <v>2</v>
      </c>
    </row>
    <row r="4" spans="1:21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6"/>
      <c r="T4" s="66"/>
      <c r="U4" s="68"/>
    </row>
    <row r="5" spans="1:21" ht="16">
      <c r="A5" s="69" t="s">
        <v>244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1">
      <c r="A6" s="8" t="s">
        <v>349</v>
      </c>
      <c r="B6" s="7" t="s">
        <v>510</v>
      </c>
      <c r="C6" s="7" t="s">
        <v>511</v>
      </c>
      <c r="D6" s="7" t="s">
        <v>512</v>
      </c>
      <c r="E6" s="7" t="s">
        <v>2690</v>
      </c>
      <c r="F6" s="7" t="s">
        <v>513</v>
      </c>
      <c r="G6" s="20" t="s">
        <v>194</v>
      </c>
      <c r="H6" s="21" t="s">
        <v>196</v>
      </c>
      <c r="I6" s="21" t="s">
        <v>196</v>
      </c>
      <c r="J6" s="8"/>
      <c r="K6" s="20" t="s">
        <v>78</v>
      </c>
      <c r="L6" s="20" t="s">
        <v>100</v>
      </c>
      <c r="M6" s="20" t="s">
        <v>87</v>
      </c>
      <c r="N6" s="8"/>
      <c r="O6" s="21" t="s">
        <v>514</v>
      </c>
      <c r="P6" s="20" t="s">
        <v>514</v>
      </c>
      <c r="Q6" s="21" t="s">
        <v>303</v>
      </c>
      <c r="R6" s="8"/>
      <c r="S6" s="8" t="str">
        <f>"900,0"</f>
        <v>900,0</v>
      </c>
      <c r="T6" s="8" t="str">
        <f>"531,2700"</f>
        <v>531,2700</v>
      </c>
      <c r="U6" s="7" t="s">
        <v>515</v>
      </c>
    </row>
    <row r="7" spans="1:21">
      <c r="B7" s="5" t="s">
        <v>350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33203125" style="5" customWidth="1"/>
    <col min="22" max="16384" width="9.1640625" style="3"/>
  </cols>
  <sheetData>
    <row r="1" spans="1:21" s="2" customFormat="1" ht="29" customHeight="1">
      <c r="A1" s="71" t="s">
        <v>2633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1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65" t="s">
        <v>10</v>
      </c>
      <c r="P3" s="65"/>
      <c r="Q3" s="65"/>
      <c r="R3" s="65"/>
      <c r="S3" s="65" t="s">
        <v>1</v>
      </c>
      <c r="T3" s="65" t="s">
        <v>3</v>
      </c>
      <c r="U3" s="67" t="s">
        <v>2</v>
      </c>
    </row>
    <row r="4" spans="1:21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6"/>
      <c r="T4" s="66"/>
      <c r="U4" s="68"/>
    </row>
    <row r="5" spans="1:21" ht="16">
      <c r="A5" s="69" t="s">
        <v>183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1">
      <c r="A6" s="10" t="s">
        <v>349</v>
      </c>
      <c r="B6" s="9" t="s">
        <v>1110</v>
      </c>
      <c r="C6" s="9" t="s">
        <v>1111</v>
      </c>
      <c r="D6" s="9" t="s">
        <v>1112</v>
      </c>
      <c r="E6" s="9" t="s">
        <v>2690</v>
      </c>
      <c r="F6" s="9" t="s">
        <v>252</v>
      </c>
      <c r="G6" s="23" t="s">
        <v>78</v>
      </c>
      <c r="H6" s="22" t="s">
        <v>78</v>
      </c>
      <c r="I6" s="23" t="s">
        <v>87</v>
      </c>
      <c r="J6" s="10"/>
      <c r="K6" s="22" t="s">
        <v>109</v>
      </c>
      <c r="L6" s="22" t="s">
        <v>60</v>
      </c>
      <c r="M6" s="22" t="s">
        <v>37</v>
      </c>
      <c r="N6" s="10"/>
      <c r="O6" s="22" t="s">
        <v>39</v>
      </c>
      <c r="P6" s="22" t="s">
        <v>85</v>
      </c>
      <c r="Q6" s="23" t="s">
        <v>87</v>
      </c>
      <c r="R6" s="10"/>
      <c r="S6" s="10" t="str">
        <f>"655,0"</f>
        <v>655,0</v>
      </c>
      <c r="T6" s="10" t="str">
        <f>"406,8205"</f>
        <v>406,8205</v>
      </c>
      <c r="U6" s="9" t="s">
        <v>1113</v>
      </c>
    </row>
    <row r="7" spans="1:21">
      <c r="A7" s="14" t="s">
        <v>349</v>
      </c>
      <c r="B7" s="13" t="s">
        <v>1110</v>
      </c>
      <c r="C7" s="13" t="s">
        <v>1114</v>
      </c>
      <c r="D7" s="13" t="s">
        <v>1112</v>
      </c>
      <c r="E7" s="13" t="s">
        <v>2693</v>
      </c>
      <c r="F7" s="13" t="s">
        <v>252</v>
      </c>
      <c r="G7" s="27" t="s">
        <v>78</v>
      </c>
      <c r="H7" s="26" t="s">
        <v>78</v>
      </c>
      <c r="I7" s="27" t="s">
        <v>87</v>
      </c>
      <c r="J7" s="14"/>
      <c r="K7" s="26" t="s">
        <v>109</v>
      </c>
      <c r="L7" s="26" t="s">
        <v>60</v>
      </c>
      <c r="M7" s="26" t="s">
        <v>37</v>
      </c>
      <c r="N7" s="14"/>
      <c r="O7" s="26" t="s">
        <v>39</v>
      </c>
      <c r="P7" s="26" t="s">
        <v>85</v>
      </c>
      <c r="Q7" s="27" t="s">
        <v>87</v>
      </c>
      <c r="R7" s="14"/>
      <c r="S7" s="14" t="str">
        <f>"655,0"</f>
        <v>655,0</v>
      </c>
      <c r="T7" s="14" t="str">
        <f>"453,1980"</f>
        <v>453,1980</v>
      </c>
      <c r="U7" s="13" t="s">
        <v>1113</v>
      </c>
    </row>
    <row r="8" spans="1:21">
      <c r="B8" s="5" t="s">
        <v>350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U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.5" style="5" customWidth="1"/>
    <col min="22" max="16384" width="9.1640625" style="3"/>
  </cols>
  <sheetData>
    <row r="1" spans="1:21" s="2" customFormat="1" ht="29" customHeight="1">
      <c r="A1" s="71" t="s">
        <v>2634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1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65" t="s">
        <v>10</v>
      </c>
      <c r="P3" s="65"/>
      <c r="Q3" s="65"/>
      <c r="R3" s="65"/>
      <c r="S3" s="65" t="s">
        <v>1</v>
      </c>
      <c r="T3" s="65" t="s">
        <v>3</v>
      </c>
      <c r="U3" s="67" t="s">
        <v>2</v>
      </c>
    </row>
    <row r="4" spans="1:21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6"/>
      <c r="T4" s="66"/>
      <c r="U4" s="68"/>
    </row>
    <row r="5" spans="1:21" ht="16">
      <c r="A5" s="69" t="s">
        <v>183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1">
      <c r="A6" s="10" t="s">
        <v>349</v>
      </c>
      <c r="B6" s="9" t="s">
        <v>1110</v>
      </c>
      <c r="C6" s="9" t="s">
        <v>1111</v>
      </c>
      <c r="D6" s="9" t="s">
        <v>1112</v>
      </c>
      <c r="E6" s="9" t="s">
        <v>2690</v>
      </c>
      <c r="F6" s="9" t="s">
        <v>252</v>
      </c>
      <c r="G6" s="23" t="s">
        <v>78</v>
      </c>
      <c r="H6" s="22" t="s">
        <v>78</v>
      </c>
      <c r="I6" s="23" t="s">
        <v>87</v>
      </c>
      <c r="J6" s="10"/>
      <c r="K6" s="22" t="s">
        <v>109</v>
      </c>
      <c r="L6" s="22" t="s">
        <v>60</v>
      </c>
      <c r="M6" s="22" t="s">
        <v>37</v>
      </c>
      <c r="N6" s="10"/>
      <c r="O6" s="22" t="s">
        <v>39</v>
      </c>
      <c r="P6" s="22" t="s">
        <v>85</v>
      </c>
      <c r="Q6" s="23" t="s">
        <v>87</v>
      </c>
      <c r="R6" s="10"/>
      <c r="S6" s="10" t="str">
        <f>"655,0"</f>
        <v>655,0</v>
      </c>
      <c r="T6" s="10" t="str">
        <f>"406,8205"</f>
        <v>406,8205</v>
      </c>
      <c r="U6" s="9" t="s">
        <v>1113</v>
      </c>
    </row>
    <row r="7" spans="1:21">
      <c r="A7" s="14" t="s">
        <v>349</v>
      </c>
      <c r="B7" s="13" t="s">
        <v>1110</v>
      </c>
      <c r="C7" s="13" t="s">
        <v>1114</v>
      </c>
      <c r="D7" s="13" t="s">
        <v>1112</v>
      </c>
      <c r="E7" s="13" t="s">
        <v>2693</v>
      </c>
      <c r="F7" s="13" t="s">
        <v>252</v>
      </c>
      <c r="G7" s="27" t="s">
        <v>78</v>
      </c>
      <c r="H7" s="26" t="s">
        <v>78</v>
      </c>
      <c r="I7" s="27" t="s">
        <v>87</v>
      </c>
      <c r="J7" s="14"/>
      <c r="K7" s="26" t="s">
        <v>109</v>
      </c>
      <c r="L7" s="26" t="s">
        <v>60</v>
      </c>
      <c r="M7" s="26" t="s">
        <v>37</v>
      </c>
      <c r="N7" s="14"/>
      <c r="O7" s="26" t="s">
        <v>39</v>
      </c>
      <c r="P7" s="26" t="s">
        <v>85</v>
      </c>
      <c r="Q7" s="27" t="s">
        <v>87</v>
      </c>
      <c r="R7" s="14"/>
      <c r="S7" s="14" t="str">
        <f>"655,0"</f>
        <v>655,0</v>
      </c>
      <c r="T7" s="14" t="str">
        <f>"453,1980"</f>
        <v>453,1980</v>
      </c>
      <c r="U7" s="13" t="s">
        <v>1113</v>
      </c>
    </row>
    <row r="8" spans="1:21">
      <c r="B8" s="5" t="s">
        <v>350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67"/>
  <sheetViews>
    <sheetView workbookViewId="0">
      <selection activeCell="E58" sqref="E58"/>
    </sheetView>
  </sheetViews>
  <sheetFormatPr baseColWidth="10" defaultColWidth="9.1640625" defaultRowHeight="13"/>
  <cols>
    <col min="1" max="1" width="7.5" style="5" bestFit="1" customWidth="1"/>
    <col min="2" max="2" width="22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28" bestFit="1" customWidth="1"/>
    <col min="16" max="16" width="8.5" style="6" bestFit="1" customWidth="1"/>
    <col min="17" max="17" width="22.5" style="5" customWidth="1"/>
    <col min="18" max="16384" width="9.1640625" style="3"/>
  </cols>
  <sheetData>
    <row r="1" spans="1:17" s="2" customFormat="1" ht="29" customHeight="1">
      <c r="A1" s="71" t="s">
        <v>2635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</row>
    <row r="2" spans="1:17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65" t="s">
        <v>10</v>
      </c>
      <c r="L3" s="65"/>
      <c r="M3" s="65"/>
      <c r="N3" s="65"/>
      <c r="O3" s="83" t="s">
        <v>1</v>
      </c>
      <c r="P3" s="65" t="s">
        <v>3</v>
      </c>
      <c r="Q3" s="67" t="s">
        <v>2</v>
      </c>
    </row>
    <row r="4" spans="1:17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84"/>
      <c r="P4" s="66"/>
      <c r="Q4" s="68"/>
    </row>
    <row r="5" spans="1:17" ht="16">
      <c r="A5" s="69" t="s">
        <v>774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7">
      <c r="A6" s="8" t="s">
        <v>349</v>
      </c>
      <c r="B6" s="7" t="s">
        <v>780</v>
      </c>
      <c r="C6" s="7" t="s">
        <v>781</v>
      </c>
      <c r="D6" s="7" t="s">
        <v>782</v>
      </c>
      <c r="E6" s="7" t="s">
        <v>2689</v>
      </c>
      <c r="F6" s="7" t="s">
        <v>783</v>
      </c>
      <c r="G6" s="20" t="s">
        <v>20</v>
      </c>
      <c r="H6" s="20" t="s">
        <v>21</v>
      </c>
      <c r="I6" s="21" t="s">
        <v>779</v>
      </c>
      <c r="J6" s="8"/>
      <c r="K6" s="20" t="s">
        <v>398</v>
      </c>
      <c r="L6" s="20" t="s">
        <v>61</v>
      </c>
      <c r="M6" s="20" t="s">
        <v>23</v>
      </c>
      <c r="N6" s="8"/>
      <c r="O6" s="32" t="str">
        <f>"117,5"</f>
        <v>117,5</v>
      </c>
      <c r="P6" s="8" t="str">
        <f>"158,7542"</f>
        <v>158,7542</v>
      </c>
      <c r="Q6" s="7" t="s">
        <v>784</v>
      </c>
    </row>
    <row r="7" spans="1:17">
      <c r="B7" s="5" t="s">
        <v>350</v>
      </c>
    </row>
    <row r="8" spans="1:17" ht="16">
      <c r="A8" s="82" t="s">
        <v>11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7">
      <c r="A9" s="8" t="s">
        <v>349</v>
      </c>
      <c r="B9" s="7" t="s">
        <v>2426</v>
      </c>
      <c r="C9" s="7" t="s">
        <v>2427</v>
      </c>
      <c r="D9" s="7" t="s">
        <v>2428</v>
      </c>
      <c r="E9" s="7" t="s">
        <v>2690</v>
      </c>
      <c r="F9" s="7" t="s">
        <v>221</v>
      </c>
      <c r="G9" s="21" t="s">
        <v>17</v>
      </c>
      <c r="H9" s="20" t="s">
        <v>18</v>
      </c>
      <c r="I9" s="20" t="s">
        <v>22</v>
      </c>
      <c r="J9" s="8"/>
      <c r="K9" s="21" t="s">
        <v>67</v>
      </c>
      <c r="L9" s="20" t="s">
        <v>84</v>
      </c>
      <c r="M9" s="21" t="s">
        <v>365</v>
      </c>
      <c r="N9" s="8"/>
      <c r="O9" s="32" t="str">
        <f>"195,0"</f>
        <v>195,0</v>
      </c>
      <c r="P9" s="8" t="str">
        <f>"230,7240"</f>
        <v>230,7240</v>
      </c>
      <c r="Q9" s="7" t="s">
        <v>2429</v>
      </c>
    </row>
    <row r="10" spans="1:17">
      <c r="B10" s="5" t="s">
        <v>350</v>
      </c>
    </row>
    <row r="11" spans="1:17" ht="16">
      <c r="A11" s="82" t="s">
        <v>378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7">
      <c r="A12" s="8" t="s">
        <v>349</v>
      </c>
      <c r="B12" s="7" t="s">
        <v>844</v>
      </c>
      <c r="C12" s="7" t="s">
        <v>845</v>
      </c>
      <c r="D12" s="7" t="s">
        <v>381</v>
      </c>
      <c r="E12" s="7" t="s">
        <v>2690</v>
      </c>
      <c r="F12" s="7" t="s">
        <v>846</v>
      </c>
      <c r="G12" s="20" t="s">
        <v>17</v>
      </c>
      <c r="H12" s="21" t="s">
        <v>18</v>
      </c>
      <c r="I12" s="21" t="s">
        <v>18</v>
      </c>
      <c r="J12" s="8"/>
      <c r="K12" s="20" t="s">
        <v>52</v>
      </c>
      <c r="L12" s="21" t="s">
        <v>136</v>
      </c>
      <c r="M12" s="20" t="s">
        <v>136</v>
      </c>
      <c r="N12" s="8"/>
      <c r="O12" s="32" t="str">
        <f>"217,5"</f>
        <v>217,5</v>
      </c>
      <c r="P12" s="8" t="str">
        <f>"242,4907"</f>
        <v>242,4907</v>
      </c>
      <c r="Q12" s="7" t="s">
        <v>847</v>
      </c>
    </row>
    <row r="13" spans="1:17">
      <c r="B13" s="5" t="s">
        <v>350</v>
      </c>
    </row>
    <row r="14" spans="1:17" ht="16">
      <c r="A14" s="82" t="s">
        <v>26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7">
      <c r="A15" s="8" t="s">
        <v>349</v>
      </c>
      <c r="B15" s="7" t="s">
        <v>870</v>
      </c>
      <c r="C15" s="7" t="s">
        <v>871</v>
      </c>
      <c r="D15" s="7" t="s">
        <v>872</v>
      </c>
      <c r="E15" s="7" t="s">
        <v>2690</v>
      </c>
      <c r="F15" s="7" t="s">
        <v>221</v>
      </c>
      <c r="G15" s="20" t="s">
        <v>188</v>
      </c>
      <c r="H15" s="20" t="s">
        <v>83</v>
      </c>
      <c r="I15" s="20" t="s">
        <v>34</v>
      </c>
      <c r="J15" s="8"/>
      <c r="K15" s="20" t="s">
        <v>70</v>
      </c>
      <c r="L15" s="20" t="s">
        <v>45</v>
      </c>
      <c r="M15" s="20" t="s">
        <v>59</v>
      </c>
      <c r="N15" s="8"/>
      <c r="O15" s="32" t="str">
        <f>"272,5"</f>
        <v>272,5</v>
      </c>
      <c r="P15" s="8" t="str">
        <f>"285,8798"</f>
        <v>285,8798</v>
      </c>
      <c r="Q15" s="7" t="s">
        <v>873</v>
      </c>
    </row>
    <row r="16" spans="1:17">
      <c r="B16" s="5" t="s">
        <v>350</v>
      </c>
    </row>
    <row r="17" spans="1:17" ht="16">
      <c r="A17" s="82" t="s">
        <v>55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7">
      <c r="A18" s="10" t="s">
        <v>349</v>
      </c>
      <c r="B18" s="9" t="s">
        <v>874</v>
      </c>
      <c r="C18" s="9" t="s">
        <v>875</v>
      </c>
      <c r="D18" s="9" t="s">
        <v>876</v>
      </c>
      <c r="E18" s="9" t="s">
        <v>2690</v>
      </c>
      <c r="F18" s="9" t="s">
        <v>877</v>
      </c>
      <c r="G18" s="22" t="s">
        <v>61</v>
      </c>
      <c r="H18" s="22" t="s">
        <v>23</v>
      </c>
      <c r="I18" s="23" t="s">
        <v>62</v>
      </c>
      <c r="J18" s="10"/>
      <c r="K18" s="22" t="s">
        <v>51</v>
      </c>
      <c r="L18" s="22" t="s">
        <v>45</v>
      </c>
      <c r="M18" s="22" t="s">
        <v>46</v>
      </c>
      <c r="N18" s="10"/>
      <c r="O18" s="29" t="str">
        <f>"232,5"</f>
        <v>232,5</v>
      </c>
      <c r="P18" s="10" t="str">
        <f>"229,7332"</f>
        <v>229,7332</v>
      </c>
      <c r="Q18" s="9" t="s">
        <v>878</v>
      </c>
    </row>
    <row r="19" spans="1:17">
      <c r="A19" s="14" t="s">
        <v>349</v>
      </c>
      <c r="B19" s="13" t="s">
        <v>2430</v>
      </c>
      <c r="C19" s="13" t="s">
        <v>2431</v>
      </c>
      <c r="D19" s="13" t="s">
        <v>886</v>
      </c>
      <c r="E19" s="13" t="s">
        <v>2695</v>
      </c>
      <c r="F19" s="13" t="s">
        <v>2432</v>
      </c>
      <c r="G19" s="26" t="s">
        <v>69</v>
      </c>
      <c r="H19" s="26" t="s">
        <v>543</v>
      </c>
      <c r="I19" s="27" t="s">
        <v>409</v>
      </c>
      <c r="J19" s="14"/>
      <c r="K19" s="26" t="s">
        <v>458</v>
      </c>
      <c r="L19" s="26" t="s">
        <v>188</v>
      </c>
      <c r="M19" s="26" t="s">
        <v>66</v>
      </c>
      <c r="N19" s="14"/>
      <c r="O19" s="30" t="str">
        <f>"155,0"</f>
        <v>155,0</v>
      </c>
      <c r="P19" s="14" t="str">
        <f>"193,5175"</f>
        <v>193,5175</v>
      </c>
      <c r="Q19" s="13" t="s">
        <v>2433</v>
      </c>
    </row>
    <row r="20" spans="1:17">
      <c r="B20" s="5" t="s">
        <v>350</v>
      </c>
    </row>
    <row r="21" spans="1:17" ht="16">
      <c r="A21" s="82" t="s">
        <v>359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7">
      <c r="A22" s="8" t="s">
        <v>349</v>
      </c>
      <c r="B22" s="7" t="s">
        <v>2434</v>
      </c>
      <c r="C22" s="7" t="s">
        <v>2435</v>
      </c>
      <c r="D22" s="7" t="s">
        <v>2436</v>
      </c>
      <c r="E22" s="7" t="s">
        <v>2692</v>
      </c>
      <c r="F22" s="7" t="s">
        <v>419</v>
      </c>
      <c r="G22" s="20" t="s">
        <v>2437</v>
      </c>
      <c r="H22" s="20" t="s">
        <v>2438</v>
      </c>
      <c r="I22" s="21" t="s">
        <v>20</v>
      </c>
      <c r="J22" s="8"/>
      <c r="K22" s="20" t="s">
        <v>18</v>
      </c>
      <c r="L22" s="20" t="s">
        <v>22</v>
      </c>
      <c r="M22" s="20" t="s">
        <v>61</v>
      </c>
      <c r="N22" s="8"/>
      <c r="O22" s="32" t="str">
        <f>"105,0"</f>
        <v>105,0</v>
      </c>
      <c r="P22" s="8" t="str">
        <f>"140,2170"</f>
        <v>140,2170</v>
      </c>
      <c r="Q22" s="7" t="s">
        <v>420</v>
      </c>
    </row>
    <row r="23" spans="1:17">
      <c r="B23" s="5" t="s">
        <v>350</v>
      </c>
    </row>
    <row r="24" spans="1:17" ht="16">
      <c r="A24" s="82" t="s">
        <v>26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spans="1:17">
      <c r="A25" s="8" t="s">
        <v>349</v>
      </c>
      <c r="B25" s="7" t="s">
        <v>2439</v>
      </c>
      <c r="C25" s="7" t="s">
        <v>2440</v>
      </c>
      <c r="D25" s="7" t="s">
        <v>911</v>
      </c>
      <c r="E25" s="7" t="s">
        <v>2690</v>
      </c>
      <c r="F25" s="7" t="s">
        <v>104</v>
      </c>
      <c r="G25" s="20" t="s">
        <v>23</v>
      </c>
      <c r="H25" s="20" t="s">
        <v>466</v>
      </c>
      <c r="I25" s="21" t="s">
        <v>188</v>
      </c>
      <c r="J25" s="8"/>
      <c r="K25" s="20" t="s">
        <v>59</v>
      </c>
      <c r="L25" s="20" t="s">
        <v>116</v>
      </c>
      <c r="M25" s="20" t="s">
        <v>60</v>
      </c>
      <c r="N25" s="8"/>
      <c r="O25" s="32" t="str">
        <f>"275,0"</f>
        <v>275,0</v>
      </c>
      <c r="P25" s="8" t="str">
        <f>"214,6100"</f>
        <v>214,6100</v>
      </c>
      <c r="Q25" s="7"/>
    </row>
    <row r="26" spans="1:17">
      <c r="B26" s="5" t="s">
        <v>350</v>
      </c>
    </row>
    <row r="27" spans="1:17" ht="16">
      <c r="A27" s="82" t="s">
        <v>55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1:17">
      <c r="A28" s="10" t="s">
        <v>349</v>
      </c>
      <c r="B28" s="9" t="s">
        <v>2441</v>
      </c>
      <c r="C28" s="9" t="s">
        <v>2442</v>
      </c>
      <c r="D28" s="9" t="s">
        <v>1693</v>
      </c>
      <c r="E28" s="9" t="s">
        <v>2692</v>
      </c>
      <c r="F28" s="9" t="s">
        <v>419</v>
      </c>
      <c r="G28" s="22" t="s">
        <v>24</v>
      </c>
      <c r="H28" s="22" t="s">
        <v>407</v>
      </c>
      <c r="I28" s="22" t="s">
        <v>466</v>
      </c>
      <c r="J28" s="10"/>
      <c r="K28" s="22" t="s">
        <v>166</v>
      </c>
      <c r="L28" s="22" t="s">
        <v>109</v>
      </c>
      <c r="M28" s="22" t="s">
        <v>60</v>
      </c>
      <c r="N28" s="10"/>
      <c r="O28" s="29" t="str">
        <f>"275,0"</f>
        <v>275,0</v>
      </c>
      <c r="P28" s="10" t="str">
        <f>"198,7700"</f>
        <v>198,7700</v>
      </c>
      <c r="Q28" s="9" t="s">
        <v>420</v>
      </c>
    </row>
    <row r="29" spans="1:17">
      <c r="A29" s="12" t="s">
        <v>351</v>
      </c>
      <c r="B29" s="11" t="s">
        <v>2443</v>
      </c>
      <c r="C29" s="11" t="s">
        <v>2444</v>
      </c>
      <c r="D29" s="11" t="s">
        <v>2445</v>
      </c>
      <c r="E29" s="11" t="s">
        <v>2692</v>
      </c>
      <c r="F29" s="11" t="s">
        <v>667</v>
      </c>
      <c r="G29" s="24" t="s">
        <v>466</v>
      </c>
      <c r="H29" s="24" t="s">
        <v>188</v>
      </c>
      <c r="I29" s="25" t="s">
        <v>66</v>
      </c>
      <c r="J29" s="12"/>
      <c r="K29" s="24" t="s">
        <v>52</v>
      </c>
      <c r="L29" s="24" t="s">
        <v>59</v>
      </c>
      <c r="M29" s="24" t="s">
        <v>127</v>
      </c>
      <c r="N29" s="12"/>
      <c r="O29" s="31" t="str">
        <f>"272,5"</f>
        <v>272,5</v>
      </c>
      <c r="P29" s="12" t="str">
        <f>"200,5600"</f>
        <v>200,5600</v>
      </c>
      <c r="Q29" s="11" t="s">
        <v>2446</v>
      </c>
    </row>
    <row r="30" spans="1:17">
      <c r="A30" s="12" t="s">
        <v>352</v>
      </c>
      <c r="B30" s="11" t="s">
        <v>2447</v>
      </c>
      <c r="C30" s="11" t="s">
        <v>2448</v>
      </c>
      <c r="D30" s="11" t="s">
        <v>1697</v>
      </c>
      <c r="E30" s="11" t="s">
        <v>2690</v>
      </c>
      <c r="F30" s="11" t="s">
        <v>221</v>
      </c>
      <c r="G30" s="25" t="s">
        <v>466</v>
      </c>
      <c r="H30" s="25" t="s">
        <v>466</v>
      </c>
      <c r="I30" s="25" t="s">
        <v>466</v>
      </c>
      <c r="J30" s="12"/>
      <c r="K30" s="25"/>
      <c r="L30" s="12"/>
      <c r="M30" s="12"/>
      <c r="N30" s="12"/>
      <c r="O30" s="31">
        <v>0</v>
      </c>
      <c r="P30" s="12" t="str">
        <f>"0,0000"</f>
        <v>0,0000</v>
      </c>
      <c r="Q30" s="11" t="s">
        <v>815</v>
      </c>
    </row>
    <row r="31" spans="1:17">
      <c r="A31" s="14" t="s">
        <v>349</v>
      </c>
      <c r="B31" s="13" t="s">
        <v>943</v>
      </c>
      <c r="C31" s="13" t="s">
        <v>944</v>
      </c>
      <c r="D31" s="13" t="s">
        <v>564</v>
      </c>
      <c r="E31" s="13" t="s">
        <v>2693</v>
      </c>
      <c r="F31" s="13" t="s">
        <v>147</v>
      </c>
      <c r="G31" s="27" t="s">
        <v>83</v>
      </c>
      <c r="H31" s="26" t="s">
        <v>83</v>
      </c>
      <c r="I31" s="27" t="s">
        <v>35</v>
      </c>
      <c r="J31" s="14"/>
      <c r="K31" s="26" t="s">
        <v>109</v>
      </c>
      <c r="L31" s="26" t="s">
        <v>118</v>
      </c>
      <c r="M31" s="27" t="s">
        <v>159</v>
      </c>
      <c r="N31" s="14"/>
      <c r="O31" s="30" t="str">
        <f>"295,0"</f>
        <v>295,0</v>
      </c>
      <c r="P31" s="14" t="str">
        <f>"211,1905"</f>
        <v>211,1905</v>
      </c>
      <c r="Q31" s="13" t="s">
        <v>945</v>
      </c>
    </row>
    <row r="32" spans="1:17">
      <c r="B32" s="5" t="s">
        <v>350</v>
      </c>
    </row>
    <row r="33" spans="1:17" ht="16">
      <c r="A33" s="82" t="s">
        <v>72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1:17">
      <c r="A34" s="10" t="s">
        <v>349</v>
      </c>
      <c r="B34" s="9" t="s">
        <v>2449</v>
      </c>
      <c r="C34" s="9" t="s">
        <v>2450</v>
      </c>
      <c r="D34" s="9" t="s">
        <v>573</v>
      </c>
      <c r="E34" s="9" t="s">
        <v>2690</v>
      </c>
      <c r="F34" s="9" t="s">
        <v>797</v>
      </c>
      <c r="G34" s="22" t="s">
        <v>46</v>
      </c>
      <c r="H34" s="22" t="s">
        <v>136</v>
      </c>
      <c r="I34" s="23" t="s">
        <v>59</v>
      </c>
      <c r="J34" s="10"/>
      <c r="K34" s="22" t="s">
        <v>86</v>
      </c>
      <c r="L34" s="22" t="s">
        <v>129</v>
      </c>
      <c r="M34" s="22" t="s">
        <v>94</v>
      </c>
      <c r="N34" s="10"/>
      <c r="O34" s="29" t="str">
        <f>"417,5"</f>
        <v>417,5</v>
      </c>
      <c r="P34" s="10" t="str">
        <f>"281,1445"</f>
        <v>281,1445</v>
      </c>
      <c r="Q34" s="9"/>
    </row>
    <row r="35" spans="1:17">
      <c r="A35" s="12" t="s">
        <v>351</v>
      </c>
      <c r="B35" s="11" t="s">
        <v>1737</v>
      </c>
      <c r="C35" s="11" t="s">
        <v>1738</v>
      </c>
      <c r="D35" s="11" t="s">
        <v>1138</v>
      </c>
      <c r="E35" s="11" t="s">
        <v>2690</v>
      </c>
      <c r="F35" s="11" t="s">
        <v>363</v>
      </c>
      <c r="G35" s="24" t="s">
        <v>154</v>
      </c>
      <c r="H35" s="24" t="s">
        <v>45</v>
      </c>
      <c r="I35" s="25" t="s">
        <v>414</v>
      </c>
      <c r="J35" s="12"/>
      <c r="K35" s="24" t="s">
        <v>77</v>
      </c>
      <c r="L35" s="24" t="s">
        <v>592</v>
      </c>
      <c r="M35" s="24" t="s">
        <v>85</v>
      </c>
      <c r="N35" s="12"/>
      <c r="O35" s="31" t="str">
        <f>"380,0"</f>
        <v>380,0</v>
      </c>
      <c r="P35" s="12" t="str">
        <f>"259,0080"</f>
        <v>259,0080</v>
      </c>
      <c r="Q35" s="11"/>
    </row>
    <row r="36" spans="1:17">
      <c r="A36" s="14" t="s">
        <v>353</v>
      </c>
      <c r="B36" s="13" t="s">
        <v>2451</v>
      </c>
      <c r="C36" s="13" t="s">
        <v>2452</v>
      </c>
      <c r="D36" s="13" t="s">
        <v>124</v>
      </c>
      <c r="E36" s="13" t="s">
        <v>2690</v>
      </c>
      <c r="F36" s="13" t="s">
        <v>406</v>
      </c>
      <c r="G36" s="26" t="s">
        <v>466</v>
      </c>
      <c r="H36" s="26" t="s">
        <v>364</v>
      </c>
      <c r="I36" s="27" t="s">
        <v>83</v>
      </c>
      <c r="J36" s="14"/>
      <c r="K36" s="26" t="s">
        <v>52</v>
      </c>
      <c r="L36" s="26" t="s">
        <v>109</v>
      </c>
      <c r="M36" s="26" t="s">
        <v>60</v>
      </c>
      <c r="N36" s="14"/>
      <c r="O36" s="30" t="str">
        <f>"282,5"</f>
        <v>282,5</v>
      </c>
      <c r="P36" s="14" t="str">
        <f>"189,2468"</f>
        <v>189,2468</v>
      </c>
      <c r="Q36" s="13" t="s">
        <v>410</v>
      </c>
    </row>
    <row r="37" spans="1:17">
      <c r="B37" s="5" t="s">
        <v>350</v>
      </c>
    </row>
    <row r="38" spans="1:17" ht="16">
      <c r="A38" s="82" t="s">
        <v>143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7">
      <c r="A39" s="10" t="s">
        <v>349</v>
      </c>
      <c r="B39" s="9" t="s">
        <v>1006</v>
      </c>
      <c r="C39" s="9" t="s">
        <v>1007</v>
      </c>
      <c r="D39" s="9" t="s">
        <v>1008</v>
      </c>
      <c r="E39" s="9" t="s">
        <v>2690</v>
      </c>
      <c r="F39" s="9" t="s">
        <v>538</v>
      </c>
      <c r="G39" s="22" t="s">
        <v>51</v>
      </c>
      <c r="H39" s="23" t="s">
        <v>154</v>
      </c>
      <c r="I39" s="23" t="s">
        <v>154</v>
      </c>
      <c r="J39" s="10"/>
      <c r="K39" s="22" t="s">
        <v>100</v>
      </c>
      <c r="L39" s="22" t="s">
        <v>444</v>
      </c>
      <c r="M39" s="23" t="s">
        <v>968</v>
      </c>
      <c r="N39" s="10"/>
      <c r="O39" s="29" t="str">
        <f>"387,5"</f>
        <v>387,5</v>
      </c>
      <c r="P39" s="10" t="str">
        <f>"248,0775"</f>
        <v>248,0775</v>
      </c>
      <c r="Q39" s="9" t="s">
        <v>1009</v>
      </c>
    </row>
    <row r="40" spans="1:17">
      <c r="A40" s="12" t="s">
        <v>351</v>
      </c>
      <c r="B40" s="11" t="s">
        <v>2325</v>
      </c>
      <c r="C40" s="11" t="s">
        <v>2326</v>
      </c>
      <c r="D40" s="11" t="s">
        <v>153</v>
      </c>
      <c r="E40" s="11" t="s">
        <v>2690</v>
      </c>
      <c r="F40" s="11" t="s">
        <v>2327</v>
      </c>
      <c r="G40" s="24" t="s">
        <v>154</v>
      </c>
      <c r="H40" s="24" t="s">
        <v>414</v>
      </c>
      <c r="I40" s="25" t="s">
        <v>46</v>
      </c>
      <c r="J40" s="12"/>
      <c r="K40" s="24" t="s">
        <v>78</v>
      </c>
      <c r="L40" s="25" t="s">
        <v>270</v>
      </c>
      <c r="M40" s="25" t="s">
        <v>270</v>
      </c>
      <c r="N40" s="12"/>
      <c r="O40" s="31" t="str">
        <f>"377,5"</f>
        <v>377,5</v>
      </c>
      <c r="P40" s="12" t="str">
        <f>"242,5060"</f>
        <v>242,5060</v>
      </c>
      <c r="Q40" s="11"/>
    </row>
    <row r="41" spans="1:17">
      <c r="A41" s="12" t="s">
        <v>353</v>
      </c>
      <c r="B41" s="11" t="s">
        <v>448</v>
      </c>
      <c r="C41" s="11" t="s">
        <v>449</v>
      </c>
      <c r="D41" s="11" t="s">
        <v>450</v>
      </c>
      <c r="E41" s="11" t="s">
        <v>2690</v>
      </c>
      <c r="F41" s="11" t="s">
        <v>451</v>
      </c>
      <c r="G41" s="24" t="s">
        <v>35</v>
      </c>
      <c r="H41" s="25" t="s">
        <v>36</v>
      </c>
      <c r="I41" s="25" t="s">
        <v>36</v>
      </c>
      <c r="J41" s="12"/>
      <c r="K41" s="24" t="s">
        <v>32</v>
      </c>
      <c r="L41" s="25" t="s">
        <v>611</v>
      </c>
      <c r="M41" s="25" t="s">
        <v>611</v>
      </c>
      <c r="N41" s="12"/>
      <c r="O41" s="31" t="str">
        <f>"332,5"</f>
        <v>332,5</v>
      </c>
      <c r="P41" s="12" t="str">
        <f>"213,3653"</f>
        <v>213,3653</v>
      </c>
      <c r="Q41" s="11"/>
    </row>
    <row r="42" spans="1:17">
      <c r="A42" s="14" t="s">
        <v>349</v>
      </c>
      <c r="B42" s="13" t="s">
        <v>1026</v>
      </c>
      <c r="C42" s="13" t="s">
        <v>1027</v>
      </c>
      <c r="D42" s="13" t="s">
        <v>1028</v>
      </c>
      <c r="E42" s="13" t="s">
        <v>2693</v>
      </c>
      <c r="F42" s="13" t="s">
        <v>221</v>
      </c>
      <c r="G42" s="26" t="s">
        <v>84</v>
      </c>
      <c r="H42" s="26" t="s">
        <v>70</v>
      </c>
      <c r="I42" s="26" t="s">
        <v>365</v>
      </c>
      <c r="J42" s="14"/>
      <c r="K42" s="26" t="s">
        <v>60</v>
      </c>
      <c r="L42" s="26" t="s">
        <v>37</v>
      </c>
      <c r="M42" s="27" t="s">
        <v>38</v>
      </c>
      <c r="N42" s="14"/>
      <c r="O42" s="30" t="str">
        <f>"322,5"</f>
        <v>322,5</v>
      </c>
      <c r="P42" s="14" t="str">
        <f>"207,5610"</f>
        <v>207,5610</v>
      </c>
      <c r="Q42" s="13"/>
    </row>
    <row r="43" spans="1:17">
      <c r="B43" s="5" t="s">
        <v>350</v>
      </c>
    </row>
    <row r="44" spans="1:17" ht="16">
      <c r="A44" s="82" t="s">
        <v>183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</row>
    <row r="45" spans="1:17">
      <c r="A45" s="10" t="s">
        <v>349</v>
      </c>
      <c r="B45" s="9" t="s">
        <v>1865</v>
      </c>
      <c r="C45" s="9" t="s">
        <v>1866</v>
      </c>
      <c r="D45" s="9" t="s">
        <v>1867</v>
      </c>
      <c r="E45" s="9" t="s">
        <v>2690</v>
      </c>
      <c r="F45" s="9" t="s">
        <v>730</v>
      </c>
      <c r="G45" s="22" t="s">
        <v>47</v>
      </c>
      <c r="H45" s="22" t="s">
        <v>59</v>
      </c>
      <c r="I45" s="22" t="s">
        <v>166</v>
      </c>
      <c r="J45" s="10"/>
      <c r="K45" s="22" t="s">
        <v>85</v>
      </c>
      <c r="L45" s="22" t="s">
        <v>86</v>
      </c>
      <c r="M45" s="23" t="s">
        <v>129</v>
      </c>
      <c r="N45" s="10"/>
      <c r="O45" s="29" t="str">
        <f>"410,0"</f>
        <v>410,0</v>
      </c>
      <c r="P45" s="10" t="str">
        <f>"249,9360"</f>
        <v>249,9360</v>
      </c>
      <c r="Q45" s="9"/>
    </row>
    <row r="46" spans="1:17">
      <c r="A46" s="12" t="s">
        <v>351</v>
      </c>
      <c r="B46" s="11" t="s">
        <v>1891</v>
      </c>
      <c r="C46" s="11" t="s">
        <v>2351</v>
      </c>
      <c r="D46" s="11" t="s">
        <v>1893</v>
      </c>
      <c r="E46" s="11" t="s">
        <v>2690</v>
      </c>
      <c r="F46" s="11" t="s">
        <v>641</v>
      </c>
      <c r="G46" s="24" t="s">
        <v>51</v>
      </c>
      <c r="H46" s="24" t="s">
        <v>154</v>
      </c>
      <c r="I46" s="24" t="s">
        <v>45</v>
      </c>
      <c r="J46" s="12"/>
      <c r="K46" s="24" t="s">
        <v>32</v>
      </c>
      <c r="L46" s="24" t="s">
        <v>78</v>
      </c>
      <c r="M46" s="24" t="s">
        <v>85</v>
      </c>
      <c r="N46" s="12"/>
      <c r="O46" s="31" t="str">
        <f>"380,0"</f>
        <v>380,0</v>
      </c>
      <c r="P46" s="12" t="str">
        <f>"237,3860"</f>
        <v>237,3860</v>
      </c>
      <c r="Q46" s="11"/>
    </row>
    <row r="47" spans="1:17">
      <c r="A47" s="12" t="s">
        <v>353</v>
      </c>
      <c r="B47" s="11" t="s">
        <v>473</v>
      </c>
      <c r="C47" s="11" t="s">
        <v>474</v>
      </c>
      <c r="D47" s="11" t="s">
        <v>232</v>
      </c>
      <c r="E47" s="11" t="s">
        <v>2690</v>
      </c>
      <c r="F47" s="11" t="s">
        <v>135</v>
      </c>
      <c r="G47" s="24" t="s">
        <v>154</v>
      </c>
      <c r="H47" s="25" t="s">
        <v>45</v>
      </c>
      <c r="I47" s="25" t="s">
        <v>45</v>
      </c>
      <c r="J47" s="12"/>
      <c r="K47" s="24" t="s">
        <v>77</v>
      </c>
      <c r="L47" s="25" t="s">
        <v>475</v>
      </c>
      <c r="M47" s="25" t="s">
        <v>475</v>
      </c>
      <c r="N47" s="12"/>
      <c r="O47" s="31" t="str">
        <f>"360,0"</f>
        <v>360,0</v>
      </c>
      <c r="P47" s="12" t="str">
        <f>"220,4280"</f>
        <v>220,4280</v>
      </c>
      <c r="Q47" s="11"/>
    </row>
    <row r="48" spans="1:17">
      <c r="A48" s="12" t="s">
        <v>349</v>
      </c>
      <c r="B48" s="11" t="s">
        <v>1865</v>
      </c>
      <c r="C48" s="11" t="s">
        <v>1877</v>
      </c>
      <c r="D48" s="11" t="s">
        <v>1867</v>
      </c>
      <c r="E48" s="11" t="s">
        <v>2693</v>
      </c>
      <c r="F48" s="11" t="s">
        <v>730</v>
      </c>
      <c r="G48" s="24" t="s">
        <v>47</v>
      </c>
      <c r="H48" s="24" t="s">
        <v>59</v>
      </c>
      <c r="I48" s="24" t="s">
        <v>166</v>
      </c>
      <c r="J48" s="12"/>
      <c r="K48" s="24" t="s">
        <v>85</v>
      </c>
      <c r="L48" s="24" t="s">
        <v>86</v>
      </c>
      <c r="M48" s="25" t="s">
        <v>129</v>
      </c>
      <c r="N48" s="12"/>
      <c r="O48" s="31" t="str">
        <f>"410,0"</f>
        <v>410,0</v>
      </c>
      <c r="P48" s="12" t="str">
        <f>"269,4310"</f>
        <v>269,4310</v>
      </c>
      <c r="Q48" s="11"/>
    </row>
    <row r="49" spans="1:17">
      <c r="A49" s="12" t="s">
        <v>351</v>
      </c>
      <c r="B49" s="11" t="s">
        <v>2453</v>
      </c>
      <c r="C49" s="11" t="s">
        <v>2454</v>
      </c>
      <c r="D49" s="11" t="s">
        <v>200</v>
      </c>
      <c r="E49" s="11" t="s">
        <v>2693</v>
      </c>
      <c r="F49" s="11" t="s">
        <v>2455</v>
      </c>
      <c r="G49" s="25" t="s">
        <v>154</v>
      </c>
      <c r="H49" s="24" t="s">
        <v>154</v>
      </c>
      <c r="I49" s="24" t="s">
        <v>45</v>
      </c>
      <c r="J49" s="12"/>
      <c r="K49" s="24" t="s">
        <v>284</v>
      </c>
      <c r="L49" s="24" t="s">
        <v>195</v>
      </c>
      <c r="M49" s="24" t="s">
        <v>32</v>
      </c>
      <c r="N49" s="12"/>
      <c r="O49" s="31" t="str">
        <f>"360,0"</f>
        <v>360,0</v>
      </c>
      <c r="P49" s="12" t="str">
        <f>"234,2642"</f>
        <v>234,2642</v>
      </c>
      <c r="Q49" s="11"/>
    </row>
    <row r="50" spans="1:17">
      <c r="A50" s="12" t="s">
        <v>349</v>
      </c>
      <c r="B50" s="11" t="s">
        <v>1891</v>
      </c>
      <c r="C50" s="11" t="s">
        <v>1892</v>
      </c>
      <c r="D50" s="11" t="s">
        <v>1893</v>
      </c>
      <c r="E50" s="11" t="s">
        <v>2695</v>
      </c>
      <c r="F50" s="11" t="s">
        <v>641</v>
      </c>
      <c r="G50" s="24" t="s">
        <v>51</v>
      </c>
      <c r="H50" s="24" t="s">
        <v>154</v>
      </c>
      <c r="I50" s="24" t="s">
        <v>45</v>
      </c>
      <c r="J50" s="12"/>
      <c r="K50" s="24" t="s">
        <v>32</v>
      </c>
      <c r="L50" s="24" t="s">
        <v>78</v>
      </c>
      <c r="M50" s="24" t="s">
        <v>85</v>
      </c>
      <c r="N50" s="12"/>
      <c r="O50" s="31" t="str">
        <f>"380,0"</f>
        <v>380,0</v>
      </c>
      <c r="P50" s="12" t="str">
        <f>"296,7325"</f>
        <v>296,7325</v>
      </c>
      <c r="Q50" s="11"/>
    </row>
    <row r="51" spans="1:17">
      <c r="A51" s="14" t="s">
        <v>349</v>
      </c>
      <c r="B51" s="13" t="s">
        <v>1051</v>
      </c>
      <c r="C51" s="13" t="s">
        <v>1052</v>
      </c>
      <c r="D51" s="13" t="s">
        <v>1053</v>
      </c>
      <c r="E51" s="13" t="s">
        <v>2696</v>
      </c>
      <c r="F51" s="13" t="s">
        <v>1054</v>
      </c>
      <c r="G51" s="26" t="s">
        <v>407</v>
      </c>
      <c r="H51" s="26" t="s">
        <v>466</v>
      </c>
      <c r="I51" s="27" t="s">
        <v>627</v>
      </c>
      <c r="J51" s="14"/>
      <c r="K51" s="26" t="s">
        <v>47</v>
      </c>
      <c r="L51" s="26" t="s">
        <v>226</v>
      </c>
      <c r="M51" s="27" t="s">
        <v>148</v>
      </c>
      <c r="N51" s="14"/>
      <c r="O51" s="30" t="str">
        <f>"257,5"</f>
        <v>257,5</v>
      </c>
      <c r="P51" s="14" t="str">
        <f>"295,7037"</f>
        <v>295,7037</v>
      </c>
      <c r="Q51" s="13"/>
    </row>
    <row r="52" spans="1:17">
      <c r="B52" s="5" t="s">
        <v>350</v>
      </c>
    </row>
    <row r="53" spans="1:17" ht="16">
      <c r="A53" s="82" t="s">
        <v>244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7">
      <c r="A54" s="8" t="s">
        <v>349</v>
      </c>
      <c r="B54" s="7" t="s">
        <v>1055</v>
      </c>
      <c r="C54" s="7" t="s">
        <v>1056</v>
      </c>
      <c r="D54" s="7" t="s">
        <v>1057</v>
      </c>
      <c r="E54" s="7" t="s">
        <v>2689</v>
      </c>
      <c r="F54" s="7" t="s">
        <v>313</v>
      </c>
      <c r="G54" s="20" t="s">
        <v>154</v>
      </c>
      <c r="H54" s="20" t="s">
        <v>45</v>
      </c>
      <c r="I54" s="20" t="s">
        <v>414</v>
      </c>
      <c r="J54" s="8"/>
      <c r="K54" s="20" t="s">
        <v>38</v>
      </c>
      <c r="L54" s="20" t="s">
        <v>77</v>
      </c>
      <c r="M54" s="8"/>
      <c r="N54" s="8"/>
      <c r="O54" s="32" t="str">
        <f>"367,5"</f>
        <v>367,5</v>
      </c>
      <c r="P54" s="8" t="str">
        <f>"221,9333"</f>
        <v>221,9333</v>
      </c>
      <c r="Q54" s="7" t="s">
        <v>1058</v>
      </c>
    </row>
    <row r="55" spans="1:17">
      <c r="B55" s="5" t="s">
        <v>350</v>
      </c>
    </row>
    <row r="56" spans="1:17" ht="16">
      <c r="A56" s="82" t="s">
        <v>276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</row>
    <row r="57" spans="1:17">
      <c r="A57" s="8" t="s">
        <v>349</v>
      </c>
      <c r="B57" s="7" t="s">
        <v>1935</v>
      </c>
      <c r="C57" s="7" t="s">
        <v>1936</v>
      </c>
      <c r="D57" s="7" t="s">
        <v>1937</v>
      </c>
      <c r="E57" s="7" t="s">
        <v>2690</v>
      </c>
      <c r="F57" s="7" t="s">
        <v>1938</v>
      </c>
      <c r="G57" s="20" t="s">
        <v>314</v>
      </c>
      <c r="H57" s="20" t="s">
        <v>269</v>
      </c>
      <c r="I57" s="20" t="s">
        <v>696</v>
      </c>
      <c r="J57" s="8"/>
      <c r="K57" s="20" t="s">
        <v>120</v>
      </c>
      <c r="L57" s="20" t="s">
        <v>171</v>
      </c>
      <c r="M57" s="20" t="s">
        <v>194</v>
      </c>
      <c r="N57" s="8"/>
      <c r="O57" s="32" t="str">
        <f>"532,5"</f>
        <v>532,5</v>
      </c>
      <c r="P57" s="8" t="str">
        <f>"303,4185"</f>
        <v>303,4185</v>
      </c>
      <c r="Q57" s="7"/>
    </row>
    <row r="58" spans="1:17">
      <c r="B58" s="5" t="s">
        <v>350</v>
      </c>
    </row>
    <row r="59" spans="1:17">
      <c r="B59" s="5" t="s">
        <v>350</v>
      </c>
    </row>
    <row r="60" spans="1:17">
      <c r="B60" s="5" t="s">
        <v>350</v>
      </c>
    </row>
    <row r="61" spans="1:17" ht="18">
      <c r="B61" s="15" t="s">
        <v>316</v>
      </c>
      <c r="C61" s="15"/>
      <c r="F61" s="3"/>
    </row>
    <row r="62" spans="1:17" ht="16">
      <c r="B62" s="16" t="s">
        <v>336</v>
      </c>
      <c r="C62" s="16"/>
      <c r="F62" s="3"/>
    </row>
    <row r="63" spans="1:17" ht="14">
      <c r="B63" s="17"/>
      <c r="C63" s="18" t="s">
        <v>318</v>
      </c>
      <c r="F63" s="3"/>
    </row>
    <row r="64" spans="1:17" ht="14">
      <c r="B64" s="19" t="s">
        <v>319</v>
      </c>
      <c r="C64" s="19" t="s">
        <v>320</v>
      </c>
      <c r="D64" s="19" t="s">
        <v>2593</v>
      </c>
      <c r="E64" s="19" t="s">
        <v>322</v>
      </c>
      <c r="F64" s="19" t="s">
        <v>323</v>
      </c>
    </row>
    <row r="65" spans="2:6">
      <c r="B65" s="5" t="s">
        <v>1935</v>
      </c>
      <c r="C65" s="5" t="s">
        <v>318</v>
      </c>
      <c r="D65" s="6" t="s">
        <v>348</v>
      </c>
      <c r="E65" s="6" t="s">
        <v>2456</v>
      </c>
      <c r="F65" s="6" t="s">
        <v>2457</v>
      </c>
    </row>
    <row r="66" spans="2:6">
      <c r="B66" s="5" t="s">
        <v>2449</v>
      </c>
      <c r="C66" s="5" t="s">
        <v>318</v>
      </c>
      <c r="D66" s="6" t="s">
        <v>327</v>
      </c>
      <c r="E66" s="6" t="s">
        <v>2458</v>
      </c>
      <c r="F66" s="6" t="s">
        <v>2459</v>
      </c>
    </row>
    <row r="67" spans="2:6">
      <c r="B67" s="5" t="s">
        <v>1737</v>
      </c>
      <c r="C67" s="5" t="s">
        <v>318</v>
      </c>
      <c r="D67" s="6" t="s">
        <v>327</v>
      </c>
      <c r="E67" s="6" t="s">
        <v>1082</v>
      </c>
      <c r="F67" s="6" t="s">
        <v>2460</v>
      </c>
    </row>
  </sheetData>
  <mergeCells count="25">
    <mergeCell ref="A5:N5"/>
    <mergeCell ref="B3:B4"/>
    <mergeCell ref="A56:N56"/>
    <mergeCell ref="A8:N8"/>
    <mergeCell ref="A11:N11"/>
    <mergeCell ref="A14:N14"/>
    <mergeCell ref="A17:N17"/>
    <mergeCell ref="A21:N21"/>
    <mergeCell ref="A24:N24"/>
    <mergeCell ref="A27:N27"/>
    <mergeCell ref="A33:N33"/>
    <mergeCell ref="A38:N38"/>
    <mergeCell ref="A44:N44"/>
    <mergeCell ref="A53:N53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65"/>
  <sheetViews>
    <sheetView topLeftCell="A21" workbookViewId="0">
      <selection activeCell="E49" sqref="E49"/>
    </sheetView>
  </sheetViews>
  <sheetFormatPr baseColWidth="10" defaultColWidth="9.1640625" defaultRowHeight="13"/>
  <cols>
    <col min="1" max="1" width="7.5" style="5" bestFit="1" customWidth="1"/>
    <col min="2" max="2" width="27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28" bestFit="1" customWidth="1"/>
    <col min="16" max="16" width="8.5" style="6" bestFit="1" customWidth="1"/>
    <col min="17" max="17" width="22.83203125" style="5" customWidth="1"/>
    <col min="18" max="16384" width="9.1640625" style="3"/>
  </cols>
  <sheetData>
    <row r="1" spans="1:17" s="2" customFormat="1" ht="29" customHeight="1">
      <c r="A1" s="71" t="s">
        <v>2636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</row>
    <row r="2" spans="1:17" s="2" customFormat="1" ht="62" customHeight="1" thickBo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s="1" customFormat="1" ht="12.75" customHeight="1">
      <c r="A3" s="79" t="s">
        <v>2687</v>
      </c>
      <c r="B3" s="85" t="s">
        <v>0</v>
      </c>
      <c r="C3" s="81" t="s">
        <v>2697</v>
      </c>
      <c r="D3" s="81" t="s">
        <v>6</v>
      </c>
      <c r="E3" s="65" t="s">
        <v>2688</v>
      </c>
      <c r="F3" s="65" t="s">
        <v>7</v>
      </c>
      <c r="G3" s="65" t="s">
        <v>9</v>
      </c>
      <c r="H3" s="65"/>
      <c r="I3" s="65"/>
      <c r="J3" s="65"/>
      <c r="K3" s="65" t="s">
        <v>10</v>
      </c>
      <c r="L3" s="65"/>
      <c r="M3" s="65"/>
      <c r="N3" s="65"/>
      <c r="O3" s="83" t="s">
        <v>1</v>
      </c>
      <c r="P3" s="65" t="s">
        <v>3</v>
      </c>
      <c r="Q3" s="67" t="s">
        <v>2</v>
      </c>
    </row>
    <row r="4" spans="1:17" s="1" customFormat="1" ht="21" customHeight="1" thickBot="1">
      <c r="A4" s="80"/>
      <c r="B4" s="86"/>
      <c r="C4" s="66"/>
      <c r="D4" s="66"/>
      <c r="E4" s="66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84"/>
      <c r="P4" s="66"/>
      <c r="Q4" s="68"/>
    </row>
    <row r="5" spans="1:17" ht="16">
      <c r="A5" s="69" t="s">
        <v>11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7">
      <c r="A6" s="10" t="s">
        <v>349</v>
      </c>
      <c r="B6" s="9" t="s">
        <v>519</v>
      </c>
      <c r="C6" s="9" t="s">
        <v>520</v>
      </c>
      <c r="D6" s="9" t="s">
        <v>521</v>
      </c>
      <c r="E6" s="9" t="s">
        <v>2690</v>
      </c>
      <c r="F6" s="9" t="s">
        <v>201</v>
      </c>
      <c r="G6" s="22" t="s">
        <v>17</v>
      </c>
      <c r="H6" s="22" t="s">
        <v>18</v>
      </c>
      <c r="I6" s="23" t="s">
        <v>49</v>
      </c>
      <c r="J6" s="10"/>
      <c r="K6" s="22" t="s">
        <v>70</v>
      </c>
      <c r="L6" s="23" t="s">
        <v>376</v>
      </c>
      <c r="M6" s="10"/>
      <c r="N6" s="10"/>
      <c r="O6" s="29" t="str">
        <f>"195,0"</f>
        <v>195,0</v>
      </c>
      <c r="P6" s="10" t="str">
        <f>"231,0555"</f>
        <v>231,0555</v>
      </c>
      <c r="Q6" s="9" t="s">
        <v>522</v>
      </c>
    </row>
    <row r="7" spans="1:17">
      <c r="A7" s="14" t="s">
        <v>351</v>
      </c>
      <c r="B7" s="13" t="s">
        <v>12</v>
      </c>
      <c r="C7" s="13" t="s">
        <v>13</v>
      </c>
      <c r="D7" s="13" t="s">
        <v>14</v>
      </c>
      <c r="E7" s="13" t="s">
        <v>2690</v>
      </c>
      <c r="F7" s="13" t="s">
        <v>15</v>
      </c>
      <c r="G7" s="26" t="s">
        <v>19</v>
      </c>
      <c r="H7" s="26" t="s">
        <v>20</v>
      </c>
      <c r="I7" s="26" t="s">
        <v>21</v>
      </c>
      <c r="J7" s="14"/>
      <c r="K7" s="26" t="s">
        <v>22</v>
      </c>
      <c r="L7" s="26" t="s">
        <v>23</v>
      </c>
      <c r="M7" s="26" t="s">
        <v>24</v>
      </c>
      <c r="N7" s="14"/>
      <c r="O7" s="30" t="str">
        <f>"122,5"</f>
        <v>122,5</v>
      </c>
      <c r="P7" s="14" t="str">
        <f>"146,8163"</f>
        <v>146,8163</v>
      </c>
      <c r="Q7" s="13" t="s">
        <v>25</v>
      </c>
    </row>
    <row r="8" spans="1:17">
      <c r="B8" s="5" t="s">
        <v>350</v>
      </c>
    </row>
    <row r="9" spans="1:17" ht="16">
      <c r="A9" s="82" t="s">
        <v>26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7">
      <c r="A10" s="8" t="s">
        <v>349</v>
      </c>
      <c r="B10" s="7" t="s">
        <v>535</v>
      </c>
      <c r="C10" s="7" t="s">
        <v>536</v>
      </c>
      <c r="D10" s="7" t="s">
        <v>537</v>
      </c>
      <c r="E10" s="7" t="s">
        <v>2690</v>
      </c>
      <c r="F10" s="7" t="s">
        <v>538</v>
      </c>
      <c r="G10" s="20" t="s">
        <v>188</v>
      </c>
      <c r="H10" s="20" t="s">
        <v>66</v>
      </c>
      <c r="I10" s="21" t="s">
        <v>539</v>
      </c>
      <c r="J10" s="8"/>
      <c r="K10" s="20" t="s">
        <v>60</v>
      </c>
      <c r="L10" s="21" t="s">
        <v>37</v>
      </c>
      <c r="M10" s="20" t="s">
        <v>37</v>
      </c>
      <c r="N10" s="8"/>
      <c r="O10" s="32" t="str">
        <f>"295,0"</f>
        <v>295,0</v>
      </c>
      <c r="P10" s="8" t="str">
        <f>"311,9920"</f>
        <v>311,9920</v>
      </c>
      <c r="Q10" s="7" t="s">
        <v>2603</v>
      </c>
    </row>
    <row r="11" spans="1:17">
      <c r="B11" s="5" t="s">
        <v>350</v>
      </c>
    </row>
    <row r="12" spans="1:17" ht="16">
      <c r="A12" s="82" t="s">
        <v>55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7">
      <c r="A13" s="8" t="s">
        <v>349</v>
      </c>
      <c r="B13" s="7" t="s">
        <v>63</v>
      </c>
      <c r="C13" s="7" t="s">
        <v>64</v>
      </c>
      <c r="D13" s="7" t="s">
        <v>65</v>
      </c>
      <c r="E13" s="7" t="s">
        <v>2690</v>
      </c>
      <c r="F13" s="7" t="s">
        <v>15</v>
      </c>
      <c r="G13" s="20" t="s">
        <v>68</v>
      </c>
      <c r="H13" s="21" t="s">
        <v>69</v>
      </c>
      <c r="I13" s="21" t="s">
        <v>69</v>
      </c>
      <c r="J13" s="8"/>
      <c r="K13" s="20" t="s">
        <v>67</v>
      </c>
      <c r="L13" s="20" t="s">
        <v>36</v>
      </c>
      <c r="M13" s="20" t="s">
        <v>70</v>
      </c>
      <c r="N13" s="8"/>
      <c r="O13" s="32" t="str">
        <f>"172,5"</f>
        <v>172,5</v>
      </c>
      <c r="P13" s="8" t="str">
        <f>"166,8420"</f>
        <v>166,8420</v>
      </c>
      <c r="Q13" s="7" t="s">
        <v>25</v>
      </c>
    </row>
    <row r="14" spans="1:17">
      <c r="B14" s="5" t="s">
        <v>350</v>
      </c>
    </row>
    <row r="15" spans="1:17" ht="16">
      <c r="A15" s="82" t="s">
        <v>55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7">
      <c r="A16" s="8" t="s">
        <v>349</v>
      </c>
      <c r="B16" s="7" t="s">
        <v>2392</v>
      </c>
      <c r="C16" s="7" t="s">
        <v>2393</v>
      </c>
      <c r="D16" s="7" t="s">
        <v>939</v>
      </c>
      <c r="E16" s="7" t="s">
        <v>2693</v>
      </c>
      <c r="F16" s="7" t="s">
        <v>147</v>
      </c>
      <c r="G16" s="20" t="s">
        <v>36</v>
      </c>
      <c r="H16" s="20" t="s">
        <v>84</v>
      </c>
      <c r="I16" s="21" t="s">
        <v>70</v>
      </c>
      <c r="J16" s="8"/>
      <c r="K16" s="20" t="s">
        <v>118</v>
      </c>
      <c r="L16" s="20" t="s">
        <v>37</v>
      </c>
      <c r="M16" s="21" t="s">
        <v>284</v>
      </c>
      <c r="N16" s="8"/>
      <c r="O16" s="32" t="str">
        <f>"315,0"</f>
        <v>315,0</v>
      </c>
      <c r="P16" s="8" t="str">
        <f>"255,9888"</f>
        <v>255,9888</v>
      </c>
      <c r="Q16" s="7" t="s">
        <v>2394</v>
      </c>
    </row>
    <row r="17" spans="1:17">
      <c r="B17" s="5" t="s">
        <v>350</v>
      </c>
    </row>
    <row r="18" spans="1:17" ht="16">
      <c r="A18" s="82" t="s">
        <v>72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7">
      <c r="A19" s="10" t="s">
        <v>349</v>
      </c>
      <c r="B19" s="9" t="s">
        <v>105</v>
      </c>
      <c r="C19" s="9" t="s">
        <v>106</v>
      </c>
      <c r="D19" s="9" t="s">
        <v>107</v>
      </c>
      <c r="E19" s="9" t="s">
        <v>2689</v>
      </c>
      <c r="F19" s="9" t="s">
        <v>108</v>
      </c>
      <c r="G19" s="23" t="s">
        <v>109</v>
      </c>
      <c r="H19" s="22" t="s">
        <v>109</v>
      </c>
      <c r="I19" s="10"/>
      <c r="J19" s="10"/>
      <c r="K19" s="22" t="s">
        <v>87</v>
      </c>
      <c r="L19" s="22" t="s">
        <v>94</v>
      </c>
      <c r="M19" s="10"/>
      <c r="N19" s="10"/>
      <c r="O19" s="29" t="str">
        <f>"430,0"</f>
        <v>430,0</v>
      </c>
      <c r="P19" s="10" t="str">
        <f>"291,2820"</f>
        <v>291,2820</v>
      </c>
      <c r="Q19" s="9"/>
    </row>
    <row r="20" spans="1:17">
      <c r="A20" s="12" t="s">
        <v>349</v>
      </c>
      <c r="B20" s="11" t="s">
        <v>571</v>
      </c>
      <c r="C20" s="11" t="s">
        <v>572</v>
      </c>
      <c r="D20" s="11" t="s">
        <v>573</v>
      </c>
      <c r="E20" s="11" t="s">
        <v>2690</v>
      </c>
      <c r="F20" s="11" t="s">
        <v>574</v>
      </c>
      <c r="G20" s="24" t="s">
        <v>37</v>
      </c>
      <c r="H20" s="24" t="s">
        <v>284</v>
      </c>
      <c r="I20" s="25" t="s">
        <v>38</v>
      </c>
      <c r="J20" s="12"/>
      <c r="K20" s="24" t="s">
        <v>87</v>
      </c>
      <c r="L20" s="24" t="s">
        <v>115</v>
      </c>
      <c r="M20" s="12"/>
      <c r="N20" s="12"/>
      <c r="O20" s="31" t="str">
        <f>"475,0"</f>
        <v>475,0</v>
      </c>
      <c r="P20" s="12" t="str">
        <f>"319,8650"</f>
        <v>319,8650</v>
      </c>
      <c r="Q20" s="11" t="s">
        <v>575</v>
      </c>
    </row>
    <row r="21" spans="1:17">
      <c r="A21" s="12" t="s">
        <v>351</v>
      </c>
      <c r="B21" s="11" t="s">
        <v>105</v>
      </c>
      <c r="C21" s="11" t="s">
        <v>142</v>
      </c>
      <c r="D21" s="11" t="s">
        <v>107</v>
      </c>
      <c r="E21" s="11" t="s">
        <v>2690</v>
      </c>
      <c r="F21" s="11" t="s">
        <v>108</v>
      </c>
      <c r="G21" s="25" t="s">
        <v>109</v>
      </c>
      <c r="H21" s="24" t="s">
        <v>109</v>
      </c>
      <c r="I21" s="12"/>
      <c r="J21" s="12"/>
      <c r="K21" s="24" t="s">
        <v>87</v>
      </c>
      <c r="L21" s="24" t="s">
        <v>94</v>
      </c>
      <c r="M21" s="12"/>
      <c r="N21" s="12"/>
      <c r="O21" s="31" t="str">
        <f>"430,0"</f>
        <v>430,0</v>
      </c>
      <c r="P21" s="12" t="str">
        <f>"291,2820"</f>
        <v>291,2820</v>
      </c>
      <c r="Q21" s="11"/>
    </row>
    <row r="22" spans="1:17">
      <c r="A22" s="14" t="s">
        <v>349</v>
      </c>
      <c r="B22" s="13" t="s">
        <v>2395</v>
      </c>
      <c r="C22" s="13" t="s">
        <v>2396</v>
      </c>
      <c r="D22" s="13" t="s">
        <v>551</v>
      </c>
      <c r="E22" s="13" t="s">
        <v>2694</v>
      </c>
      <c r="F22" s="13" t="s">
        <v>76</v>
      </c>
      <c r="G22" s="27" t="s">
        <v>70</v>
      </c>
      <c r="H22" s="26" t="s">
        <v>70</v>
      </c>
      <c r="I22" s="26" t="s">
        <v>51</v>
      </c>
      <c r="J22" s="14"/>
      <c r="K22" s="26" t="s">
        <v>284</v>
      </c>
      <c r="L22" s="27" t="s">
        <v>31</v>
      </c>
      <c r="M22" s="26" t="s">
        <v>31</v>
      </c>
      <c r="N22" s="14"/>
      <c r="O22" s="30" t="str">
        <f>"340,0"</f>
        <v>340,0</v>
      </c>
      <c r="P22" s="14" t="str">
        <f>"367,0002"</f>
        <v>367,0002</v>
      </c>
      <c r="Q22" s="13"/>
    </row>
    <row r="23" spans="1:17">
      <c r="B23" s="5" t="s">
        <v>350</v>
      </c>
    </row>
    <row r="24" spans="1:17" ht="16">
      <c r="A24" s="82" t="s">
        <v>143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spans="1:17">
      <c r="A25" s="10" t="s">
        <v>349</v>
      </c>
      <c r="B25" s="9" t="s">
        <v>2397</v>
      </c>
      <c r="C25" s="9" t="s">
        <v>1305</v>
      </c>
      <c r="D25" s="9" t="s">
        <v>447</v>
      </c>
      <c r="E25" s="9" t="s">
        <v>2689</v>
      </c>
      <c r="F25" s="9" t="s">
        <v>1601</v>
      </c>
      <c r="G25" s="22" t="s">
        <v>83</v>
      </c>
      <c r="H25" s="22" t="s">
        <v>50</v>
      </c>
      <c r="I25" s="23" t="s">
        <v>70</v>
      </c>
      <c r="J25" s="10"/>
      <c r="K25" s="22" t="s">
        <v>39</v>
      </c>
      <c r="L25" s="22" t="s">
        <v>77</v>
      </c>
      <c r="M25" s="22" t="s">
        <v>78</v>
      </c>
      <c r="N25" s="10"/>
      <c r="O25" s="29" t="str">
        <f>"350,0"</f>
        <v>350,0</v>
      </c>
      <c r="P25" s="10" t="str">
        <f>"224,9800"</f>
        <v>224,9800</v>
      </c>
      <c r="Q25" s="9" t="s">
        <v>2398</v>
      </c>
    </row>
    <row r="26" spans="1:17">
      <c r="A26" s="12" t="s">
        <v>349</v>
      </c>
      <c r="B26" s="11" t="s">
        <v>2399</v>
      </c>
      <c r="C26" s="11" t="s">
        <v>2400</v>
      </c>
      <c r="D26" s="11" t="s">
        <v>1815</v>
      </c>
      <c r="E26" s="11" t="s">
        <v>2690</v>
      </c>
      <c r="F26" s="11" t="s">
        <v>2401</v>
      </c>
      <c r="G26" s="24" t="s">
        <v>159</v>
      </c>
      <c r="H26" s="24" t="s">
        <v>160</v>
      </c>
      <c r="I26" s="25" t="s">
        <v>38</v>
      </c>
      <c r="J26" s="12"/>
      <c r="K26" s="24" t="s">
        <v>86</v>
      </c>
      <c r="L26" s="24" t="s">
        <v>94</v>
      </c>
      <c r="M26" s="24" t="s">
        <v>126</v>
      </c>
      <c r="N26" s="12"/>
      <c r="O26" s="31" t="str">
        <f>"467,5"</f>
        <v>467,5</v>
      </c>
      <c r="P26" s="12" t="str">
        <f>"301,2570"</f>
        <v>301,2570</v>
      </c>
      <c r="Q26" s="11" t="s">
        <v>2402</v>
      </c>
    </row>
    <row r="27" spans="1:17">
      <c r="A27" s="12" t="s">
        <v>351</v>
      </c>
      <c r="B27" s="11" t="s">
        <v>1161</v>
      </c>
      <c r="C27" s="11" t="s">
        <v>770</v>
      </c>
      <c r="D27" s="11" t="s">
        <v>1162</v>
      </c>
      <c r="E27" s="11" t="s">
        <v>2690</v>
      </c>
      <c r="F27" s="11" t="s">
        <v>1163</v>
      </c>
      <c r="G27" s="24" t="s">
        <v>116</v>
      </c>
      <c r="H27" s="25" t="s">
        <v>60</v>
      </c>
      <c r="I27" s="12"/>
      <c r="J27" s="12"/>
      <c r="K27" s="24" t="s">
        <v>209</v>
      </c>
      <c r="L27" s="25" t="s">
        <v>193</v>
      </c>
      <c r="M27" s="25" t="s">
        <v>193</v>
      </c>
      <c r="N27" s="12"/>
      <c r="O27" s="31" t="str">
        <f>"465,0"</f>
        <v>465,0</v>
      </c>
      <c r="P27" s="12" t="str">
        <f>"297,5070"</f>
        <v>297,5070</v>
      </c>
      <c r="Q27" s="11"/>
    </row>
    <row r="28" spans="1:17">
      <c r="A28" s="12" t="s">
        <v>353</v>
      </c>
      <c r="B28" s="11" t="s">
        <v>2403</v>
      </c>
      <c r="C28" s="11" t="s">
        <v>2404</v>
      </c>
      <c r="D28" s="11" t="s">
        <v>442</v>
      </c>
      <c r="E28" s="11" t="s">
        <v>2690</v>
      </c>
      <c r="F28" s="11" t="s">
        <v>164</v>
      </c>
      <c r="G28" s="24" t="s">
        <v>166</v>
      </c>
      <c r="H28" s="24" t="s">
        <v>116</v>
      </c>
      <c r="I28" s="25" t="s">
        <v>60</v>
      </c>
      <c r="J28" s="12"/>
      <c r="K28" s="24" t="s">
        <v>94</v>
      </c>
      <c r="L28" s="24" t="s">
        <v>115</v>
      </c>
      <c r="M28" s="24" t="s">
        <v>120</v>
      </c>
      <c r="N28" s="12"/>
      <c r="O28" s="31" t="str">
        <f>"460,0"</f>
        <v>460,0</v>
      </c>
      <c r="P28" s="12" t="str">
        <f>"295,3660"</f>
        <v>295,3660</v>
      </c>
      <c r="Q28" s="11"/>
    </row>
    <row r="29" spans="1:17">
      <c r="A29" s="12" t="s">
        <v>349</v>
      </c>
      <c r="B29" s="11" t="s">
        <v>620</v>
      </c>
      <c r="C29" s="11" t="s">
        <v>621</v>
      </c>
      <c r="D29" s="11" t="s">
        <v>622</v>
      </c>
      <c r="E29" s="11" t="s">
        <v>2693</v>
      </c>
      <c r="F29" s="11" t="s">
        <v>491</v>
      </c>
      <c r="G29" s="24" t="s">
        <v>154</v>
      </c>
      <c r="H29" s="25" t="s">
        <v>45</v>
      </c>
      <c r="I29" s="24" t="s">
        <v>45</v>
      </c>
      <c r="J29" s="12"/>
      <c r="K29" s="24" t="s">
        <v>78</v>
      </c>
      <c r="L29" s="24" t="s">
        <v>100</v>
      </c>
      <c r="M29" s="24" t="s">
        <v>86</v>
      </c>
      <c r="N29" s="12"/>
      <c r="O29" s="31" t="str">
        <f>"390,0"</f>
        <v>390,0</v>
      </c>
      <c r="P29" s="12" t="str">
        <f>"271,5493"</f>
        <v>271,5493</v>
      </c>
      <c r="Q29" s="11" t="s">
        <v>623</v>
      </c>
    </row>
    <row r="30" spans="1:17">
      <c r="A30" s="14" t="s">
        <v>349</v>
      </c>
      <c r="B30" s="13" t="s">
        <v>179</v>
      </c>
      <c r="C30" s="13" t="s">
        <v>180</v>
      </c>
      <c r="D30" s="13" t="s">
        <v>181</v>
      </c>
      <c r="E30" s="13" t="s">
        <v>2695</v>
      </c>
      <c r="F30" s="13" t="s">
        <v>15</v>
      </c>
      <c r="G30" s="26" t="s">
        <v>45</v>
      </c>
      <c r="H30" s="26" t="s">
        <v>46</v>
      </c>
      <c r="I30" s="26" t="s">
        <v>59</v>
      </c>
      <c r="J30" s="14"/>
      <c r="K30" s="26" t="s">
        <v>94</v>
      </c>
      <c r="L30" s="26" t="s">
        <v>115</v>
      </c>
      <c r="M30" s="27" t="s">
        <v>182</v>
      </c>
      <c r="N30" s="14"/>
      <c r="O30" s="30" t="str">
        <f>"440,0"</f>
        <v>440,0</v>
      </c>
      <c r="P30" s="14" t="str">
        <f>"350,9378"</f>
        <v>350,9378</v>
      </c>
      <c r="Q30" s="13"/>
    </row>
    <row r="31" spans="1:17">
      <c r="B31" s="5" t="s">
        <v>350</v>
      </c>
    </row>
    <row r="32" spans="1:17" ht="16">
      <c r="A32" s="82" t="s">
        <v>183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1:17">
      <c r="A33" s="10" t="s">
        <v>349</v>
      </c>
      <c r="B33" s="9" t="s">
        <v>189</v>
      </c>
      <c r="C33" s="9" t="s">
        <v>190</v>
      </c>
      <c r="D33" s="9" t="s">
        <v>191</v>
      </c>
      <c r="E33" s="9" t="s">
        <v>2690</v>
      </c>
      <c r="F33" s="9" t="s">
        <v>192</v>
      </c>
      <c r="G33" s="22" t="s">
        <v>37</v>
      </c>
      <c r="H33" s="22" t="s">
        <v>38</v>
      </c>
      <c r="I33" s="23" t="s">
        <v>195</v>
      </c>
      <c r="J33" s="10"/>
      <c r="K33" s="22" t="s">
        <v>194</v>
      </c>
      <c r="L33" s="22" t="s">
        <v>196</v>
      </c>
      <c r="M33" s="22" t="s">
        <v>197</v>
      </c>
      <c r="N33" s="10"/>
      <c r="O33" s="29" t="str">
        <f>"540,0"</f>
        <v>540,0</v>
      </c>
      <c r="P33" s="10" t="str">
        <f>"330,2640"</f>
        <v>330,2640</v>
      </c>
      <c r="Q33" s="9"/>
    </row>
    <row r="34" spans="1:17">
      <c r="A34" s="12" t="s">
        <v>351</v>
      </c>
      <c r="B34" s="11" t="s">
        <v>235</v>
      </c>
      <c r="C34" s="11" t="s">
        <v>236</v>
      </c>
      <c r="D34" s="11" t="s">
        <v>237</v>
      </c>
      <c r="E34" s="9" t="s">
        <v>2690</v>
      </c>
      <c r="F34" s="11" t="s">
        <v>2610</v>
      </c>
      <c r="G34" s="24" t="s">
        <v>109</v>
      </c>
      <c r="H34" s="24" t="s">
        <v>60</v>
      </c>
      <c r="I34" s="24" t="s">
        <v>210</v>
      </c>
      <c r="J34" s="12"/>
      <c r="K34" s="25" t="s">
        <v>193</v>
      </c>
      <c r="L34" s="24" t="s">
        <v>193</v>
      </c>
      <c r="M34" s="25" t="s">
        <v>172</v>
      </c>
      <c r="N34" s="12"/>
      <c r="O34" s="31" t="str">
        <f>"487,5"</f>
        <v>487,5</v>
      </c>
      <c r="P34" s="12" t="str">
        <f>"298,2525"</f>
        <v>298,2525</v>
      </c>
      <c r="Q34" s="11" t="s">
        <v>239</v>
      </c>
    </row>
    <row r="35" spans="1:17">
      <c r="A35" s="12" t="s">
        <v>353</v>
      </c>
      <c r="B35" s="11" t="s">
        <v>2405</v>
      </c>
      <c r="C35" s="11" t="s">
        <v>2406</v>
      </c>
      <c r="D35" s="11" t="s">
        <v>2344</v>
      </c>
      <c r="E35" s="9" t="s">
        <v>2690</v>
      </c>
      <c r="F35" s="11" t="s">
        <v>1545</v>
      </c>
      <c r="G35" s="24" t="s">
        <v>59</v>
      </c>
      <c r="H35" s="24" t="s">
        <v>109</v>
      </c>
      <c r="I35" s="25" t="s">
        <v>116</v>
      </c>
      <c r="J35" s="12"/>
      <c r="K35" s="24" t="s">
        <v>87</v>
      </c>
      <c r="L35" s="25" t="s">
        <v>94</v>
      </c>
      <c r="M35" s="25" t="s">
        <v>94</v>
      </c>
      <c r="N35" s="12"/>
      <c r="O35" s="31" t="str">
        <f>"420,0"</f>
        <v>420,0</v>
      </c>
      <c r="P35" s="12" t="str">
        <f>"258,0480"</f>
        <v>258,0480</v>
      </c>
      <c r="Q35" s="11"/>
    </row>
    <row r="36" spans="1:17">
      <c r="A36" s="12" t="s">
        <v>354</v>
      </c>
      <c r="B36" s="11" t="s">
        <v>230</v>
      </c>
      <c r="C36" s="11" t="s">
        <v>231</v>
      </c>
      <c r="D36" s="11" t="s">
        <v>232</v>
      </c>
      <c r="E36" s="9" t="s">
        <v>2690</v>
      </c>
      <c r="F36" s="11" t="s">
        <v>233</v>
      </c>
      <c r="G36" s="24" t="s">
        <v>70</v>
      </c>
      <c r="H36" s="24" t="s">
        <v>51</v>
      </c>
      <c r="I36" s="24" t="s">
        <v>154</v>
      </c>
      <c r="J36" s="12"/>
      <c r="K36" s="25" t="s">
        <v>78</v>
      </c>
      <c r="L36" s="25" t="s">
        <v>78</v>
      </c>
      <c r="M36" s="24" t="s">
        <v>78</v>
      </c>
      <c r="N36" s="12"/>
      <c r="O36" s="31" t="str">
        <f>"370,0"</f>
        <v>370,0</v>
      </c>
      <c r="P36" s="12" t="str">
        <f>"226,5510"</f>
        <v>226,5510</v>
      </c>
      <c r="Q36" s="11" t="s">
        <v>234</v>
      </c>
    </row>
    <row r="37" spans="1:17">
      <c r="A37" s="12" t="s">
        <v>349</v>
      </c>
      <c r="B37" s="11" t="s">
        <v>2405</v>
      </c>
      <c r="C37" s="11" t="s">
        <v>2407</v>
      </c>
      <c r="D37" s="11" t="s">
        <v>2344</v>
      </c>
      <c r="E37" s="11" t="s">
        <v>2693</v>
      </c>
      <c r="F37" s="11" t="s">
        <v>1545</v>
      </c>
      <c r="G37" s="24" t="s">
        <v>59</v>
      </c>
      <c r="H37" s="24" t="s">
        <v>109</v>
      </c>
      <c r="I37" s="25" t="s">
        <v>116</v>
      </c>
      <c r="J37" s="12"/>
      <c r="K37" s="24" t="s">
        <v>87</v>
      </c>
      <c r="L37" s="25" t="s">
        <v>94</v>
      </c>
      <c r="M37" s="25" t="s">
        <v>94</v>
      </c>
      <c r="N37" s="12"/>
      <c r="O37" s="31" t="str">
        <f>"420,0"</f>
        <v>420,0</v>
      </c>
      <c r="P37" s="12" t="str">
        <f>"269,4021"</f>
        <v>269,4021</v>
      </c>
      <c r="Q37" s="11"/>
    </row>
    <row r="38" spans="1:17">
      <c r="A38" s="12" t="s">
        <v>351</v>
      </c>
      <c r="B38" s="11" t="s">
        <v>2408</v>
      </c>
      <c r="C38" s="11" t="s">
        <v>2409</v>
      </c>
      <c r="D38" s="11" t="s">
        <v>2410</v>
      </c>
      <c r="E38" s="11" t="s">
        <v>2693</v>
      </c>
      <c r="F38" s="11" t="s">
        <v>406</v>
      </c>
      <c r="G38" s="24" t="s">
        <v>83</v>
      </c>
      <c r="H38" s="24" t="s">
        <v>50</v>
      </c>
      <c r="I38" s="24" t="s">
        <v>70</v>
      </c>
      <c r="J38" s="12"/>
      <c r="K38" s="24" t="s">
        <v>109</v>
      </c>
      <c r="L38" s="24" t="s">
        <v>118</v>
      </c>
      <c r="M38" s="24" t="s">
        <v>38</v>
      </c>
      <c r="N38" s="12"/>
      <c r="O38" s="31" t="str">
        <f>"330,0"</f>
        <v>330,0</v>
      </c>
      <c r="P38" s="12" t="str">
        <f>"230,8601"</f>
        <v>230,8601</v>
      </c>
      <c r="Q38" s="11"/>
    </row>
    <row r="39" spans="1:17">
      <c r="A39" s="14" t="s">
        <v>349</v>
      </c>
      <c r="B39" s="13" t="s">
        <v>686</v>
      </c>
      <c r="C39" s="13" t="s">
        <v>687</v>
      </c>
      <c r="D39" s="13" t="s">
        <v>688</v>
      </c>
      <c r="E39" s="13" t="s">
        <v>2694</v>
      </c>
      <c r="F39" s="13" t="s">
        <v>689</v>
      </c>
      <c r="G39" s="26" t="s">
        <v>188</v>
      </c>
      <c r="H39" s="26" t="s">
        <v>83</v>
      </c>
      <c r="I39" s="26" t="s">
        <v>67</v>
      </c>
      <c r="J39" s="14"/>
      <c r="K39" s="26" t="s">
        <v>59</v>
      </c>
      <c r="L39" s="26" t="s">
        <v>60</v>
      </c>
      <c r="M39" s="26" t="s">
        <v>38</v>
      </c>
      <c r="N39" s="14"/>
      <c r="O39" s="30" t="str">
        <f>"315,0"</f>
        <v>315,0</v>
      </c>
      <c r="P39" s="14" t="str">
        <f>"290,7491"</f>
        <v>290,7491</v>
      </c>
      <c r="Q39" s="13"/>
    </row>
    <row r="40" spans="1:17">
      <c r="B40" s="5" t="s">
        <v>350</v>
      </c>
    </row>
    <row r="41" spans="1:17" ht="16">
      <c r="A41" s="82" t="s">
        <v>244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7">
      <c r="A42" s="10" t="s">
        <v>349</v>
      </c>
      <c r="B42" s="9" t="s">
        <v>702</v>
      </c>
      <c r="C42" s="9" t="s">
        <v>703</v>
      </c>
      <c r="D42" s="9" t="s">
        <v>704</v>
      </c>
      <c r="E42" s="9" t="s">
        <v>2690</v>
      </c>
      <c r="F42" s="9" t="s">
        <v>221</v>
      </c>
      <c r="G42" s="22" t="s">
        <v>32</v>
      </c>
      <c r="H42" s="23" t="s">
        <v>77</v>
      </c>
      <c r="I42" s="23" t="s">
        <v>77</v>
      </c>
      <c r="J42" s="10"/>
      <c r="K42" s="22" t="s">
        <v>115</v>
      </c>
      <c r="L42" s="22" t="s">
        <v>209</v>
      </c>
      <c r="M42" s="23" t="s">
        <v>193</v>
      </c>
      <c r="N42" s="10"/>
      <c r="O42" s="29" t="str">
        <f>"505,0"</f>
        <v>505,0</v>
      </c>
      <c r="P42" s="10" t="str">
        <f>"298,0510"</f>
        <v>298,0510</v>
      </c>
      <c r="Q42" s="9" t="s">
        <v>705</v>
      </c>
    </row>
    <row r="43" spans="1:17">
      <c r="A43" s="14" t="s">
        <v>352</v>
      </c>
      <c r="B43" s="13" t="s">
        <v>709</v>
      </c>
      <c r="C43" s="13" t="s">
        <v>710</v>
      </c>
      <c r="D43" s="13" t="s">
        <v>478</v>
      </c>
      <c r="E43" s="13" t="s">
        <v>2690</v>
      </c>
      <c r="F43" s="13" t="s">
        <v>313</v>
      </c>
      <c r="G43" s="27" t="s">
        <v>109</v>
      </c>
      <c r="H43" s="27" t="s">
        <v>109</v>
      </c>
      <c r="I43" s="27" t="s">
        <v>109</v>
      </c>
      <c r="J43" s="14"/>
      <c r="K43" s="14"/>
      <c r="L43" s="27"/>
      <c r="M43" s="27"/>
      <c r="N43" s="14"/>
      <c r="O43" s="30">
        <v>0</v>
      </c>
      <c r="P43" s="14" t="str">
        <f>"0,0000"</f>
        <v>0,0000</v>
      </c>
      <c r="Q43" s="13" t="s">
        <v>711</v>
      </c>
    </row>
    <row r="44" spans="1:17">
      <c r="B44" s="5" t="s">
        <v>350</v>
      </c>
    </row>
    <row r="45" spans="1:17" ht="16">
      <c r="A45" s="82" t="s">
        <v>276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</row>
    <row r="46" spans="1:17">
      <c r="A46" s="10" t="s">
        <v>349</v>
      </c>
      <c r="B46" s="9" t="s">
        <v>731</v>
      </c>
      <c r="C46" s="9" t="s">
        <v>732</v>
      </c>
      <c r="D46" s="9" t="s">
        <v>733</v>
      </c>
      <c r="E46" s="9" t="s">
        <v>2690</v>
      </c>
      <c r="F46" s="9" t="s">
        <v>164</v>
      </c>
      <c r="G46" s="22" t="s">
        <v>31</v>
      </c>
      <c r="H46" s="23" t="s">
        <v>269</v>
      </c>
      <c r="I46" s="22" t="s">
        <v>269</v>
      </c>
      <c r="J46" s="10"/>
      <c r="K46" s="22" t="s">
        <v>193</v>
      </c>
      <c r="L46" s="23" t="s">
        <v>172</v>
      </c>
      <c r="M46" s="23" t="s">
        <v>172</v>
      </c>
      <c r="N46" s="10"/>
      <c r="O46" s="29" t="str">
        <f>"512,5"</f>
        <v>512,5</v>
      </c>
      <c r="P46" s="10" t="str">
        <f>"295,6100"</f>
        <v>295,6100</v>
      </c>
      <c r="Q46" s="9"/>
    </row>
    <row r="47" spans="1:17">
      <c r="A47" s="12" t="s">
        <v>349</v>
      </c>
      <c r="B47" s="11" t="s">
        <v>2425</v>
      </c>
      <c r="C47" s="11" t="s">
        <v>2411</v>
      </c>
      <c r="D47" s="11" t="s">
        <v>2412</v>
      </c>
      <c r="E47" s="11" t="s">
        <v>2693</v>
      </c>
      <c r="F47" s="11" t="s">
        <v>971</v>
      </c>
      <c r="G47" s="24" t="s">
        <v>38</v>
      </c>
      <c r="H47" s="25" t="s">
        <v>31</v>
      </c>
      <c r="I47" s="12"/>
      <c r="J47" s="12"/>
      <c r="K47" s="24" t="s">
        <v>126</v>
      </c>
      <c r="L47" s="25" t="s">
        <v>115</v>
      </c>
      <c r="M47" s="25" t="s">
        <v>115</v>
      </c>
      <c r="N47" s="12"/>
      <c r="O47" s="31" t="str">
        <f>"470,0"</f>
        <v>470,0</v>
      </c>
      <c r="P47" s="12" t="str">
        <f>"269,7330"</f>
        <v>269,7330</v>
      </c>
      <c r="Q47" s="11"/>
    </row>
    <row r="48" spans="1:17">
      <c r="A48" s="14" t="s">
        <v>349</v>
      </c>
      <c r="B48" s="13" t="s">
        <v>2413</v>
      </c>
      <c r="C48" s="13" t="s">
        <v>2414</v>
      </c>
      <c r="D48" s="13" t="s">
        <v>1931</v>
      </c>
      <c r="E48" s="13" t="s">
        <v>2696</v>
      </c>
      <c r="F48" s="13" t="s">
        <v>221</v>
      </c>
      <c r="G48" s="26" t="s">
        <v>70</v>
      </c>
      <c r="H48" s="27" t="s">
        <v>154</v>
      </c>
      <c r="I48" s="27" t="s">
        <v>45</v>
      </c>
      <c r="J48" s="14"/>
      <c r="K48" s="26" t="s">
        <v>37</v>
      </c>
      <c r="L48" s="26" t="s">
        <v>39</v>
      </c>
      <c r="M48" s="26" t="s">
        <v>77</v>
      </c>
      <c r="N48" s="14"/>
      <c r="O48" s="30" t="str">
        <f>"350,0"</f>
        <v>350,0</v>
      </c>
      <c r="P48" s="14" t="str">
        <f>"341,8275"</f>
        <v>341,8275</v>
      </c>
      <c r="Q48" s="13"/>
    </row>
    <row r="49" spans="2:6">
      <c r="B49" s="5" t="s">
        <v>350</v>
      </c>
    </row>
    <row r="50" spans="2:6">
      <c r="B50" s="5" t="s">
        <v>350</v>
      </c>
    </row>
    <row r="51" spans="2:6">
      <c r="B51" s="5" t="s">
        <v>350</v>
      </c>
    </row>
    <row r="52" spans="2:6" ht="18">
      <c r="B52" s="15" t="s">
        <v>316</v>
      </c>
      <c r="C52" s="15"/>
      <c r="F52" s="3"/>
    </row>
    <row r="53" spans="2:6" ht="16">
      <c r="B53" s="16" t="s">
        <v>336</v>
      </c>
      <c r="C53" s="16"/>
      <c r="F53" s="3"/>
    </row>
    <row r="54" spans="2:6" ht="14">
      <c r="B54" s="17"/>
      <c r="C54" s="18" t="s">
        <v>318</v>
      </c>
      <c r="F54" s="3"/>
    </row>
    <row r="55" spans="2:6" ht="14">
      <c r="B55" s="19" t="s">
        <v>319</v>
      </c>
      <c r="C55" s="19" t="s">
        <v>320</v>
      </c>
      <c r="D55" s="19" t="s">
        <v>2593</v>
      </c>
      <c r="E55" s="19" t="s">
        <v>322</v>
      </c>
      <c r="F55" s="19" t="s">
        <v>323</v>
      </c>
    </row>
    <row r="56" spans="2:6">
      <c r="B56" s="5" t="s">
        <v>189</v>
      </c>
      <c r="C56" s="5" t="s">
        <v>318</v>
      </c>
      <c r="D56" s="6" t="s">
        <v>343</v>
      </c>
      <c r="E56" s="6" t="s">
        <v>2415</v>
      </c>
      <c r="F56" s="6" t="s">
        <v>2416</v>
      </c>
    </row>
    <row r="57" spans="2:6">
      <c r="B57" s="5" t="s">
        <v>571</v>
      </c>
      <c r="C57" s="5" t="s">
        <v>318</v>
      </c>
      <c r="D57" s="6" t="s">
        <v>327</v>
      </c>
      <c r="E57" s="6" t="s">
        <v>2417</v>
      </c>
      <c r="F57" s="6" t="s">
        <v>2418</v>
      </c>
    </row>
    <row r="58" spans="2:6">
      <c r="B58" s="5" t="s">
        <v>2399</v>
      </c>
      <c r="C58" s="5" t="s">
        <v>318</v>
      </c>
      <c r="D58" s="6" t="s">
        <v>338</v>
      </c>
      <c r="E58" s="6" t="s">
        <v>2419</v>
      </c>
      <c r="F58" s="6" t="s">
        <v>2420</v>
      </c>
    </row>
    <row r="60" spans="2:6" ht="14">
      <c r="B60" s="17"/>
      <c r="C60" s="18" t="s">
        <v>333</v>
      </c>
    </row>
    <row r="61" spans="2:6" ht="14">
      <c r="B61" s="19" t="s">
        <v>319</v>
      </c>
      <c r="C61" s="19" t="s">
        <v>320</v>
      </c>
      <c r="D61" s="19" t="s">
        <v>2593</v>
      </c>
      <c r="E61" s="19" t="s">
        <v>322</v>
      </c>
      <c r="F61" s="19" t="s">
        <v>323</v>
      </c>
    </row>
    <row r="62" spans="2:6">
      <c r="B62" s="5" t="s">
        <v>2395</v>
      </c>
      <c r="C62" s="5" t="s">
        <v>760</v>
      </c>
      <c r="D62" s="6" t="s">
        <v>327</v>
      </c>
      <c r="E62" s="6" t="s">
        <v>197</v>
      </c>
      <c r="F62" s="6" t="s">
        <v>2421</v>
      </c>
    </row>
    <row r="63" spans="2:6">
      <c r="B63" s="5" t="s">
        <v>179</v>
      </c>
      <c r="C63" s="5" t="s">
        <v>334</v>
      </c>
      <c r="D63" s="6" t="s">
        <v>338</v>
      </c>
      <c r="E63" s="6" t="s">
        <v>2422</v>
      </c>
      <c r="F63" s="6" t="s">
        <v>2423</v>
      </c>
    </row>
    <row r="64" spans="2:6">
      <c r="B64" s="5" t="s">
        <v>2413</v>
      </c>
      <c r="C64" s="5" t="s">
        <v>1105</v>
      </c>
      <c r="D64" s="6" t="s">
        <v>348</v>
      </c>
      <c r="E64" s="6" t="s">
        <v>253</v>
      </c>
      <c r="F64" s="6" t="s">
        <v>2424</v>
      </c>
    </row>
    <row r="65" spans="2:2">
      <c r="B65" s="5" t="s">
        <v>350</v>
      </c>
    </row>
  </sheetData>
  <mergeCells count="21">
    <mergeCell ref="A41:N41"/>
    <mergeCell ref="A45:N45"/>
    <mergeCell ref="B3:B4"/>
    <mergeCell ref="A9:N9"/>
    <mergeCell ref="A12:N12"/>
    <mergeCell ref="A15:N15"/>
    <mergeCell ref="A18:N18"/>
    <mergeCell ref="A24:N24"/>
    <mergeCell ref="A32:N32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WEPF ПЛ однослой</vt:lpstr>
      <vt:lpstr>WEPF ПЛ многослой ДК</vt:lpstr>
      <vt:lpstr>WEPF ПЛ многослой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 ДК</vt:lpstr>
      <vt:lpstr>WEPF Жим однослой</vt:lpstr>
      <vt:lpstr>WEPF Жим многослой ДК</vt:lpstr>
      <vt:lpstr>WEPF Жим многослой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Жим СФО</vt:lpstr>
      <vt:lpstr>WRPF Тяга без экипировки ДК</vt:lpstr>
      <vt:lpstr>WRPF Тяга без экипировки</vt:lpstr>
      <vt:lpstr>WEPF Тяга экип ДК</vt:lpstr>
      <vt:lpstr>WEPF Тяга экип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2020-12-24T09:52:03Z</dcterms:modified>
</cp:coreProperties>
</file>