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480" yWindow="15" windowWidth="11340" windowHeight="9690" activeTab="5"/>
  </bookViews>
  <sheets>
    <sheet name="AGPC BP EQ" sheetId="5" r:id="rId1"/>
    <sheet name="AGPC BP RAW" sheetId="6" r:id="rId2"/>
    <sheet name="GPC BP RAW" sheetId="7" r:id="rId3"/>
    <sheet name="AGPC тяга RAW " sheetId="8" r:id="rId4"/>
    <sheet name="AGPC НЖ" sheetId="9" r:id="rId5"/>
    <sheet name="GPC НЖ" sheetId="10" r:id="rId6"/>
  </sheets>
  <definedNames>
    <definedName name="_FilterDatabase" localSheetId="0" hidden="1">'AGPC BP EQ'!$A$1:$K$3</definedName>
  </definedNames>
  <calcPr calcId="145621" refMode="R1C1"/>
</workbook>
</file>

<file path=xl/calcChain.xml><?xml version="1.0" encoding="utf-8"?>
<calcChain xmlns="http://schemas.openxmlformats.org/spreadsheetml/2006/main">
  <c r="T9" i="10" l="1"/>
  <c r="S9" i="10"/>
  <c r="D9" i="10"/>
  <c r="T6" i="10"/>
  <c r="S6" i="10"/>
  <c r="D6" i="10"/>
  <c r="J13" i="9"/>
  <c r="I13" i="9"/>
  <c r="D13" i="9"/>
  <c r="J10" i="9"/>
  <c r="I10" i="9"/>
  <c r="D10" i="9"/>
  <c r="J7" i="9"/>
  <c r="I7" i="9"/>
  <c r="D7" i="9"/>
  <c r="J6" i="9"/>
  <c r="I6" i="9"/>
  <c r="D6" i="9"/>
  <c r="L13" i="8"/>
  <c r="K13" i="8"/>
  <c r="D13" i="8"/>
  <c r="L10" i="8"/>
  <c r="K10" i="8"/>
  <c r="D10" i="8"/>
  <c r="L7" i="8"/>
  <c r="K7" i="8"/>
  <c r="D7" i="8"/>
  <c r="L6" i="8"/>
  <c r="K6" i="8"/>
  <c r="D6" i="8"/>
  <c r="L21" i="7"/>
  <c r="K21" i="7"/>
  <c r="D21" i="7"/>
  <c r="L18" i="7"/>
  <c r="K18" i="7"/>
  <c r="D18" i="7"/>
  <c r="L15" i="7"/>
  <c r="K15" i="7"/>
  <c r="D15" i="7"/>
  <c r="L14" i="7"/>
  <c r="K14" i="7"/>
  <c r="D14" i="7"/>
  <c r="L11" i="7"/>
  <c r="K11" i="7"/>
  <c r="D11" i="7"/>
  <c r="L8" i="7"/>
  <c r="K8" i="7"/>
  <c r="D8" i="7"/>
  <c r="L7" i="7"/>
  <c r="K7" i="7"/>
  <c r="D7" i="7"/>
  <c r="L6" i="7"/>
  <c r="K6" i="7"/>
  <c r="D6" i="7"/>
  <c r="L43" i="6"/>
  <c r="K43" i="6"/>
  <c r="D43" i="6"/>
  <c r="L42" i="6"/>
  <c r="K42" i="6"/>
  <c r="D42" i="6"/>
  <c r="L39" i="6"/>
  <c r="K39" i="6"/>
  <c r="D39" i="6"/>
  <c r="L36" i="6"/>
  <c r="K36" i="6"/>
  <c r="D36" i="6"/>
  <c r="L35" i="6"/>
  <c r="K35" i="6"/>
  <c r="D35" i="6"/>
  <c r="L34" i="6"/>
  <c r="K34" i="6"/>
  <c r="D34" i="6"/>
  <c r="L31" i="6"/>
  <c r="K31" i="6"/>
  <c r="D31" i="6"/>
  <c r="L30" i="6"/>
  <c r="K30" i="6"/>
  <c r="D30" i="6"/>
  <c r="L29" i="6"/>
  <c r="K29" i="6"/>
  <c r="D29" i="6"/>
  <c r="L26" i="6"/>
  <c r="K26" i="6"/>
  <c r="D26" i="6"/>
  <c r="L25" i="6"/>
  <c r="K25" i="6"/>
  <c r="D25" i="6"/>
  <c r="L22" i="6"/>
  <c r="K22" i="6"/>
  <c r="D22" i="6"/>
  <c r="L21" i="6"/>
  <c r="K21" i="6"/>
  <c r="D21" i="6"/>
  <c r="L20" i="6"/>
  <c r="K20" i="6"/>
  <c r="D20" i="6"/>
  <c r="L17" i="6"/>
  <c r="K17" i="6"/>
  <c r="D17" i="6"/>
  <c r="L16" i="6"/>
  <c r="K16" i="6"/>
  <c r="D16" i="6"/>
  <c r="L15" i="6"/>
  <c r="K15" i="6"/>
  <c r="D15" i="6"/>
  <c r="L12" i="6"/>
  <c r="K12" i="6"/>
  <c r="D12" i="6"/>
  <c r="L9" i="6"/>
  <c r="K9" i="6"/>
  <c r="D9" i="6"/>
  <c r="L6" i="6"/>
  <c r="K6" i="6"/>
  <c r="D6" i="6"/>
  <c r="L6" i="5"/>
  <c r="K6" i="5"/>
  <c r="D6" i="5"/>
</calcChain>
</file>

<file path=xl/sharedStrings.xml><?xml version="1.0" encoding="utf-8"?>
<sst xmlns="http://schemas.openxmlformats.org/spreadsheetml/2006/main" count="444" uniqueCount="205">
  <si>
    <t>ФИО</t>
  </si>
  <si>
    <t>Присед</t>
  </si>
  <si>
    <t>Тяга</t>
  </si>
  <si>
    <t>Сумма</t>
  </si>
  <si>
    <t>Тренер</t>
  </si>
  <si>
    <t>Очки</t>
  </si>
  <si>
    <t>Команда</t>
  </si>
  <si>
    <t>Рек</t>
  </si>
  <si>
    <t>Возрастная группа
Дата рождения/Возраст</t>
  </si>
  <si>
    <t>Собственный 
Вес</t>
  </si>
  <si>
    <t>Город/Область</t>
  </si>
  <si>
    <t>Reshel</t>
  </si>
  <si>
    <t>Жим лёжа</t>
  </si>
  <si>
    <t>ВЕСОВАЯ КАТЕГОРИЯ   100</t>
  </si>
  <si>
    <t>1. Савельев Егор</t>
  </si>
  <si>
    <t>Открытая (01.09.1990)/28</t>
  </si>
  <si>
    <t>95,90</t>
  </si>
  <si>
    <t xml:space="preserve">лично </t>
  </si>
  <si>
    <t xml:space="preserve">Подольск/Московская область </t>
  </si>
  <si>
    <t>230,0</t>
  </si>
  <si>
    <t>240,0</t>
  </si>
  <si>
    <t>250,0</t>
  </si>
  <si>
    <t xml:space="preserve"> </t>
  </si>
  <si>
    <t>Результат</t>
  </si>
  <si>
    <t>ВЕСОВАЯ КАТЕГОРИЯ   48</t>
  </si>
  <si>
    <t>1. Квитченко Диана</t>
  </si>
  <si>
    <t>Открытая (22.08.1983)/35</t>
  </si>
  <si>
    <t>47,80</t>
  </si>
  <si>
    <t xml:space="preserve">Обнинск/Калужская область </t>
  </si>
  <si>
    <t>45,0</t>
  </si>
  <si>
    <t>52,5</t>
  </si>
  <si>
    <t>ВЕСОВАЯ КАТЕГОРИЯ   75</t>
  </si>
  <si>
    <t>1. Антонова Дарья</t>
  </si>
  <si>
    <t>Юниорки 20 - 23 (12.01.1997)/22</t>
  </si>
  <si>
    <t>74,20</t>
  </si>
  <si>
    <t>65,0</t>
  </si>
  <si>
    <t>70,0</t>
  </si>
  <si>
    <t>75,0</t>
  </si>
  <si>
    <t>ВЕСОВАЯ КАТЕГОРИЯ   60</t>
  </si>
  <si>
    <t>1. Кузнецов Александр</t>
  </si>
  <si>
    <t>Открытая (16.12.1993)/25</t>
  </si>
  <si>
    <t>59,40</t>
  </si>
  <si>
    <t xml:space="preserve">Москва </t>
  </si>
  <si>
    <t>130,0</t>
  </si>
  <si>
    <t>132,5</t>
  </si>
  <si>
    <t>135,0</t>
  </si>
  <si>
    <t>ВЕСОВАЯ КАТЕГОРИЯ   67.5</t>
  </si>
  <si>
    <t>1. Проничкин Сергей</t>
  </si>
  <si>
    <t>Открытая (15.08.1989)/29</t>
  </si>
  <si>
    <t>62,00</t>
  </si>
  <si>
    <t xml:space="preserve">Серпухов/Московская область </t>
  </si>
  <si>
    <t>122,5</t>
  </si>
  <si>
    <t>127,5</t>
  </si>
  <si>
    <t>2. Маслов Роман</t>
  </si>
  <si>
    <t>Открытая (16.03.1984)/35</t>
  </si>
  <si>
    <t>67,50</t>
  </si>
  <si>
    <t>110,0</t>
  </si>
  <si>
    <t>115,0</t>
  </si>
  <si>
    <t>-. Пучков Алексей</t>
  </si>
  <si>
    <t>Открытая (09.04.1992)/27</t>
  </si>
  <si>
    <t>66,70</t>
  </si>
  <si>
    <t xml:space="preserve">Боровск/Калужская область </t>
  </si>
  <si>
    <t>100,0</t>
  </si>
  <si>
    <t>107,5</t>
  </si>
  <si>
    <t>1. Горохов Валерий</t>
  </si>
  <si>
    <t>Юноши 13 - 15 (27.01.2004)/15</t>
  </si>
  <si>
    <t>73,40</t>
  </si>
  <si>
    <t xml:space="preserve">Калуга/Калужская область </t>
  </si>
  <si>
    <t>67,5</t>
  </si>
  <si>
    <t>82,5</t>
  </si>
  <si>
    <t>1. Гоголадзе Давид</t>
  </si>
  <si>
    <t>Юниоры 20 - 23 (22.05.1997)/21</t>
  </si>
  <si>
    <t>70,30</t>
  </si>
  <si>
    <t xml:space="preserve">Боржоми/ </t>
  </si>
  <si>
    <t>117,5</t>
  </si>
  <si>
    <t>1. Бессонов Константин</t>
  </si>
  <si>
    <t>Открытая (28.02.1986)/33</t>
  </si>
  <si>
    <t>75,00</t>
  </si>
  <si>
    <t>ВЕСОВАЯ КАТЕГОРИЯ   82.5</t>
  </si>
  <si>
    <t>1. Шокин Илья</t>
  </si>
  <si>
    <t>Открытая (02.08.1993)/25</t>
  </si>
  <si>
    <t>80,00</t>
  </si>
  <si>
    <t>140,0</t>
  </si>
  <si>
    <t>145,0</t>
  </si>
  <si>
    <t>2. Панин Михаил</t>
  </si>
  <si>
    <t>Открытая (27.11.1989)/29</t>
  </si>
  <si>
    <t>77,70</t>
  </si>
  <si>
    <t xml:space="preserve">Мещовск/Калужская область </t>
  </si>
  <si>
    <t>ВЕСОВАЯ КАТЕГОРИЯ   90</t>
  </si>
  <si>
    <t xml:space="preserve">Балабаново/Калужская область </t>
  </si>
  <si>
    <t>170,0</t>
  </si>
  <si>
    <t>180,0</t>
  </si>
  <si>
    <t>1. Собченко Юрий</t>
  </si>
  <si>
    <t>Мастера 40 - 44 (11.11.1975)/43</t>
  </si>
  <si>
    <t>89,30</t>
  </si>
  <si>
    <t xml:space="preserve">Воротынск/Калужская область </t>
  </si>
  <si>
    <t>1. Езерский Вадим</t>
  </si>
  <si>
    <t>Мастера 50 - 54 (01.03.1967)/52</t>
  </si>
  <si>
    <t>85,90</t>
  </si>
  <si>
    <t xml:space="preserve">Институт п., Боровск/Калужская область </t>
  </si>
  <si>
    <t>125,0</t>
  </si>
  <si>
    <t>1. Люблинский Станислав</t>
  </si>
  <si>
    <t>Мастера 60 - 64 (09.08.1958)/60</t>
  </si>
  <si>
    <t>90,00</t>
  </si>
  <si>
    <t>120,0</t>
  </si>
  <si>
    <t>1. Баранов Иван</t>
  </si>
  <si>
    <t>Открытая (29.05.1990)/28</t>
  </si>
  <si>
    <t>95,70</t>
  </si>
  <si>
    <t>187,5</t>
  </si>
  <si>
    <t>195,0</t>
  </si>
  <si>
    <t>2. Савельев Егор</t>
  </si>
  <si>
    <t>155,0</t>
  </si>
  <si>
    <t>162,5</t>
  </si>
  <si>
    <t>3. Михеев Александр</t>
  </si>
  <si>
    <t>Открытая (21.05.1987)/31</t>
  </si>
  <si>
    <t>94,30</t>
  </si>
  <si>
    <t>ВЕСОВАЯ КАТЕГОРИЯ   110</t>
  </si>
  <si>
    <t>1. Кондратинский Сергей</t>
  </si>
  <si>
    <t>Открытая (06.07.1984)/34</t>
  </si>
  <si>
    <t>108,00</t>
  </si>
  <si>
    <t xml:space="preserve">Ржев/Тверская область </t>
  </si>
  <si>
    <t>175,0</t>
  </si>
  <si>
    <t>ВЕСОВАЯ КАТЕГОРИЯ   125</t>
  </si>
  <si>
    <t>1. Селезнев Владимир</t>
  </si>
  <si>
    <t>Открытая (09.05.1977)/42</t>
  </si>
  <si>
    <t>124,50</t>
  </si>
  <si>
    <t xml:space="preserve">Одинцово/Московская область </t>
  </si>
  <si>
    <t>Мастера 40 - 44 (09.05.1977)/42</t>
  </si>
  <si>
    <t>ВЕСОВАЯ КАТЕГОРИЯ   56</t>
  </si>
  <si>
    <t>1. Кондратинский Кирилл</t>
  </si>
  <si>
    <t>Юноши 13 - 15 (04.03.2008)/11</t>
  </si>
  <si>
    <t>54,10</t>
  </si>
  <si>
    <t>25,0</t>
  </si>
  <si>
    <t>30,0</t>
  </si>
  <si>
    <t>32,5</t>
  </si>
  <si>
    <t>2. Магутин Александр</t>
  </si>
  <si>
    <t>Юноши 13 - 15 (12.10.2008)/10</t>
  </si>
  <si>
    <t>32,50</t>
  </si>
  <si>
    <t>20,0</t>
  </si>
  <si>
    <t>1. Терентьева Авелина</t>
  </si>
  <si>
    <t>Юноши 18 - 19 (26.03.2001)/18</t>
  </si>
  <si>
    <t>51,20</t>
  </si>
  <si>
    <t>35,0</t>
  </si>
  <si>
    <t>40,0</t>
  </si>
  <si>
    <t>1. Колюжный Алексей</t>
  </si>
  <si>
    <t>Юноши 16 - 17 (12.04.2002)/17</t>
  </si>
  <si>
    <t>61,70</t>
  </si>
  <si>
    <t>60,0</t>
  </si>
  <si>
    <t>1. Хлынцев Никита</t>
  </si>
  <si>
    <t>Открытая (28.07.1987)/31</t>
  </si>
  <si>
    <t>80,40</t>
  </si>
  <si>
    <t xml:space="preserve">Наро-Фоминск/Московская область </t>
  </si>
  <si>
    <t>95,0</t>
  </si>
  <si>
    <t>1. Ервасов Руслан</t>
  </si>
  <si>
    <t>Мастера 40 - 44 (17.05.1975)/44</t>
  </si>
  <si>
    <t>75,80</t>
  </si>
  <si>
    <t>105,0</t>
  </si>
  <si>
    <t>1. Савин Денис</t>
  </si>
  <si>
    <t>Открытая (05.11.1979)/39</t>
  </si>
  <si>
    <t>104,40</t>
  </si>
  <si>
    <t>185,0</t>
  </si>
  <si>
    <t>192,5</t>
  </si>
  <si>
    <t>200,0</t>
  </si>
  <si>
    <t>1. Шальнов Арсений</t>
  </si>
  <si>
    <t>Открытая (22.05.1989)/29</t>
  </si>
  <si>
    <t>124,20</t>
  </si>
  <si>
    <t>150,0</t>
  </si>
  <si>
    <t>Становая тяга</t>
  </si>
  <si>
    <t>1. Балашов Максим</t>
  </si>
  <si>
    <t>Открытая (04.05.1989)/30</t>
  </si>
  <si>
    <t>79,80</t>
  </si>
  <si>
    <t>160,0</t>
  </si>
  <si>
    <t>1. Любшин Алексей</t>
  </si>
  <si>
    <t>Открытая (03.06.1994)/24</t>
  </si>
  <si>
    <t>89,50</t>
  </si>
  <si>
    <t>210,0</t>
  </si>
  <si>
    <t>222,5</t>
  </si>
  <si>
    <t>1. Матюхин Евгений</t>
  </si>
  <si>
    <t>Открытая (23.09.1986)/32</t>
  </si>
  <si>
    <t>93,70</t>
  </si>
  <si>
    <t>202,5</t>
  </si>
  <si>
    <t>212,5</t>
  </si>
  <si>
    <t>Жим мн. повт.</t>
  </si>
  <si>
    <t>Тоннаж</t>
  </si>
  <si>
    <t>Вес</t>
  </si>
  <si>
    <t>Повторы</t>
  </si>
  <si>
    <t>1. Пучков Алексей</t>
  </si>
  <si>
    <t>24,0</t>
  </si>
  <si>
    <t>22,0</t>
  </si>
  <si>
    <t>1. Панин Михаил</t>
  </si>
  <si>
    <t>80,0</t>
  </si>
  <si>
    <t>19,0</t>
  </si>
  <si>
    <t>23,0</t>
  </si>
  <si>
    <t>Кубок России GPC/AGPC
AGPC Народный жим (1 вес)
Обнинск/Калужская область 19 мая 2019 г.</t>
  </si>
  <si>
    <t>Народный жим</t>
  </si>
  <si>
    <t>15,0</t>
  </si>
  <si>
    <t>1. Дрожняк Денис</t>
  </si>
  <si>
    <t>Открытая (17.06.1993)/25</t>
  </si>
  <si>
    <t>85,20</t>
  </si>
  <si>
    <t>87,5</t>
  </si>
  <si>
    <t>Кубок России GPC/AGPC
GPC Народный жим (1 вес)
Обнинск/Калужская область 19 мая 2019 г.</t>
  </si>
  <si>
    <t>Кубок России GPC/AGPC
AGPC жим лежа софт стандарт
Обнинск/Калужская область 19 мая 2019 г.</t>
  </si>
  <si>
    <t>Кубок России GPC/AGPC
AGPC raw жим лежа
Обнинск/Калужская область 19 мая 2019 г.</t>
  </si>
  <si>
    <t>Кубок России GPC/AGPC
GPC raw жим лежа
Обнинск/Калужская область 19 мая 2019 г.</t>
  </si>
  <si>
    <t>Кубок России GPC/AGPC
AGPC raw становая тяга
Обнинск/Калужская область 19 мая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</si>
</sst>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trike/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name val="Arial Cyr"/>
      <family val="2"/>
      <charset val="204"/>
    </font>
    <font>
      <b/>
      <sz val="1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49" fontId="5" fillId="0" borderId="6" xfId="0" applyNumberFormat="1" applyFont="1" applyBorder="1" applyAlignment="1">
      <alignment horizont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14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left"/>
    </xf>
    <xf numFmtId="49" fontId="0" fillId="0" borderId="15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left"/>
    </xf>
    <xf numFmtId="49" fontId="6" fillId="0" borderId="16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/>
    </xf>
    <xf numFmtId="1" fontId="6" fillId="0" borderId="16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M15"/>
  <sheetViews>
    <sheetView zoomScaleNormal="100" workbookViewId="0">
      <selection sqref="A1:M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0.5703125" style="4" bestFit="1" customWidth="1"/>
    <col min="4" max="4" width="8.42578125" style="4" bestFit="1" customWidth="1"/>
    <col min="5" max="5" width="22.7109375" style="4" bestFit="1" customWidth="1"/>
    <col min="6" max="6" width="28.570312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25" t="s">
        <v>201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s="2" customFormat="1" ht="62.1" customHeight="1" thickBo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s="1" customFormat="1" ht="12.75" customHeight="1" x14ac:dyDescent="0.2">
      <c r="A3" s="7" t="s">
        <v>0</v>
      </c>
      <c r="B3" s="9" t="s">
        <v>8</v>
      </c>
      <c r="C3" s="9" t="s">
        <v>9</v>
      </c>
      <c r="D3" s="6" t="s">
        <v>11</v>
      </c>
      <c r="E3" s="6" t="s">
        <v>6</v>
      </c>
      <c r="F3" s="6" t="s">
        <v>10</v>
      </c>
      <c r="G3" s="6" t="s">
        <v>12</v>
      </c>
      <c r="H3" s="6"/>
      <c r="I3" s="6"/>
      <c r="J3" s="6"/>
      <c r="K3" s="6" t="s">
        <v>23</v>
      </c>
      <c r="L3" s="6" t="s">
        <v>5</v>
      </c>
      <c r="M3" s="11" t="s">
        <v>4</v>
      </c>
    </row>
    <row r="4" spans="1:13" s="1" customFormat="1" ht="21" customHeight="1" thickBot="1" x14ac:dyDescent="0.25">
      <c r="A4" s="8"/>
      <c r="B4" s="10"/>
      <c r="C4" s="10"/>
      <c r="D4" s="10"/>
      <c r="E4" s="10"/>
      <c r="F4" s="10"/>
      <c r="G4" s="5">
        <v>1</v>
      </c>
      <c r="H4" s="5">
        <v>2</v>
      </c>
      <c r="I4" s="5">
        <v>3</v>
      </c>
      <c r="J4" s="5" t="s">
        <v>7</v>
      </c>
      <c r="K4" s="10"/>
      <c r="L4" s="10"/>
      <c r="M4" s="12"/>
    </row>
    <row r="5" spans="1:13" ht="15" x14ac:dyDescent="0.2">
      <c r="A5" s="13" t="s">
        <v>13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x14ac:dyDescent="0.2">
      <c r="A6" s="14" t="s">
        <v>14</v>
      </c>
      <c r="B6" s="14" t="s">
        <v>15</v>
      </c>
      <c r="C6" s="14" t="s">
        <v>16</v>
      </c>
      <c r="D6" s="14" t="str">
        <f>"0,9324"</f>
        <v>0,9324</v>
      </c>
      <c r="E6" s="14" t="s">
        <v>17</v>
      </c>
      <c r="F6" s="14" t="s">
        <v>18</v>
      </c>
      <c r="G6" s="16" t="s">
        <v>19</v>
      </c>
      <c r="H6" s="16" t="s">
        <v>20</v>
      </c>
      <c r="I6" s="16" t="s">
        <v>21</v>
      </c>
      <c r="J6" s="15"/>
      <c r="K6" s="14" t="str">
        <f>"250,0"</f>
        <v>250,0</v>
      </c>
      <c r="L6" s="16" t="str">
        <f>"233,1000"</f>
        <v>233,1000</v>
      </c>
      <c r="M6" s="14" t="s">
        <v>22</v>
      </c>
    </row>
    <row r="8" spans="1:13" ht="15" x14ac:dyDescent="0.2">
      <c r="E8" s="17"/>
      <c r="F8" s="31"/>
    </row>
    <row r="9" spans="1:13" ht="15" x14ac:dyDescent="0.2">
      <c r="E9" s="17"/>
      <c r="F9" s="31"/>
    </row>
    <row r="10" spans="1:13" ht="15" x14ac:dyDescent="0.2">
      <c r="E10" s="17"/>
      <c r="F10" s="31"/>
    </row>
    <row r="11" spans="1:13" ht="15" x14ac:dyDescent="0.2">
      <c r="E11" s="17"/>
      <c r="F11" s="31"/>
    </row>
    <row r="12" spans="1:13" ht="15" x14ac:dyDescent="0.2">
      <c r="E12" s="17"/>
    </row>
    <row r="13" spans="1:13" ht="15" x14ac:dyDescent="0.2">
      <c r="E13" s="17"/>
    </row>
    <row r="14" spans="1:13" ht="15" x14ac:dyDescent="0.2">
      <c r="E14" s="17"/>
    </row>
    <row r="15" spans="1:13" ht="13.5" customHeight="1" x14ac:dyDescent="0.2"/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9" workbookViewId="0">
      <selection activeCell="A16" sqref="A16"/>
    </sheetView>
  </sheetViews>
  <sheetFormatPr defaultRowHeight="12.75" x14ac:dyDescent="0.2"/>
  <cols>
    <col min="1" max="1" width="26" style="4" bestFit="1" customWidth="1"/>
    <col min="2" max="2" width="29" style="4" bestFit="1" customWidth="1"/>
    <col min="3" max="3" width="10.5703125" style="4" bestFit="1" customWidth="1"/>
    <col min="4" max="4" width="8.42578125" style="4" bestFit="1" customWidth="1"/>
    <col min="5" max="5" width="22.7109375" style="4" bestFit="1" customWidth="1"/>
    <col min="6" max="6" width="37.4257812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8.85546875" style="4" bestFit="1" customWidth="1"/>
    <col min="14" max="16384" width="9.140625" style="3"/>
  </cols>
  <sheetData>
    <row r="1" spans="1:13" s="32" customFormat="1" ht="29.1" customHeight="1" x14ac:dyDescent="0.2">
      <c r="A1" s="19" t="s">
        <v>202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s="32" customFormat="1" ht="62.1" customHeight="1" thickBo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37" customFormat="1" ht="12.75" customHeight="1" x14ac:dyDescent="0.2">
      <c r="A3" s="33" t="s">
        <v>0</v>
      </c>
      <c r="B3" s="34" t="s">
        <v>8</v>
      </c>
      <c r="C3" s="34" t="s">
        <v>9</v>
      </c>
      <c r="D3" s="35" t="s">
        <v>11</v>
      </c>
      <c r="E3" s="35" t="s">
        <v>6</v>
      </c>
      <c r="F3" s="35" t="s">
        <v>10</v>
      </c>
      <c r="G3" s="35" t="s">
        <v>12</v>
      </c>
      <c r="H3" s="35"/>
      <c r="I3" s="35"/>
      <c r="J3" s="35"/>
      <c r="K3" s="35" t="s">
        <v>23</v>
      </c>
      <c r="L3" s="35" t="s">
        <v>5</v>
      </c>
      <c r="M3" s="36" t="s">
        <v>4</v>
      </c>
    </row>
    <row r="4" spans="1:13" s="37" customFormat="1" ht="21" customHeight="1" thickBot="1" x14ac:dyDescent="0.25">
      <c r="A4" s="38"/>
      <c r="B4" s="39"/>
      <c r="C4" s="39"/>
      <c r="D4" s="39"/>
      <c r="E4" s="39"/>
      <c r="F4" s="39"/>
      <c r="G4" s="40">
        <v>1</v>
      </c>
      <c r="H4" s="40">
        <v>2</v>
      </c>
      <c r="I4" s="40">
        <v>3</v>
      </c>
      <c r="J4" s="40" t="s">
        <v>7</v>
      </c>
      <c r="K4" s="39"/>
      <c r="L4" s="39"/>
      <c r="M4" s="41"/>
    </row>
    <row r="5" spans="1:13" ht="15" x14ac:dyDescent="0.2">
      <c r="A5" s="13" t="s">
        <v>24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x14ac:dyDescent="0.2">
      <c r="A6" s="14" t="s">
        <v>25</v>
      </c>
      <c r="B6" s="14" t="s">
        <v>26</v>
      </c>
      <c r="C6" s="14" t="s">
        <v>27</v>
      </c>
      <c r="D6" s="14" t="str">
        <f>"2,3278"</f>
        <v>2,3278</v>
      </c>
      <c r="E6" s="14" t="s">
        <v>17</v>
      </c>
      <c r="F6" s="14" t="s">
        <v>28</v>
      </c>
      <c r="G6" s="15" t="s">
        <v>29</v>
      </c>
      <c r="H6" s="16" t="s">
        <v>29</v>
      </c>
      <c r="I6" s="15" t="s">
        <v>30</v>
      </c>
      <c r="J6" s="15"/>
      <c r="K6" s="14" t="str">
        <f>"45,0"</f>
        <v>45,0</v>
      </c>
      <c r="L6" s="16" t="str">
        <f>"104,7510"</f>
        <v>104,7510</v>
      </c>
      <c r="M6" s="14" t="s">
        <v>22</v>
      </c>
    </row>
    <row r="8" spans="1:13" ht="15" x14ac:dyDescent="0.2">
      <c r="A8" s="42" t="s">
        <v>31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x14ac:dyDescent="0.2">
      <c r="A9" s="14" t="s">
        <v>32</v>
      </c>
      <c r="B9" s="14" t="s">
        <v>33</v>
      </c>
      <c r="C9" s="14" t="s">
        <v>34</v>
      </c>
      <c r="D9" s="14" t="str">
        <f>"1,5526"</f>
        <v>1,5526</v>
      </c>
      <c r="E9" s="14" t="s">
        <v>17</v>
      </c>
      <c r="F9" s="14" t="s">
        <v>28</v>
      </c>
      <c r="G9" s="16" t="s">
        <v>35</v>
      </c>
      <c r="H9" s="16" t="s">
        <v>36</v>
      </c>
      <c r="I9" s="15" t="s">
        <v>37</v>
      </c>
      <c r="J9" s="15"/>
      <c r="K9" s="14" t="str">
        <f>"70,0"</f>
        <v>70,0</v>
      </c>
      <c r="L9" s="16" t="str">
        <f>"108,6820"</f>
        <v>108,6820</v>
      </c>
      <c r="M9" s="14" t="s">
        <v>22</v>
      </c>
    </row>
    <row r="11" spans="1:13" ht="15" x14ac:dyDescent="0.2">
      <c r="A11" s="42" t="s">
        <v>38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3" x14ac:dyDescent="0.2">
      <c r="A12" s="14" t="s">
        <v>39</v>
      </c>
      <c r="B12" s="14" t="s">
        <v>40</v>
      </c>
      <c r="C12" s="14" t="s">
        <v>41</v>
      </c>
      <c r="D12" s="14" t="str">
        <f>"1,4456"</f>
        <v>1,4456</v>
      </c>
      <c r="E12" s="14" t="s">
        <v>17</v>
      </c>
      <c r="F12" s="14" t="s">
        <v>42</v>
      </c>
      <c r="G12" s="16" t="s">
        <v>43</v>
      </c>
      <c r="H12" s="16" t="s">
        <v>44</v>
      </c>
      <c r="I12" s="16" t="s">
        <v>45</v>
      </c>
      <c r="J12" s="15"/>
      <c r="K12" s="14" t="str">
        <f>"135,0"</f>
        <v>135,0</v>
      </c>
      <c r="L12" s="16" t="str">
        <f>"195,1560"</f>
        <v>195,1560</v>
      </c>
      <c r="M12" s="14" t="s">
        <v>22</v>
      </c>
    </row>
    <row r="14" spans="1:13" ht="15" x14ac:dyDescent="0.2">
      <c r="A14" s="42" t="s">
        <v>46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3" x14ac:dyDescent="0.2">
      <c r="A15" s="44" t="s">
        <v>47</v>
      </c>
      <c r="B15" s="44" t="s">
        <v>48</v>
      </c>
      <c r="C15" s="44" t="s">
        <v>49</v>
      </c>
      <c r="D15" s="44" t="str">
        <f>"1,3640"</f>
        <v>1,3640</v>
      </c>
      <c r="E15" s="44" t="s">
        <v>17</v>
      </c>
      <c r="F15" s="44" t="s">
        <v>50</v>
      </c>
      <c r="G15" s="45" t="s">
        <v>51</v>
      </c>
      <c r="H15" s="46" t="s">
        <v>51</v>
      </c>
      <c r="I15" s="46" t="s">
        <v>52</v>
      </c>
      <c r="J15" s="45"/>
      <c r="K15" s="44" t="str">
        <f>"127,5"</f>
        <v>127,5</v>
      </c>
      <c r="L15" s="46" t="str">
        <f>"173,9100"</f>
        <v>173,9100</v>
      </c>
      <c r="M15" s="44" t="s">
        <v>22</v>
      </c>
    </row>
    <row r="16" spans="1:13" x14ac:dyDescent="0.2">
      <c r="A16" s="47" t="s">
        <v>53</v>
      </c>
      <c r="B16" s="47" t="s">
        <v>54</v>
      </c>
      <c r="C16" s="47" t="s">
        <v>55</v>
      </c>
      <c r="D16" s="47" t="str">
        <f>"1,2370"</f>
        <v>1,2370</v>
      </c>
      <c r="E16" s="47" t="s">
        <v>17</v>
      </c>
      <c r="F16" s="47" t="s">
        <v>28</v>
      </c>
      <c r="G16" s="48" t="s">
        <v>56</v>
      </c>
      <c r="H16" s="49" t="s">
        <v>57</v>
      </c>
      <c r="I16" s="49" t="s">
        <v>57</v>
      </c>
      <c r="J16" s="49"/>
      <c r="K16" s="47" t="str">
        <f>"110,0"</f>
        <v>110,0</v>
      </c>
      <c r="L16" s="48" t="str">
        <f>"136,0700"</f>
        <v>136,0700</v>
      </c>
      <c r="M16" s="47" t="s">
        <v>22</v>
      </c>
    </row>
    <row r="17" spans="1:13" x14ac:dyDescent="0.2">
      <c r="A17" s="50" t="s">
        <v>58</v>
      </c>
      <c r="B17" s="50" t="s">
        <v>59</v>
      </c>
      <c r="C17" s="50" t="s">
        <v>60</v>
      </c>
      <c r="D17" s="50" t="str">
        <f>"1,2530"</f>
        <v>1,2530</v>
      </c>
      <c r="E17" s="50" t="s">
        <v>17</v>
      </c>
      <c r="F17" s="50" t="s">
        <v>61</v>
      </c>
      <c r="G17" s="51" t="s">
        <v>62</v>
      </c>
      <c r="H17" s="51" t="s">
        <v>63</v>
      </c>
      <c r="I17" s="51" t="s">
        <v>63</v>
      </c>
      <c r="J17" s="51"/>
      <c r="K17" s="50" t="str">
        <f>"0.00"</f>
        <v>0.00</v>
      </c>
      <c r="L17" s="52" t="str">
        <f>"0,0000"</f>
        <v>0,0000</v>
      </c>
      <c r="M17" s="50" t="s">
        <v>22</v>
      </c>
    </row>
    <row r="19" spans="1:13" ht="15" x14ac:dyDescent="0.2">
      <c r="A19" s="42" t="s">
        <v>31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3" x14ac:dyDescent="0.2">
      <c r="A20" s="44" t="s">
        <v>64</v>
      </c>
      <c r="B20" s="44" t="s">
        <v>65</v>
      </c>
      <c r="C20" s="44" t="s">
        <v>66</v>
      </c>
      <c r="D20" s="44" t="str">
        <f>"1,1406"</f>
        <v>1,1406</v>
      </c>
      <c r="E20" s="44" t="s">
        <v>17</v>
      </c>
      <c r="F20" s="44" t="s">
        <v>67</v>
      </c>
      <c r="G20" s="46" t="s">
        <v>68</v>
      </c>
      <c r="H20" s="45" t="s">
        <v>69</v>
      </c>
      <c r="I20" s="45" t="s">
        <v>69</v>
      </c>
      <c r="J20" s="45"/>
      <c r="K20" s="44" t="str">
        <f>"67,5"</f>
        <v>67,5</v>
      </c>
      <c r="L20" s="46" t="str">
        <f>"76,9905"</f>
        <v>76,9905</v>
      </c>
      <c r="M20" s="44" t="s">
        <v>22</v>
      </c>
    </row>
    <row r="21" spans="1:13" x14ac:dyDescent="0.2">
      <c r="A21" s="47" t="s">
        <v>70</v>
      </c>
      <c r="B21" s="47" t="s">
        <v>71</v>
      </c>
      <c r="C21" s="47" t="s">
        <v>72</v>
      </c>
      <c r="D21" s="47" t="str">
        <f>"1,1892"</f>
        <v>1,1892</v>
      </c>
      <c r="E21" s="47" t="s">
        <v>17</v>
      </c>
      <c r="F21" s="47" t="s">
        <v>73</v>
      </c>
      <c r="G21" s="48" t="s">
        <v>62</v>
      </c>
      <c r="H21" s="48" t="s">
        <v>56</v>
      </c>
      <c r="I21" s="48" t="s">
        <v>74</v>
      </c>
      <c r="J21" s="49"/>
      <c r="K21" s="47" t="str">
        <f>"117,5"</f>
        <v>117,5</v>
      </c>
      <c r="L21" s="48" t="str">
        <f>"139,7310"</f>
        <v>139,7310</v>
      </c>
      <c r="M21" s="47" t="s">
        <v>22</v>
      </c>
    </row>
    <row r="22" spans="1:13" x14ac:dyDescent="0.2">
      <c r="A22" s="50" t="s">
        <v>75</v>
      </c>
      <c r="B22" s="50" t="s">
        <v>76</v>
      </c>
      <c r="C22" s="50" t="s">
        <v>77</v>
      </c>
      <c r="D22" s="50" t="str">
        <f>"1,1170"</f>
        <v>1,1170</v>
      </c>
      <c r="E22" s="50" t="s">
        <v>17</v>
      </c>
      <c r="F22" s="50" t="s">
        <v>28</v>
      </c>
      <c r="G22" s="51" t="s">
        <v>56</v>
      </c>
      <c r="H22" s="52" t="s">
        <v>56</v>
      </c>
      <c r="I22" s="52" t="s">
        <v>74</v>
      </c>
      <c r="J22" s="51"/>
      <c r="K22" s="50" t="str">
        <f>"117,5"</f>
        <v>117,5</v>
      </c>
      <c r="L22" s="52" t="str">
        <f>"131,2475"</f>
        <v>131,2475</v>
      </c>
      <c r="M22" s="50" t="s">
        <v>22</v>
      </c>
    </row>
    <row r="24" spans="1:13" ht="15" x14ac:dyDescent="0.2">
      <c r="A24" s="42" t="s">
        <v>78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3" x14ac:dyDescent="0.2">
      <c r="A25" s="44" t="s">
        <v>79</v>
      </c>
      <c r="B25" s="44" t="s">
        <v>80</v>
      </c>
      <c r="C25" s="44" t="s">
        <v>81</v>
      </c>
      <c r="D25" s="44" t="str">
        <f>"1,0540"</f>
        <v>1,0540</v>
      </c>
      <c r="E25" s="44" t="s">
        <v>17</v>
      </c>
      <c r="F25" s="44" t="s">
        <v>61</v>
      </c>
      <c r="G25" s="45" t="s">
        <v>45</v>
      </c>
      <c r="H25" s="46" t="s">
        <v>82</v>
      </c>
      <c r="I25" s="46" t="s">
        <v>83</v>
      </c>
      <c r="J25" s="45"/>
      <c r="K25" s="44" t="str">
        <f>"145,0"</f>
        <v>145,0</v>
      </c>
      <c r="L25" s="46" t="str">
        <f>"152,8300"</f>
        <v>152,8300</v>
      </c>
      <c r="M25" s="44" t="s">
        <v>22</v>
      </c>
    </row>
    <row r="26" spans="1:13" x14ac:dyDescent="0.2">
      <c r="A26" s="50" t="s">
        <v>84</v>
      </c>
      <c r="B26" s="50" t="s">
        <v>85</v>
      </c>
      <c r="C26" s="50" t="s">
        <v>86</v>
      </c>
      <c r="D26" s="50" t="str">
        <f>"1,0816"</f>
        <v>1,0816</v>
      </c>
      <c r="E26" s="50" t="s">
        <v>17</v>
      </c>
      <c r="F26" s="50" t="s">
        <v>87</v>
      </c>
      <c r="G26" s="51" t="s">
        <v>74</v>
      </c>
      <c r="H26" s="52" t="s">
        <v>51</v>
      </c>
      <c r="I26" s="51" t="s">
        <v>52</v>
      </c>
      <c r="J26" s="51"/>
      <c r="K26" s="50" t="str">
        <f>"122,5"</f>
        <v>122,5</v>
      </c>
      <c r="L26" s="52" t="str">
        <f>"132,4960"</f>
        <v>132,4960</v>
      </c>
      <c r="M26" s="50" t="s">
        <v>22</v>
      </c>
    </row>
    <row r="28" spans="1:13" ht="15" x14ac:dyDescent="0.2">
      <c r="A28" s="42" t="s">
        <v>88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3" x14ac:dyDescent="0.2">
      <c r="A29" s="47" t="s">
        <v>92</v>
      </c>
      <c r="B29" s="47" t="s">
        <v>93</v>
      </c>
      <c r="C29" s="47" t="s">
        <v>94</v>
      </c>
      <c r="D29" s="47" t="str">
        <f>"0,9736"</f>
        <v>0,9736</v>
      </c>
      <c r="E29" s="47" t="s">
        <v>17</v>
      </c>
      <c r="F29" s="47" t="s">
        <v>95</v>
      </c>
      <c r="G29" s="48" t="s">
        <v>45</v>
      </c>
      <c r="H29" s="49" t="s">
        <v>83</v>
      </c>
      <c r="I29" s="49" t="s">
        <v>83</v>
      </c>
      <c r="J29" s="49"/>
      <c r="K29" s="47" t="str">
        <f>"135,0"</f>
        <v>135,0</v>
      </c>
      <c r="L29" s="48" t="str">
        <f>"135,1162"</f>
        <v>135,1162</v>
      </c>
      <c r="M29" s="47" t="s">
        <v>22</v>
      </c>
    </row>
    <row r="30" spans="1:13" x14ac:dyDescent="0.2">
      <c r="A30" s="47" t="s">
        <v>96</v>
      </c>
      <c r="B30" s="47" t="s">
        <v>97</v>
      </c>
      <c r="C30" s="47" t="s">
        <v>98</v>
      </c>
      <c r="D30" s="47" t="str">
        <f>"0,9988"</f>
        <v>0,9988</v>
      </c>
      <c r="E30" s="47" t="s">
        <v>17</v>
      </c>
      <c r="F30" s="47" t="s">
        <v>99</v>
      </c>
      <c r="G30" s="48" t="s">
        <v>74</v>
      </c>
      <c r="H30" s="48" t="s">
        <v>51</v>
      </c>
      <c r="I30" s="49" t="s">
        <v>100</v>
      </c>
      <c r="J30" s="49"/>
      <c r="K30" s="47" t="str">
        <f>"122,5"</f>
        <v>122,5</v>
      </c>
      <c r="L30" s="48" t="str">
        <f>"145,2330"</f>
        <v>145,2330</v>
      </c>
      <c r="M30" s="47" t="s">
        <v>22</v>
      </c>
    </row>
    <row r="31" spans="1:13" x14ac:dyDescent="0.2">
      <c r="A31" s="50" t="s">
        <v>101</v>
      </c>
      <c r="B31" s="50" t="s">
        <v>102</v>
      </c>
      <c r="C31" s="50" t="s">
        <v>103</v>
      </c>
      <c r="D31" s="50" t="str">
        <f>"0,9690"</f>
        <v>0,9690</v>
      </c>
      <c r="E31" s="50" t="s">
        <v>17</v>
      </c>
      <c r="F31" s="50" t="s">
        <v>99</v>
      </c>
      <c r="G31" s="52" t="s">
        <v>104</v>
      </c>
      <c r="H31" s="51" t="s">
        <v>100</v>
      </c>
      <c r="I31" s="51" t="s">
        <v>100</v>
      </c>
      <c r="J31" s="51"/>
      <c r="K31" s="50" t="str">
        <f>"120,0"</f>
        <v>120,0</v>
      </c>
      <c r="L31" s="52" t="str">
        <f>"160,4664"</f>
        <v>160,4664</v>
      </c>
      <c r="M31" s="50" t="s">
        <v>22</v>
      </c>
    </row>
    <row r="33" spans="1:13" ht="15" x14ac:dyDescent="0.2">
      <c r="A33" s="42" t="s">
        <v>13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3" x14ac:dyDescent="0.2">
      <c r="A34" s="44" t="s">
        <v>105</v>
      </c>
      <c r="B34" s="44" t="s">
        <v>106</v>
      </c>
      <c r="C34" s="44" t="s">
        <v>107</v>
      </c>
      <c r="D34" s="44" t="str">
        <f>"0,9332"</f>
        <v>0,9332</v>
      </c>
      <c r="E34" s="44" t="s">
        <v>17</v>
      </c>
      <c r="F34" s="44" t="s">
        <v>61</v>
      </c>
      <c r="G34" s="46" t="s">
        <v>91</v>
      </c>
      <c r="H34" s="46" t="s">
        <v>108</v>
      </c>
      <c r="I34" s="46" t="s">
        <v>109</v>
      </c>
      <c r="J34" s="45"/>
      <c r="K34" s="44" t="str">
        <f>"195,0"</f>
        <v>195,0</v>
      </c>
      <c r="L34" s="46" t="str">
        <f>"181,9740"</f>
        <v>181,9740</v>
      </c>
      <c r="M34" s="44" t="s">
        <v>22</v>
      </c>
    </row>
    <row r="35" spans="1:13" x14ac:dyDescent="0.2">
      <c r="A35" s="47" t="s">
        <v>110</v>
      </c>
      <c r="B35" s="47" t="s">
        <v>15</v>
      </c>
      <c r="C35" s="47" t="s">
        <v>16</v>
      </c>
      <c r="D35" s="47" t="str">
        <f>"0,9324"</f>
        <v>0,9324</v>
      </c>
      <c r="E35" s="47" t="s">
        <v>17</v>
      </c>
      <c r="F35" s="47" t="s">
        <v>18</v>
      </c>
      <c r="G35" s="48" t="s">
        <v>111</v>
      </c>
      <c r="H35" s="48" t="s">
        <v>112</v>
      </c>
      <c r="I35" s="48" t="s">
        <v>90</v>
      </c>
      <c r="J35" s="49"/>
      <c r="K35" s="47" t="str">
        <f>"170,0"</f>
        <v>170,0</v>
      </c>
      <c r="L35" s="48" t="str">
        <f>"158,5080"</f>
        <v>158,5080</v>
      </c>
      <c r="M35" s="47" t="s">
        <v>22</v>
      </c>
    </row>
    <row r="36" spans="1:13" x14ac:dyDescent="0.2">
      <c r="A36" s="50" t="s">
        <v>113</v>
      </c>
      <c r="B36" s="50" t="s">
        <v>114</v>
      </c>
      <c r="C36" s="50" t="s">
        <v>115</v>
      </c>
      <c r="D36" s="50" t="str">
        <f>"0,9406"</f>
        <v>0,9406</v>
      </c>
      <c r="E36" s="50" t="s">
        <v>17</v>
      </c>
      <c r="F36" s="50" t="s">
        <v>89</v>
      </c>
      <c r="G36" s="52" t="s">
        <v>104</v>
      </c>
      <c r="H36" s="52" t="s">
        <v>100</v>
      </c>
      <c r="I36" s="51" t="s">
        <v>43</v>
      </c>
      <c r="J36" s="51"/>
      <c r="K36" s="50" t="str">
        <f>"125,0"</f>
        <v>125,0</v>
      </c>
      <c r="L36" s="52" t="str">
        <f>"117,5750"</f>
        <v>117,5750</v>
      </c>
      <c r="M36" s="50" t="s">
        <v>22</v>
      </c>
    </row>
    <row r="38" spans="1:13" ht="15" x14ac:dyDescent="0.2">
      <c r="A38" s="42" t="s">
        <v>116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3" x14ac:dyDescent="0.2">
      <c r="A39" s="14" t="s">
        <v>117</v>
      </c>
      <c r="B39" s="14" t="s">
        <v>118</v>
      </c>
      <c r="C39" s="14" t="s">
        <v>119</v>
      </c>
      <c r="D39" s="14" t="str">
        <f>"0,8900"</f>
        <v>0,8900</v>
      </c>
      <c r="E39" s="14" t="s">
        <v>17</v>
      </c>
      <c r="F39" s="14" t="s">
        <v>120</v>
      </c>
      <c r="G39" s="16" t="s">
        <v>90</v>
      </c>
      <c r="H39" s="15" t="s">
        <v>121</v>
      </c>
      <c r="I39" s="16" t="s">
        <v>121</v>
      </c>
      <c r="J39" s="15"/>
      <c r="K39" s="14" t="str">
        <f>"175,0"</f>
        <v>175,0</v>
      </c>
      <c r="L39" s="16" t="str">
        <f>"155,7500"</f>
        <v>155,7500</v>
      </c>
      <c r="M39" s="14" t="s">
        <v>22</v>
      </c>
    </row>
    <row r="41" spans="1:13" ht="15" x14ac:dyDescent="0.2">
      <c r="A41" s="42" t="s">
        <v>122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1:13" x14ac:dyDescent="0.2">
      <c r="A42" s="44" t="s">
        <v>123</v>
      </c>
      <c r="B42" s="44" t="s">
        <v>124</v>
      </c>
      <c r="C42" s="44" t="s">
        <v>125</v>
      </c>
      <c r="D42" s="44" t="str">
        <f>"0,8580"</f>
        <v>0,8580</v>
      </c>
      <c r="E42" s="44" t="s">
        <v>17</v>
      </c>
      <c r="F42" s="44" t="s">
        <v>126</v>
      </c>
      <c r="G42" s="46" t="s">
        <v>91</v>
      </c>
      <c r="H42" s="46" t="s">
        <v>108</v>
      </c>
      <c r="I42" s="45" t="s">
        <v>109</v>
      </c>
      <c r="J42" s="45"/>
      <c r="K42" s="44" t="str">
        <f>"187,5"</f>
        <v>187,5</v>
      </c>
      <c r="L42" s="46" t="str">
        <f>"160,8750"</f>
        <v>160,8750</v>
      </c>
      <c r="M42" s="44" t="s">
        <v>22</v>
      </c>
    </row>
    <row r="43" spans="1:13" x14ac:dyDescent="0.2">
      <c r="A43" s="50" t="s">
        <v>123</v>
      </c>
      <c r="B43" s="50" t="s">
        <v>127</v>
      </c>
      <c r="C43" s="50" t="s">
        <v>125</v>
      </c>
      <c r="D43" s="50" t="str">
        <f>"0,8580"</f>
        <v>0,8580</v>
      </c>
      <c r="E43" s="50" t="s">
        <v>17</v>
      </c>
      <c r="F43" s="50" t="s">
        <v>126</v>
      </c>
      <c r="G43" s="52" t="s">
        <v>91</v>
      </c>
      <c r="H43" s="52" t="s">
        <v>108</v>
      </c>
      <c r="I43" s="51" t="s">
        <v>109</v>
      </c>
      <c r="J43" s="51"/>
      <c r="K43" s="50" t="str">
        <f>"187,5"</f>
        <v>187,5</v>
      </c>
      <c r="L43" s="52" t="str">
        <f>"163,1272"</f>
        <v>163,1272</v>
      </c>
      <c r="M43" s="50" t="s">
        <v>22</v>
      </c>
    </row>
  </sheetData>
  <mergeCells count="21">
    <mergeCell ref="A24:L24"/>
    <mergeCell ref="A28:L28"/>
    <mergeCell ref="A33:L33"/>
    <mergeCell ref="A38:L38"/>
    <mergeCell ref="A41:L41"/>
    <mergeCell ref="M3:M4"/>
    <mergeCell ref="A5:L5"/>
    <mergeCell ref="A8:L8"/>
    <mergeCell ref="A11:L11"/>
    <mergeCell ref="A14:L14"/>
    <mergeCell ref="A19:L19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13" sqref="A13:L13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0.5703125" style="4" bestFit="1" customWidth="1"/>
    <col min="4" max="4" width="8.42578125" style="4" bestFit="1" customWidth="1"/>
    <col min="5" max="5" width="22.7109375" style="4" bestFit="1" customWidth="1"/>
    <col min="6" max="6" width="33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8.85546875" style="4" bestFit="1" customWidth="1"/>
    <col min="14" max="16384" width="9.140625" style="3"/>
  </cols>
  <sheetData>
    <row r="1" spans="1:13" s="32" customFormat="1" ht="29.1" customHeight="1" x14ac:dyDescent="0.2">
      <c r="A1" s="19" t="s">
        <v>203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s="32" customFormat="1" ht="62.1" customHeight="1" thickBo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37" customFormat="1" ht="12.75" customHeight="1" x14ac:dyDescent="0.2">
      <c r="A3" s="33" t="s">
        <v>0</v>
      </c>
      <c r="B3" s="34" t="s">
        <v>8</v>
      </c>
      <c r="C3" s="34" t="s">
        <v>9</v>
      </c>
      <c r="D3" s="35" t="s">
        <v>11</v>
      </c>
      <c r="E3" s="35" t="s">
        <v>6</v>
      </c>
      <c r="F3" s="35" t="s">
        <v>10</v>
      </c>
      <c r="G3" s="35" t="s">
        <v>12</v>
      </c>
      <c r="H3" s="35"/>
      <c r="I3" s="35"/>
      <c r="J3" s="35"/>
      <c r="K3" s="35" t="s">
        <v>23</v>
      </c>
      <c r="L3" s="35" t="s">
        <v>5</v>
      </c>
      <c r="M3" s="36" t="s">
        <v>4</v>
      </c>
    </row>
    <row r="4" spans="1:13" s="37" customFormat="1" ht="21" customHeight="1" thickBot="1" x14ac:dyDescent="0.25">
      <c r="A4" s="38"/>
      <c r="B4" s="39"/>
      <c r="C4" s="39"/>
      <c r="D4" s="39"/>
      <c r="E4" s="39"/>
      <c r="F4" s="39"/>
      <c r="G4" s="40">
        <v>1</v>
      </c>
      <c r="H4" s="40">
        <v>2</v>
      </c>
      <c r="I4" s="40">
        <v>3</v>
      </c>
      <c r="J4" s="40" t="s">
        <v>7</v>
      </c>
      <c r="K4" s="39"/>
      <c r="L4" s="39"/>
      <c r="M4" s="41"/>
    </row>
    <row r="5" spans="1:13" ht="15" x14ac:dyDescent="0.2">
      <c r="A5" s="13" t="s">
        <v>128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x14ac:dyDescent="0.2">
      <c r="A6" s="44" t="s">
        <v>129</v>
      </c>
      <c r="B6" s="44" t="s">
        <v>130</v>
      </c>
      <c r="C6" s="44" t="s">
        <v>131</v>
      </c>
      <c r="D6" s="44" t="str">
        <f>"1,6910"</f>
        <v>1,6910</v>
      </c>
      <c r="E6" s="44" t="s">
        <v>17</v>
      </c>
      <c r="F6" s="44" t="s">
        <v>120</v>
      </c>
      <c r="G6" s="46" t="s">
        <v>132</v>
      </c>
      <c r="H6" s="46" t="s">
        <v>133</v>
      </c>
      <c r="I6" s="45" t="s">
        <v>134</v>
      </c>
      <c r="J6" s="45"/>
      <c r="K6" s="44" t="str">
        <f>"30,0"</f>
        <v>30,0</v>
      </c>
      <c r="L6" s="46" t="str">
        <f>"50,7300"</f>
        <v>50,7300</v>
      </c>
      <c r="M6" s="44" t="s">
        <v>22</v>
      </c>
    </row>
    <row r="7" spans="1:13" x14ac:dyDescent="0.2">
      <c r="A7" s="47" t="s">
        <v>135</v>
      </c>
      <c r="B7" s="47" t="s">
        <v>136</v>
      </c>
      <c r="C7" s="47" t="s">
        <v>137</v>
      </c>
      <c r="D7" s="47" t="str">
        <f>"1,9550"</f>
        <v>1,9550</v>
      </c>
      <c r="E7" s="47" t="s">
        <v>17</v>
      </c>
      <c r="F7" s="47" t="s">
        <v>120</v>
      </c>
      <c r="G7" s="48" t="s">
        <v>138</v>
      </c>
      <c r="H7" s="49" t="s">
        <v>132</v>
      </c>
      <c r="I7" s="48" t="s">
        <v>132</v>
      </c>
      <c r="J7" s="49"/>
      <c r="K7" s="47" t="str">
        <f>"25,0"</f>
        <v>25,0</v>
      </c>
      <c r="L7" s="48" t="str">
        <f>"48,8750"</f>
        <v>48,8750</v>
      </c>
      <c r="M7" s="47" t="s">
        <v>22</v>
      </c>
    </row>
    <row r="8" spans="1:13" x14ac:dyDescent="0.2">
      <c r="A8" s="50" t="s">
        <v>139</v>
      </c>
      <c r="B8" s="50" t="s">
        <v>140</v>
      </c>
      <c r="C8" s="50" t="s">
        <v>141</v>
      </c>
      <c r="D8" s="50" t="str">
        <f>"1,8706"</f>
        <v>1,8706</v>
      </c>
      <c r="E8" s="50" t="s">
        <v>17</v>
      </c>
      <c r="F8" s="50" t="s">
        <v>120</v>
      </c>
      <c r="G8" s="51" t="s">
        <v>142</v>
      </c>
      <c r="H8" s="52" t="s">
        <v>143</v>
      </c>
      <c r="I8" s="51" t="s">
        <v>29</v>
      </c>
      <c r="J8" s="51"/>
      <c r="K8" s="50" t="str">
        <f>"40,0"</f>
        <v>40,0</v>
      </c>
      <c r="L8" s="52" t="str">
        <f>"74,8240"</f>
        <v>74,8240</v>
      </c>
      <c r="M8" s="50" t="s">
        <v>22</v>
      </c>
    </row>
    <row r="10" spans="1:13" ht="15" x14ac:dyDescent="0.2">
      <c r="A10" s="42" t="s">
        <v>46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3" x14ac:dyDescent="0.2">
      <c r="A11" s="14" t="s">
        <v>144</v>
      </c>
      <c r="B11" s="14" t="s">
        <v>145</v>
      </c>
      <c r="C11" s="14" t="s">
        <v>146</v>
      </c>
      <c r="D11" s="14" t="str">
        <f>"1,3710"</f>
        <v>1,3710</v>
      </c>
      <c r="E11" s="14" t="s">
        <v>17</v>
      </c>
      <c r="F11" s="14" t="s">
        <v>120</v>
      </c>
      <c r="G11" s="16" t="s">
        <v>147</v>
      </c>
      <c r="H11" s="15" t="s">
        <v>35</v>
      </c>
      <c r="I11" s="16" t="s">
        <v>35</v>
      </c>
      <c r="J11" s="15"/>
      <c r="K11" s="14" t="str">
        <f>"65,0"</f>
        <v>65,0</v>
      </c>
      <c r="L11" s="16" t="str">
        <f>"89,1150"</f>
        <v>89,1150</v>
      </c>
      <c r="M11" s="14" t="s">
        <v>22</v>
      </c>
    </row>
    <row r="13" spans="1:13" ht="15" x14ac:dyDescent="0.2">
      <c r="A13" s="42" t="s">
        <v>78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3" x14ac:dyDescent="0.2">
      <c r="A14" s="44" t="s">
        <v>148</v>
      </c>
      <c r="B14" s="44" t="s">
        <v>149</v>
      </c>
      <c r="C14" s="44" t="s">
        <v>150</v>
      </c>
      <c r="D14" s="44" t="str">
        <f>"1,0492"</f>
        <v>1,0492</v>
      </c>
      <c r="E14" s="44" t="s">
        <v>17</v>
      </c>
      <c r="F14" s="44" t="s">
        <v>151</v>
      </c>
      <c r="G14" s="46" t="s">
        <v>152</v>
      </c>
      <c r="H14" s="46" t="s">
        <v>62</v>
      </c>
      <c r="I14" s="46" t="s">
        <v>56</v>
      </c>
      <c r="J14" s="45"/>
      <c r="K14" s="44" t="str">
        <f>"110,0"</f>
        <v>110,0</v>
      </c>
      <c r="L14" s="46" t="str">
        <f>"115,4120"</f>
        <v>115,4120</v>
      </c>
      <c r="M14" s="44" t="s">
        <v>22</v>
      </c>
    </row>
    <row r="15" spans="1:13" x14ac:dyDescent="0.2">
      <c r="A15" s="50" t="s">
        <v>153</v>
      </c>
      <c r="B15" s="50" t="s">
        <v>154</v>
      </c>
      <c r="C15" s="50" t="s">
        <v>155</v>
      </c>
      <c r="D15" s="50" t="str">
        <f>"1,1062"</f>
        <v>1,1062</v>
      </c>
      <c r="E15" s="50" t="s">
        <v>17</v>
      </c>
      <c r="F15" s="50" t="s">
        <v>42</v>
      </c>
      <c r="G15" s="52" t="s">
        <v>156</v>
      </c>
      <c r="H15" s="52" t="s">
        <v>56</v>
      </c>
      <c r="I15" s="51"/>
      <c r="J15" s="51"/>
      <c r="K15" s="50" t="str">
        <f>"110,0"</f>
        <v>110,0</v>
      </c>
      <c r="L15" s="52" t="str">
        <f>"127,0360"</f>
        <v>127,0360</v>
      </c>
      <c r="M15" s="50" t="s">
        <v>22</v>
      </c>
    </row>
    <row r="17" spans="1:13" ht="15" x14ac:dyDescent="0.2">
      <c r="A17" s="42" t="s">
        <v>116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3" x14ac:dyDescent="0.2">
      <c r="A18" s="14" t="s">
        <v>157</v>
      </c>
      <c r="B18" s="14" t="s">
        <v>158</v>
      </c>
      <c r="C18" s="14" t="s">
        <v>159</v>
      </c>
      <c r="D18" s="14" t="str">
        <f>"0,8994"</f>
        <v>0,8994</v>
      </c>
      <c r="E18" s="14" t="s">
        <v>17</v>
      </c>
      <c r="F18" s="14" t="s">
        <v>28</v>
      </c>
      <c r="G18" s="16" t="s">
        <v>160</v>
      </c>
      <c r="H18" s="16" t="s">
        <v>161</v>
      </c>
      <c r="I18" s="16" t="s">
        <v>162</v>
      </c>
      <c r="J18" s="15"/>
      <c r="K18" s="14" t="str">
        <f>"200,0"</f>
        <v>200,0</v>
      </c>
      <c r="L18" s="16" t="str">
        <f>"179,8800"</f>
        <v>179,8800</v>
      </c>
      <c r="M18" s="14" t="s">
        <v>22</v>
      </c>
    </row>
    <row r="20" spans="1:13" ht="15" x14ac:dyDescent="0.2">
      <c r="A20" s="42" t="s">
        <v>122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3" x14ac:dyDescent="0.2">
      <c r="A21" s="14" t="s">
        <v>163</v>
      </c>
      <c r="B21" s="14" t="s">
        <v>164</v>
      </c>
      <c r="C21" s="14" t="s">
        <v>165</v>
      </c>
      <c r="D21" s="14" t="str">
        <f>"0,8590"</f>
        <v>0,8590</v>
      </c>
      <c r="E21" s="14" t="s">
        <v>17</v>
      </c>
      <c r="F21" s="14" t="s">
        <v>67</v>
      </c>
      <c r="G21" s="16" t="s">
        <v>43</v>
      </c>
      <c r="H21" s="16" t="s">
        <v>82</v>
      </c>
      <c r="I21" s="16" t="s">
        <v>166</v>
      </c>
      <c r="J21" s="15"/>
      <c r="K21" s="14" t="str">
        <f>"150,0"</f>
        <v>150,0</v>
      </c>
      <c r="L21" s="16" t="str">
        <f>"128,8500"</f>
        <v>128,8500</v>
      </c>
      <c r="M21" s="14" t="s">
        <v>22</v>
      </c>
    </row>
  </sheetData>
  <mergeCells count="16">
    <mergeCell ref="M3:M4"/>
    <mergeCell ref="A5:L5"/>
    <mergeCell ref="A10:L10"/>
    <mergeCell ref="A13:L13"/>
    <mergeCell ref="A17:L17"/>
    <mergeCell ref="A20:L20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M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0.5703125" style="4" bestFit="1" customWidth="1"/>
    <col min="4" max="4" width="8.42578125" style="4" bestFit="1" customWidth="1"/>
    <col min="5" max="5" width="22.7109375" style="4" bestFit="1" customWidth="1"/>
    <col min="6" max="6" width="27.4257812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8.85546875" style="4" bestFit="1" customWidth="1"/>
    <col min="14" max="16384" width="9.140625" style="3"/>
  </cols>
  <sheetData>
    <row r="1" spans="1:13" s="32" customFormat="1" x14ac:dyDescent="0.2">
      <c r="A1" s="19" t="s">
        <v>204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s="32" customFormat="1" ht="57.75" customHeight="1" thickBo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37" customFormat="1" ht="15" x14ac:dyDescent="0.2">
      <c r="A3" s="33" t="s">
        <v>0</v>
      </c>
      <c r="B3" s="34" t="s">
        <v>8</v>
      </c>
      <c r="C3" s="34" t="s">
        <v>9</v>
      </c>
      <c r="D3" s="35" t="s">
        <v>11</v>
      </c>
      <c r="E3" s="35" t="s">
        <v>6</v>
      </c>
      <c r="F3" s="35" t="s">
        <v>10</v>
      </c>
      <c r="G3" s="35" t="s">
        <v>167</v>
      </c>
      <c r="H3" s="35"/>
      <c r="I3" s="35"/>
      <c r="J3" s="35"/>
      <c r="K3" s="35" t="s">
        <v>23</v>
      </c>
      <c r="L3" s="35" t="s">
        <v>5</v>
      </c>
      <c r="M3" s="36" t="s">
        <v>4</v>
      </c>
    </row>
    <row r="4" spans="1:13" s="37" customFormat="1" ht="15.75" thickBot="1" x14ac:dyDescent="0.25">
      <c r="A4" s="38"/>
      <c r="B4" s="39"/>
      <c r="C4" s="39"/>
      <c r="D4" s="39"/>
      <c r="E4" s="39"/>
      <c r="F4" s="39"/>
      <c r="G4" s="40">
        <v>1</v>
      </c>
      <c r="H4" s="40">
        <v>2</v>
      </c>
      <c r="I4" s="40">
        <v>3</v>
      </c>
      <c r="J4" s="40" t="s">
        <v>7</v>
      </c>
      <c r="K4" s="39"/>
      <c r="L4" s="39"/>
      <c r="M4" s="41"/>
    </row>
    <row r="5" spans="1:13" ht="15" x14ac:dyDescent="0.2">
      <c r="A5" s="13" t="s">
        <v>78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x14ac:dyDescent="0.2">
      <c r="A6" s="44" t="s">
        <v>168</v>
      </c>
      <c r="B6" s="44" t="s">
        <v>169</v>
      </c>
      <c r="C6" s="44" t="s">
        <v>170</v>
      </c>
      <c r="D6" s="44" t="str">
        <f>"1,0564"</f>
        <v>1,0564</v>
      </c>
      <c r="E6" s="44" t="s">
        <v>17</v>
      </c>
      <c r="F6" s="44" t="s">
        <v>87</v>
      </c>
      <c r="G6" s="46" t="s">
        <v>171</v>
      </c>
      <c r="H6" s="46" t="s">
        <v>90</v>
      </c>
      <c r="I6" s="45" t="s">
        <v>160</v>
      </c>
      <c r="J6" s="45"/>
      <c r="K6" s="44" t="str">
        <f>"170,0"</f>
        <v>170,0</v>
      </c>
      <c r="L6" s="46" t="str">
        <f>"179,5880"</f>
        <v>179,5880</v>
      </c>
      <c r="M6" s="44" t="s">
        <v>22</v>
      </c>
    </row>
    <row r="7" spans="1:13" x14ac:dyDescent="0.2">
      <c r="A7" s="50" t="s">
        <v>84</v>
      </c>
      <c r="B7" s="50" t="s">
        <v>85</v>
      </c>
      <c r="C7" s="50" t="s">
        <v>86</v>
      </c>
      <c r="D7" s="50" t="str">
        <f>"1,0816"</f>
        <v>1,0816</v>
      </c>
      <c r="E7" s="50" t="s">
        <v>17</v>
      </c>
      <c r="F7" s="50" t="s">
        <v>87</v>
      </c>
      <c r="G7" s="52" t="s">
        <v>83</v>
      </c>
      <c r="H7" s="51" t="s">
        <v>111</v>
      </c>
      <c r="I7" s="51"/>
      <c r="J7" s="51"/>
      <c r="K7" s="50" t="str">
        <f>"145,0"</f>
        <v>145,0</v>
      </c>
      <c r="L7" s="52" t="str">
        <f>"156,8320"</f>
        <v>156,8320</v>
      </c>
      <c r="M7" s="50" t="s">
        <v>22</v>
      </c>
    </row>
    <row r="9" spans="1:13" ht="15" x14ac:dyDescent="0.2">
      <c r="A9" s="42" t="s">
        <v>88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 x14ac:dyDescent="0.2">
      <c r="A10" s="14" t="s">
        <v>172</v>
      </c>
      <c r="B10" s="14" t="s">
        <v>173</v>
      </c>
      <c r="C10" s="14" t="s">
        <v>174</v>
      </c>
      <c r="D10" s="14" t="str">
        <f>"0,9720"</f>
        <v>0,9720</v>
      </c>
      <c r="E10" s="14" t="s">
        <v>17</v>
      </c>
      <c r="F10" s="14" t="s">
        <v>28</v>
      </c>
      <c r="G10" s="16" t="s">
        <v>175</v>
      </c>
      <c r="H10" s="16" t="s">
        <v>176</v>
      </c>
      <c r="I10" s="15" t="s">
        <v>19</v>
      </c>
      <c r="J10" s="15"/>
      <c r="K10" s="14" t="str">
        <f>"222,5"</f>
        <v>222,5</v>
      </c>
      <c r="L10" s="16" t="str">
        <f>"216,2700"</f>
        <v>216,2700</v>
      </c>
      <c r="M10" s="14" t="s">
        <v>22</v>
      </c>
    </row>
    <row r="12" spans="1:13" ht="15" x14ac:dyDescent="0.2">
      <c r="A12" s="42" t="s">
        <v>13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3" x14ac:dyDescent="0.2">
      <c r="A13" s="14" t="s">
        <v>177</v>
      </c>
      <c r="B13" s="14" t="s">
        <v>178</v>
      </c>
      <c r="C13" s="14" t="s">
        <v>179</v>
      </c>
      <c r="D13" s="14" t="str">
        <f>"0,9442"</f>
        <v>0,9442</v>
      </c>
      <c r="E13" s="14" t="s">
        <v>17</v>
      </c>
      <c r="F13" s="14" t="s">
        <v>67</v>
      </c>
      <c r="G13" s="16" t="s">
        <v>91</v>
      </c>
      <c r="H13" s="16" t="s">
        <v>180</v>
      </c>
      <c r="I13" s="16" t="s">
        <v>181</v>
      </c>
      <c r="J13" s="15"/>
      <c r="K13" s="14" t="str">
        <f>"212,5"</f>
        <v>212,5</v>
      </c>
      <c r="L13" s="16" t="str">
        <f>"200,6425"</f>
        <v>200,6425</v>
      </c>
      <c r="M13" s="14" t="s">
        <v>22</v>
      </c>
    </row>
  </sheetData>
  <mergeCells count="14">
    <mergeCell ref="M3:M4"/>
    <mergeCell ref="A5:L5"/>
    <mergeCell ref="A9:L9"/>
    <mergeCell ref="A12:L12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11" sqref="C11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0.5703125" style="4" bestFit="1" customWidth="1"/>
    <col min="4" max="4" width="8.42578125" style="4" bestFit="1" customWidth="1"/>
    <col min="5" max="5" width="22.7109375" style="4" bestFit="1" customWidth="1"/>
    <col min="6" max="6" width="29.7109375" style="4" bestFit="1" customWidth="1"/>
    <col min="7" max="7" width="5.5703125" style="3" bestFit="1" customWidth="1"/>
    <col min="8" max="8" width="4.5703125" style="57" bestFit="1" customWidth="1"/>
    <col min="9" max="9" width="7.85546875" style="4" bestFit="1" customWidth="1"/>
    <col min="10" max="10" width="9.5703125" style="3" bestFit="1" customWidth="1"/>
    <col min="11" max="11" width="8.85546875" style="4" bestFit="1" customWidth="1"/>
    <col min="12" max="16384" width="9.140625" style="3"/>
  </cols>
  <sheetData>
    <row r="1" spans="1:11" s="32" customFormat="1" ht="29.1" customHeight="1" x14ac:dyDescent="0.2">
      <c r="A1" s="19" t="s">
        <v>193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s="32" customFormat="1" ht="62.1" customHeight="1" thickBo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s="37" customFormat="1" ht="12.75" customHeight="1" x14ac:dyDescent="0.2">
      <c r="A3" s="33" t="s">
        <v>0</v>
      </c>
      <c r="B3" s="34" t="s">
        <v>8</v>
      </c>
      <c r="C3" s="58" t="s">
        <v>9</v>
      </c>
      <c r="D3" s="35" t="s">
        <v>11</v>
      </c>
      <c r="E3" s="35" t="s">
        <v>6</v>
      </c>
      <c r="F3" s="35" t="s">
        <v>10</v>
      </c>
      <c r="G3" s="35" t="s">
        <v>182</v>
      </c>
      <c r="H3" s="35"/>
      <c r="I3" s="35" t="s">
        <v>183</v>
      </c>
      <c r="J3" s="35" t="s">
        <v>5</v>
      </c>
      <c r="K3" s="36" t="s">
        <v>4</v>
      </c>
    </row>
    <row r="4" spans="1:11" s="37" customFormat="1" ht="21" customHeight="1" thickBot="1" x14ac:dyDescent="0.25">
      <c r="A4" s="38"/>
      <c r="B4" s="39"/>
      <c r="C4" s="59"/>
      <c r="D4" s="39"/>
      <c r="E4" s="39"/>
      <c r="F4" s="39"/>
      <c r="G4" s="40" t="s">
        <v>184</v>
      </c>
      <c r="H4" s="53" t="s">
        <v>185</v>
      </c>
      <c r="I4" s="39"/>
      <c r="J4" s="39"/>
      <c r="K4" s="41"/>
    </row>
    <row r="5" spans="1:11" ht="15" x14ac:dyDescent="0.2">
      <c r="A5" s="13" t="s">
        <v>46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x14ac:dyDescent="0.2">
      <c r="A6" s="44" t="s">
        <v>186</v>
      </c>
      <c r="B6" s="44" t="s">
        <v>59</v>
      </c>
      <c r="C6" s="44" t="s">
        <v>60</v>
      </c>
      <c r="D6" s="44" t="str">
        <f>"1,2530"</f>
        <v>1,2530</v>
      </c>
      <c r="E6" s="44" t="s">
        <v>17</v>
      </c>
      <c r="F6" s="44" t="s">
        <v>61</v>
      </c>
      <c r="G6" s="46" t="s">
        <v>68</v>
      </c>
      <c r="H6" s="54" t="s">
        <v>187</v>
      </c>
      <c r="I6" s="44" t="str">
        <f>"1620,0"</f>
        <v>1620,0</v>
      </c>
      <c r="J6" s="46" t="str">
        <f>"2029,8600"</f>
        <v>2029,8600</v>
      </c>
      <c r="K6" s="44" t="s">
        <v>22</v>
      </c>
    </row>
    <row r="7" spans="1:11" x14ac:dyDescent="0.2">
      <c r="A7" s="50" t="s">
        <v>53</v>
      </c>
      <c r="B7" s="50" t="s">
        <v>54</v>
      </c>
      <c r="C7" s="50" t="s">
        <v>55</v>
      </c>
      <c r="D7" s="50" t="str">
        <f>"1,2370"</f>
        <v>1,2370</v>
      </c>
      <c r="E7" s="50" t="s">
        <v>17</v>
      </c>
      <c r="F7" s="50" t="s">
        <v>28</v>
      </c>
      <c r="G7" s="52" t="s">
        <v>68</v>
      </c>
      <c r="H7" s="55" t="s">
        <v>188</v>
      </c>
      <c r="I7" s="50" t="str">
        <f>"1485,0"</f>
        <v>1485,0</v>
      </c>
      <c r="J7" s="52" t="str">
        <f>"1836,9450"</f>
        <v>1836,9450</v>
      </c>
      <c r="K7" s="50" t="s">
        <v>22</v>
      </c>
    </row>
    <row r="9" spans="1:11" ht="15" x14ac:dyDescent="0.2">
      <c r="A9" s="42" t="s">
        <v>78</v>
      </c>
      <c r="B9" s="43"/>
      <c r="C9" s="43"/>
      <c r="D9" s="43"/>
      <c r="E9" s="43"/>
      <c r="F9" s="43"/>
      <c r="G9" s="43"/>
      <c r="H9" s="43"/>
      <c r="I9" s="43"/>
      <c r="J9" s="43"/>
    </row>
    <row r="10" spans="1:11" x14ac:dyDescent="0.2">
      <c r="A10" s="14" t="s">
        <v>189</v>
      </c>
      <c r="B10" s="14" t="s">
        <v>85</v>
      </c>
      <c r="C10" s="14" t="s">
        <v>86</v>
      </c>
      <c r="D10" s="14" t="str">
        <f>"1,0816"</f>
        <v>1,0816</v>
      </c>
      <c r="E10" s="14" t="s">
        <v>17</v>
      </c>
      <c r="F10" s="14" t="s">
        <v>87</v>
      </c>
      <c r="G10" s="16" t="s">
        <v>190</v>
      </c>
      <c r="H10" s="56" t="s">
        <v>191</v>
      </c>
      <c r="I10" s="14" t="str">
        <f>"1520,0"</f>
        <v>1520,0</v>
      </c>
      <c r="J10" s="16" t="str">
        <f>"1644,0319"</f>
        <v>1644,0319</v>
      </c>
      <c r="K10" s="14" t="s">
        <v>22</v>
      </c>
    </row>
    <row r="12" spans="1:11" ht="15" x14ac:dyDescent="0.2">
      <c r="A12" s="42" t="s">
        <v>116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1" x14ac:dyDescent="0.2">
      <c r="A13" s="14" t="s">
        <v>117</v>
      </c>
      <c r="B13" s="14" t="s">
        <v>118</v>
      </c>
      <c r="C13" s="14" t="s">
        <v>119</v>
      </c>
      <c r="D13" s="14" t="str">
        <f>"0,8900"</f>
        <v>0,8900</v>
      </c>
      <c r="E13" s="14" t="s">
        <v>17</v>
      </c>
      <c r="F13" s="14" t="s">
        <v>120</v>
      </c>
      <c r="G13" s="16" t="s">
        <v>56</v>
      </c>
      <c r="H13" s="56" t="s">
        <v>192</v>
      </c>
      <c r="I13" s="14" t="str">
        <f>"2530,0"</f>
        <v>2530,0</v>
      </c>
      <c r="J13" s="16" t="str">
        <f>"2251,7000"</f>
        <v>2251,7000</v>
      </c>
      <c r="K13" s="14" t="s">
        <v>22</v>
      </c>
    </row>
  </sheetData>
  <mergeCells count="14">
    <mergeCell ref="K3:K4"/>
    <mergeCell ref="A5:J5"/>
    <mergeCell ref="A9:J9"/>
    <mergeCell ref="A12:J12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A26" sqref="A26"/>
    </sheetView>
  </sheetViews>
  <sheetFormatPr defaultRowHeight="12.75" x14ac:dyDescent="0.2"/>
  <cols>
    <col min="1" max="1" width="25.85546875" style="4" bestFit="1" customWidth="1"/>
    <col min="2" max="2" width="27.85546875" style="4" customWidth="1"/>
    <col min="3" max="3" width="10" style="4" customWidth="1"/>
    <col min="4" max="4" width="6.5703125" style="4" bestFit="1" customWidth="1"/>
    <col min="5" max="5" width="23.7109375" style="4" bestFit="1" customWidth="1"/>
    <col min="6" max="6" width="21.140625" style="4" bestFit="1" customWidth="1"/>
    <col min="7" max="7" width="5.5703125" style="3" bestFit="1" customWidth="1"/>
    <col min="8" max="8" width="7" style="3" customWidth="1"/>
    <col min="9" max="9" width="6.28515625" style="3" bestFit="1" customWidth="1"/>
    <col min="10" max="10" width="5.5703125" style="3" bestFit="1" customWidth="1"/>
    <col min="11" max="13" width="7" style="3" bestFit="1" customWidth="1"/>
    <col min="14" max="14" width="5.5703125" style="3" bestFit="1" customWidth="1"/>
    <col min="15" max="16" width="7" style="3" bestFit="1" customWidth="1"/>
    <col min="17" max="17" width="6.28515625" style="3" bestFit="1" customWidth="1"/>
    <col min="18" max="18" width="5.5703125" style="3" bestFit="1" customWidth="1"/>
    <col min="19" max="19" width="7.85546875" style="4" bestFit="1" customWidth="1"/>
    <col min="20" max="20" width="8.5703125" style="3" bestFit="1" customWidth="1"/>
    <col min="21" max="21" width="23" style="4" bestFit="1" customWidth="1"/>
    <col min="22" max="16384" width="9.140625" style="3"/>
  </cols>
  <sheetData>
    <row r="1" spans="1:21" s="32" customFormat="1" x14ac:dyDescent="0.2">
      <c r="A1" s="19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</row>
    <row r="2" spans="1:21" s="32" customFormat="1" ht="53.25" customHeight="1" thickBo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</row>
    <row r="3" spans="1:21" s="37" customFormat="1" ht="15" x14ac:dyDescent="0.2">
      <c r="A3" s="33" t="s">
        <v>0</v>
      </c>
      <c r="B3" s="34" t="s">
        <v>8</v>
      </c>
      <c r="C3" s="34" t="s">
        <v>9</v>
      </c>
      <c r="D3" s="35" t="s">
        <v>11</v>
      </c>
      <c r="E3" s="35" t="s">
        <v>6</v>
      </c>
      <c r="F3" s="35" t="s">
        <v>10</v>
      </c>
      <c r="G3" s="35" t="s">
        <v>1</v>
      </c>
      <c r="H3" s="35"/>
      <c r="I3" s="35"/>
      <c r="J3" s="35"/>
      <c r="K3" s="35" t="s">
        <v>194</v>
      </c>
      <c r="L3" s="35"/>
      <c r="M3" s="35"/>
      <c r="N3" s="35"/>
      <c r="O3" s="35" t="s">
        <v>2</v>
      </c>
      <c r="P3" s="35"/>
      <c r="Q3" s="35"/>
      <c r="R3" s="35"/>
      <c r="S3" s="35" t="s">
        <v>3</v>
      </c>
      <c r="T3" s="35" t="s">
        <v>5</v>
      </c>
      <c r="U3" s="36" t="s">
        <v>4</v>
      </c>
    </row>
    <row r="4" spans="1:21" s="37" customFormat="1" ht="15.75" thickBot="1" x14ac:dyDescent="0.25">
      <c r="A4" s="38"/>
      <c r="B4" s="39"/>
      <c r="C4" s="39"/>
      <c r="D4" s="39"/>
      <c r="E4" s="39"/>
      <c r="F4" s="39"/>
      <c r="G4" s="40">
        <v>1</v>
      </c>
      <c r="H4" s="40">
        <v>2</v>
      </c>
      <c r="I4" s="40">
        <v>3</v>
      </c>
      <c r="J4" s="40" t="s">
        <v>7</v>
      </c>
      <c r="K4" s="40">
        <v>1</v>
      </c>
      <c r="L4" s="40">
        <v>2</v>
      </c>
      <c r="M4" s="40">
        <v>3</v>
      </c>
      <c r="N4" s="40" t="s">
        <v>7</v>
      </c>
      <c r="O4" s="40">
        <v>1</v>
      </c>
      <c r="P4" s="40">
        <v>2</v>
      </c>
      <c r="Q4" s="40">
        <v>3</v>
      </c>
      <c r="R4" s="40" t="s">
        <v>7</v>
      </c>
      <c r="S4" s="39"/>
      <c r="T4" s="39"/>
      <c r="U4" s="41"/>
    </row>
    <row r="5" spans="1:21" ht="15" x14ac:dyDescent="0.2">
      <c r="A5" s="13" t="s">
        <v>78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1" x14ac:dyDescent="0.2">
      <c r="A6" s="14" t="s">
        <v>148</v>
      </c>
      <c r="B6" s="14" t="s">
        <v>149</v>
      </c>
      <c r="C6" s="14" t="s">
        <v>150</v>
      </c>
      <c r="D6" s="14" t="str">
        <f>"1,0492"</f>
        <v>1,0492</v>
      </c>
      <c r="E6" s="14" t="s">
        <v>17</v>
      </c>
      <c r="F6" s="14" t="s">
        <v>151</v>
      </c>
      <c r="G6" s="15"/>
      <c r="H6" s="15"/>
      <c r="I6" s="15"/>
      <c r="J6" s="15"/>
      <c r="K6" s="16" t="s">
        <v>69</v>
      </c>
      <c r="L6" s="15" t="s">
        <v>195</v>
      </c>
      <c r="M6" s="15"/>
      <c r="N6" s="15"/>
      <c r="O6" s="15"/>
      <c r="P6" s="15"/>
      <c r="Q6" s="15"/>
      <c r="R6" s="15"/>
      <c r="S6" s="14" t="str">
        <f>"1237,5"</f>
        <v>1237,5</v>
      </c>
      <c r="T6" s="16" t="str">
        <f>"1298,3851"</f>
        <v>1298,3851</v>
      </c>
      <c r="U6" s="14" t="s">
        <v>22</v>
      </c>
    </row>
    <row r="8" spans="1:21" ht="15" x14ac:dyDescent="0.2">
      <c r="A8" s="42" t="s">
        <v>88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1" x14ac:dyDescent="0.2">
      <c r="A9" s="14" t="s">
        <v>196</v>
      </c>
      <c r="B9" s="14" t="s">
        <v>197</v>
      </c>
      <c r="C9" s="14" t="s">
        <v>198</v>
      </c>
      <c r="D9" s="14" t="str">
        <f>"1,0044"</f>
        <v>1,0044</v>
      </c>
      <c r="E9" s="14" t="s">
        <v>17</v>
      </c>
      <c r="F9" s="14" t="s">
        <v>67</v>
      </c>
      <c r="G9" s="15"/>
      <c r="H9" s="15"/>
      <c r="I9" s="15"/>
      <c r="J9" s="15"/>
      <c r="K9" s="16" t="s">
        <v>199</v>
      </c>
      <c r="L9" s="15" t="s">
        <v>187</v>
      </c>
      <c r="M9" s="15"/>
      <c r="N9" s="15"/>
      <c r="O9" s="15"/>
      <c r="P9" s="15"/>
      <c r="Q9" s="15"/>
      <c r="R9" s="15"/>
      <c r="S9" s="14" t="str">
        <f>"2100,0"</f>
        <v>2100,0</v>
      </c>
      <c r="T9" s="16" t="str">
        <f>"2109,2400"</f>
        <v>2109,2400</v>
      </c>
      <c r="U9" s="14" t="s">
        <v>22</v>
      </c>
    </row>
  </sheetData>
  <mergeCells count="15">
    <mergeCell ref="S3:S4"/>
    <mergeCell ref="T3:T4"/>
    <mergeCell ref="U3:U4"/>
    <mergeCell ref="A5:T5"/>
    <mergeCell ref="A8:T8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AGPC BP EQ</vt:lpstr>
      <vt:lpstr>AGPC BP RAW</vt:lpstr>
      <vt:lpstr>GPC BP RAW</vt:lpstr>
      <vt:lpstr>AGPC тяга RAW </vt:lpstr>
      <vt:lpstr>AGPC НЖ</vt:lpstr>
      <vt:lpstr>GPC НЖ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Olga Perevalova</cp:lastModifiedBy>
  <cp:lastPrinted>2015-07-16T19:10:53Z</cp:lastPrinted>
  <dcterms:created xsi:type="dcterms:W3CDTF">2002-06-16T13:36:44Z</dcterms:created>
  <dcterms:modified xsi:type="dcterms:W3CDTF">2019-05-30T20:39:13Z</dcterms:modified>
</cp:coreProperties>
</file>