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Ноябрь/"/>
    </mc:Choice>
  </mc:AlternateContent>
  <xr:revisionPtr revIDLastSave="0" documentId="13_ncr:1_{39C4A8CB-05B2-3144-9F3D-CDF6B2D11553}" xr6:coauthVersionLast="45" xr6:coauthVersionMax="45" xr10:uidLastSave="{00000000-0000-0000-0000-000000000000}"/>
  <bookViews>
    <workbookView xWindow="480" yWindow="460" windowWidth="28320" windowHeight="16040" tabRatio="961" xr2:uid="{00000000-000D-0000-FFFF-FFFF00000000}"/>
  </bookViews>
  <sheets>
    <sheet name="BP Biathlon DT" sheetId="46" r:id="rId1"/>
    <sheet name="BP Biathlon" sheetId="47" r:id="rId2"/>
    <sheet name="BP Biathlon Women" sheetId="45" r:id="rId3"/>
    <sheet name="BP Biathlon Soft SP" sheetId="54" r:id="rId4"/>
    <sheet name="BP Biathlon Soft MP DT" sheetId="52" r:id="rId5"/>
    <sheet name="BP Biathlon Soft MP" sheetId="53" r:id="rId6"/>
    <sheet name="BP Biathlon Army DT" sheetId="61" r:id="rId7"/>
    <sheet name="BP Biathlon Army " sheetId="62" r:id="rId8"/>
    <sheet name="BP Military" sheetId="49" r:id="rId9"/>
    <sheet name="BP Max" sheetId="48" r:id="rId10"/>
    <sheet name="BP Soft SP Max DT" sheetId="57" r:id="rId11"/>
    <sheet name="BP Soft SP Max" sheetId="58" r:id="rId12"/>
    <sheet name="BP Soft MP Max DT" sheetId="55" r:id="rId13"/>
    <sheet name="BP Soft MP Max" sheetId="56" r:id="rId14"/>
    <sheet name="BP Army Max" sheetId="63" r:id="rId15"/>
    <sheet name="BP Military Max" sheetId="50" r:id="rId16"/>
    <sheet name="Biathlon DL" sheetId="70" r:id="rId17"/>
  </sheets>
  <definedNames>
    <definedName name="_FilterDatabase" localSheetId="16" hidden="1">'Biathlon DL'!$A$1:$K$3</definedName>
    <definedName name="_FilterDatabase" localSheetId="1" hidden="1">'BP Biathlon'!$B$1:$K$3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70" l="1"/>
  <c r="L6" i="70"/>
  <c r="K6" i="63"/>
  <c r="L6" i="63"/>
  <c r="K9" i="63"/>
  <c r="L9" i="63"/>
  <c r="K6" i="62"/>
  <c r="L6" i="62"/>
  <c r="K6" i="61"/>
  <c r="L6" i="61"/>
  <c r="K6" i="58"/>
  <c r="L6" i="58"/>
  <c r="K9" i="58"/>
  <c r="L9" i="58"/>
  <c r="K12" i="58"/>
  <c r="L12" i="58"/>
  <c r="K13" i="58"/>
  <c r="L13" i="58"/>
  <c r="K6" i="57"/>
  <c r="L6" i="57"/>
  <c r="K7" i="57"/>
  <c r="L7" i="57"/>
  <c r="K6" i="56"/>
  <c r="L6" i="56"/>
  <c r="K7" i="56"/>
  <c r="L7" i="56"/>
  <c r="K8" i="56"/>
  <c r="L8" i="56"/>
  <c r="K9" i="56"/>
  <c r="L9" i="56"/>
  <c r="K6" i="55"/>
  <c r="L6" i="55"/>
  <c r="K6" i="54"/>
  <c r="L6" i="54"/>
  <c r="K9" i="54"/>
  <c r="L9" i="54"/>
  <c r="K10" i="54"/>
  <c r="L10" i="54"/>
  <c r="K6" i="53"/>
  <c r="L6" i="53"/>
  <c r="K7" i="53"/>
  <c r="L7" i="53"/>
  <c r="K8" i="53"/>
  <c r="L8" i="53"/>
  <c r="K11" i="53"/>
  <c r="L11" i="53"/>
  <c r="K6" i="52"/>
  <c r="L6" i="52"/>
  <c r="K6" i="50"/>
  <c r="L6" i="50"/>
  <c r="K9" i="50"/>
  <c r="L9" i="50"/>
  <c r="K6" i="49"/>
  <c r="L6" i="49"/>
  <c r="K6" i="48"/>
  <c r="L6" i="48"/>
  <c r="K6" i="47"/>
  <c r="L6" i="47"/>
  <c r="K9" i="47"/>
  <c r="L9" i="47"/>
  <c r="K10" i="47"/>
  <c r="L10" i="47"/>
  <c r="K6" i="46"/>
  <c r="L6" i="46"/>
  <c r="K9" i="46"/>
  <c r="L9" i="46"/>
  <c r="K6" i="45"/>
  <c r="L6" i="45"/>
  <c r="K9" i="45"/>
  <c r="L9" i="45"/>
</calcChain>
</file>

<file path=xl/sharedStrings.xml><?xml version="1.0" encoding="utf-8"?>
<sst xmlns="http://schemas.openxmlformats.org/spreadsheetml/2006/main" count="554" uniqueCount="197">
  <si>
    <t>ФИО</t>
  </si>
  <si>
    <t>Сумма</t>
  </si>
  <si>
    <t>Тренер</t>
  </si>
  <si>
    <t>Очки</t>
  </si>
  <si>
    <t>Рек</t>
  </si>
  <si>
    <t>Собственный 
вес</t>
  </si>
  <si>
    <t>Жим лёжа</t>
  </si>
  <si>
    <t>Становая тяга</t>
  </si>
  <si>
    <t>ВЕСОВАЯ КАТЕГОРИЯ   110</t>
  </si>
  <si>
    <t>235,0</t>
  </si>
  <si>
    <t>240,0</t>
  </si>
  <si>
    <t>250,0</t>
  </si>
  <si>
    <t>150,0</t>
  </si>
  <si>
    <t>160,0</t>
  </si>
  <si>
    <t>245,0</t>
  </si>
  <si>
    <t>1</t>
  </si>
  <si>
    <t/>
  </si>
  <si>
    <t>125,0</t>
  </si>
  <si>
    <t>130,0</t>
  </si>
  <si>
    <t>145,0</t>
  </si>
  <si>
    <t>ВЕСОВАЯ КАТЕГОРИЯ   90</t>
  </si>
  <si>
    <t xml:space="preserve">RUS/Раменское </t>
  </si>
  <si>
    <t>110,0</t>
  </si>
  <si>
    <t>120,0</t>
  </si>
  <si>
    <t>100,0</t>
  </si>
  <si>
    <t>140,0</t>
  </si>
  <si>
    <t>265,0</t>
  </si>
  <si>
    <t>210,0</t>
  </si>
  <si>
    <t>220,0</t>
  </si>
  <si>
    <t>147,5</t>
  </si>
  <si>
    <t>255,0</t>
  </si>
  <si>
    <t>180,0</t>
  </si>
  <si>
    <t>260,0</t>
  </si>
  <si>
    <t>190,0</t>
  </si>
  <si>
    <t>200,0</t>
  </si>
  <si>
    <t>292,5</t>
  </si>
  <si>
    <t>155,0</t>
  </si>
  <si>
    <t>ВЕСОВАЯ КАТЕГОРИЯ   100</t>
  </si>
  <si>
    <t xml:space="preserve">RUS/Москва </t>
  </si>
  <si>
    <t>320,0</t>
  </si>
  <si>
    <t>280,0</t>
  </si>
  <si>
    <t>300,0</t>
  </si>
  <si>
    <t>330,0</t>
  </si>
  <si>
    <t>170,0</t>
  </si>
  <si>
    <t>335,0</t>
  </si>
  <si>
    <t>222,5</t>
  </si>
  <si>
    <t xml:space="preserve">RUS/Егорьевск </t>
  </si>
  <si>
    <t>175,0</t>
  </si>
  <si>
    <t>2</t>
  </si>
  <si>
    <t>3</t>
  </si>
  <si>
    <t>75,0</t>
  </si>
  <si>
    <t>67,5</t>
  </si>
  <si>
    <t>107,5</t>
  </si>
  <si>
    <t>112,5</t>
  </si>
  <si>
    <t>72,5</t>
  </si>
  <si>
    <t>52,5</t>
  </si>
  <si>
    <t>105,0</t>
  </si>
  <si>
    <t>165,0</t>
  </si>
  <si>
    <t>89,10</t>
  </si>
  <si>
    <t>89,80</t>
  </si>
  <si>
    <t>202,5</t>
  </si>
  <si>
    <t>98,40</t>
  </si>
  <si>
    <t>172,5</t>
  </si>
  <si>
    <t>315,0</t>
  </si>
  <si>
    <t>108,30</t>
  </si>
  <si>
    <t>ВЕСОВАЯ КАТЕГОРИЯ   60</t>
  </si>
  <si>
    <t>47,5</t>
  </si>
  <si>
    <t xml:space="preserve">RUS/Орехово-Зуево </t>
  </si>
  <si>
    <t xml:space="preserve">RUS/Сергиев Посад </t>
  </si>
  <si>
    <t>97,10</t>
  </si>
  <si>
    <t>Результат</t>
  </si>
  <si>
    <t>117,5</t>
  </si>
  <si>
    <t>Мищенко Артем</t>
  </si>
  <si>
    <t>Открытая (26.06.1984)/36</t>
  </si>
  <si>
    <t xml:space="preserve">Чокаев У. </t>
  </si>
  <si>
    <t xml:space="preserve">RUS/Иваново </t>
  </si>
  <si>
    <t>120,00</t>
  </si>
  <si>
    <t>340,0</t>
  </si>
  <si>
    <t>282,5</t>
  </si>
  <si>
    <t xml:space="preserve">RUS/Люберцы </t>
  </si>
  <si>
    <t xml:space="preserve">RUS/Мытищи </t>
  </si>
  <si>
    <t xml:space="preserve">RUS/Лосино-Петровский </t>
  </si>
  <si>
    <t>Открытая (06.02.1983)/37</t>
  </si>
  <si>
    <t>Гамаев Александр</t>
  </si>
  <si>
    <t>365,0</t>
  </si>
  <si>
    <t>355,0</t>
  </si>
  <si>
    <t>106,90</t>
  </si>
  <si>
    <t>Открытая (22.07.1974)/46</t>
  </si>
  <si>
    <t>Сухарев Андрей</t>
  </si>
  <si>
    <t>357,5</t>
  </si>
  <si>
    <t>352,5</t>
  </si>
  <si>
    <t>97,90</t>
  </si>
  <si>
    <t>Семенов Роман</t>
  </si>
  <si>
    <t xml:space="preserve">Емельянов Н. </t>
  </si>
  <si>
    <t>99,50</t>
  </si>
  <si>
    <t>Открытая (07.04.1981)/39</t>
  </si>
  <si>
    <t>Беспаликов Валерий</t>
  </si>
  <si>
    <t>Открытая (17.11.1981)/39</t>
  </si>
  <si>
    <t>Акулич Александр</t>
  </si>
  <si>
    <t>Открытая (12.11.1979)/41</t>
  </si>
  <si>
    <t>Куротченко Игорь</t>
  </si>
  <si>
    <t>247,5</t>
  </si>
  <si>
    <t>109,60</t>
  </si>
  <si>
    <t>Открытая (24.06.1983)/37</t>
  </si>
  <si>
    <t>Сафин Максим</t>
  </si>
  <si>
    <t>110,00</t>
  </si>
  <si>
    <t>Открытая (03.06.1975)/45</t>
  </si>
  <si>
    <t>Василенко Дмитрий</t>
  </si>
  <si>
    <t xml:space="preserve">Каштанов С. </t>
  </si>
  <si>
    <t>117,90</t>
  </si>
  <si>
    <t>Открытая (30.08.1979)/41</t>
  </si>
  <si>
    <t>Емельянов Николай</t>
  </si>
  <si>
    <t xml:space="preserve">Ушков И. </t>
  </si>
  <si>
    <t>89,30</t>
  </si>
  <si>
    <t>Открытая (25.02.1991)/29</t>
  </si>
  <si>
    <t>Илюшин Руслан</t>
  </si>
  <si>
    <t xml:space="preserve">Стасюк И. </t>
  </si>
  <si>
    <t>68,30</t>
  </si>
  <si>
    <t>Кутепова Марина</t>
  </si>
  <si>
    <t>ВЕСОВАЯ КАТЕГОРИЯ   70</t>
  </si>
  <si>
    <t xml:space="preserve">RUS/Коломна </t>
  </si>
  <si>
    <t>58,80</t>
  </si>
  <si>
    <t>Еремина Ирина</t>
  </si>
  <si>
    <t>69,60</t>
  </si>
  <si>
    <t>Открытая (02.07.1981)/39</t>
  </si>
  <si>
    <t>Быков Евгений</t>
  </si>
  <si>
    <t xml:space="preserve">Прокопов М. </t>
  </si>
  <si>
    <t>64,70</t>
  </si>
  <si>
    <t>Харина Валентина</t>
  </si>
  <si>
    <t>99,70</t>
  </si>
  <si>
    <t>Остапенко Кирилл</t>
  </si>
  <si>
    <t>Открытая (06.03.1983)/37</t>
  </si>
  <si>
    <t>Юсупов Анвар</t>
  </si>
  <si>
    <t>84,60</t>
  </si>
  <si>
    <t>Открытая (07.07.1984)/36</t>
  </si>
  <si>
    <t>Смирнов Иван</t>
  </si>
  <si>
    <t xml:space="preserve">RUS/Мурманск </t>
  </si>
  <si>
    <t>105,40</t>
  </si>
  <si>
    <t>Открытая (18.09.1981)/39</t>
  </si>
  <si>
    <t>Кублицкий Александр</t>
  </si>
  <si>
    <t>89,70</t>
  </si>
  <si>
    <t>Смирнов Леонид</t>
  </si>
  <si>
    <t>98,70</t>
  </si>
  <si>
    <t>Открытая (25.02.1986)/34</t>
  </si>
  <si>
    <t>Саркисян Тигран</t>
  </si>
  <si>
    <t>Зиновьев Александр</t>
  </si>
  <si>
    <t>ВЕСОВАЯ КАТЕГОРИЯ   120</t>
  </si>
  <si>
    <t>104,70</t>
  </si>
  <si>
    <t>Капитонов Юрий</t>
  </si>
  <si>
    <t>106,0</t>
  </si>
  <si>
    <t>Жим стоя</t>
  </si>
  <si>
    <t>121,5</t>
  </si>
  <si>
    <t>93,50</t>
  </si>
  <si>
    <t>Открытая (05.04.1978)/42</t>
  </si>
  <si>
    <t>Мельяновский Александр</t>
  </si>
  <si>
    <t>Открытая (01.06.1986)/34</t>
  </si>
  <si>
    <t>Гусев Валентин</t>
  </si>
  <si>
    <t>Мастера 50-59 (20.03.1962)/58</t>
  </si>
  <si>
    <t>Мастера 40-44 (24.12.1977)/42</t>
  </si>
  <si>
    <t>Мастера 40-44 (19.10.1977)/43</t>
  </si>
  <si>
    <t>Мастера 40-44 (19.02.1978)/42</t>
  </si>
  <si>
    <t>Мастера 40-44 (12.01.1979)/41</t>
  </si>
  <si>
    <t>Мастера 60-64 (15.11.1957)/63</t>
  </si>
  <si>
    <t>Мастера 40-44 (11.05.1976)/44</t>
  </si>
  <si>
    <t>Мастера 60-64 (26.09.1957)/63</t>
  </si>
  <si>
    <t>Мастера 40-44 (30.08.1979)/41</t>
  </si>
  <si>
    <t>Мастера 40-44 (12.11.1979)/41</t>
  </si>
  <si>
    <t>Тяговое двоеборье ФЖД
ФЖД Любители тяговое двоеборье
Долгопрудный/Московская область, 21 ноября 2020 года</t>
  </si>
  <si>
    <t>Страна/Город</t>
  </si>
  <si>
    <t xml:space="preserve"> RUS/Москва </t>
  </si>
  <si>
    <t xml:space="preserve">  RUS/Крорлев  </t>
  </si>
  <si>
    <t>Чемпионат Европы
ФЖД Любители с ДК двоеборье
Долгопрудный/Московская область, 21 ноября 2020 года</t>
  </si>
  <si>
    <t>Чемпионат Европы
ФЖД Любители двоеборье
Долгопрудный/Московская область, 21 ноября 2020 года</t>
  </si>
  <si>
    <t>Чемпионат Европы
ФЖД Любители с ДК двоеборье 1/2 веса
Долгопрудный/Московская область, 21 ноября 2020 года</t>
  </si>
  <si>
    <t>Чемпионат Европы
ФЖД Софт экипировка однослойная двоеборье
Долгопрудный/Московская область, 21 ноября 2020 года</t>
  </si>
  <si>
    <t>Чемпионат Европы
ФЖД Софт экипировка многослойная двоеборье с ДК
Долгопрудный/Московская область, 21 ноября 2020 года</t>
  </si>
  <si>
    <t>Чемпионат Европы
ФЖД Софт экипировка многослойная двоеборье
Долгопрудный/Московская область, 21 ноября 2020 года</t>
  </si>
  <si>
    <t>Чемпионат Европы
ФЖД Армейский жим двоеборье с ДК
Долгопрудный/Московская область, 21 ноября 2020 года</t>
  </si>
  <si>
    <t>Чемпионат Европы
ФЖД Армейский жим двоеборье
Долгопрудный/Московская область, 21 ноября 2020 года</t>
  </si>
  <si>
    <t>Чемпионат Европы
ФЖД Военный жим двоеборье 1/2 веса
Долгопрудный/Московская область, 21 ноября 2020 года</t>
  </si>
  <si>
    <t>Чемпионат Европы
ФЖД Любители жим на максимум
Долгопрудный/Московская область, 21 ноября 2020 года</t>
  </si>
  <si>
    <t>Чемпионат Европы
ФЖД Софт экипировка однослойная жим на максимум с ДК
Долгопрудный/Московская область, 21 ноября 2020 года</t>
  </si>
  <si>
    <t>Чемпионат Европы
ФЖД Софт экипировка однослойная жим на максимум
Долгопрудный/Московская область, 21 ноября 2020 года</t>
  </si>
  <si>
    <t>Чемпионат Европы
ФЖД Софт экипировка многослойная жим на максимум с ДК
Долгопрудный/Московская область, 21 ноября 2020 года</t>
  </si>
  <si>
    <t>Чемпионат Европы
ФЖД Софт экипировка многослойная жим на максимум
Долгопрудный/Московская область, 21 ноября 2020 года</t>
  </si>
  <si>
    <t>Чемпионат Европы
ФЖД Армейский жим на максимум
Долгопрудный/Московская область, 21 ноября 2020 года</t>
  </si>
  <si>
    <t>Чемпионат Европы
ФЖД Военный жим на максимум
Долгопрудный/Московская область, 21 ноября 2020 года</t>
  </si>
  <si>
    <t xml:space="preserve">RUS/Мга </t>
  </si>
  <si>
    <t xml:space="preserve">Капитонов Ю. </t>
  </si>
  <si>
    <t>Фотин А.</t>
  </si>
  <si>
    <t>№</t>
  </si>
  <si>
    <t xml:space="preserve">
Дата рождения/Возраст</t>
  </si>
  <si>
    <t>Возрастная группа</t>
  </si>
  <si>
    <t>O</t>
  </si>
  <si>
    <t>M1</t>
  </si>
  <si>
    <t>M5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</si>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</sst>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:M9"/>
  <sheetViews>
    <sheetView tabSelected="1" workbookViewId="0">
      <selection activeCell="K3" sqref="K1:L1048576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13.33203125" style="4" customWidth="1"/>
    <col min="6" max="6" width="21.1640625" style="4" bestFit="1" customWidth="1"/>
    <col min="7" max="10" width="5.5" style="5" customWidth="1"/>
    <col min="11" max="11" width="12" style="5" customWidth="1"/>
    <col min="12" max="12" width="12.5" style="5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86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119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128</v>
      </c>
      <c r="C6" s="6" t="s">
        <v>158</v>
      </c>
      <c r="D6" s="6" t="s">
        <v>127</v>
      </c>
      <c r="E6" s="6" t="s">
        <v>194</v>
      </c>
      <c r="F6" s="6" t="s">
        <v>38</v>
      </c>
      <c r="G6" s="9" t="s">
        <v>24</v>
      </c>
      <c r="H6" s="9" t="s">
        <v>56</v>
      </c>
      <c r="I6" s="9" t="s">
        <v>22</v>
      </c>
      <c r="J6" s="7"/>
      <c r="K6" s="7" t="str">
        <f>"130,0"</f>
        <v>130,0</v>
      </c>
      <c r="L6" s="7" t="str">
        <f>"7337,3193"</f>
        <v>7337,3193</v>
      </c>
      <c r="M6" s="6" t="s">
        <v>126</v>
      </c>
    </row>
    <row r="8" spans="1:13" ht="16">
      <c r="B8" s="36" t="s">
        <v>119</v>
      </c>
      <c r="C8" s="57"/>
      <c r="D8" s="57"/>
      <c r="E8" s="57"/>
      <c r="F8" s="57"/>
      <c r="G8" s="57"/>
      <c r="H8" s="57"/>
      <c r="I8" s="57"/>
      <c r="J8" s="57"/>
    </row>
    <row r="9" spans="1:13">
      <c r="A9" s="26" t="s">
        <v>15</v>
      </c>
      <c r="B9" s="24" t="s">
        <v>125</v>
      </c>
      <c r="C9" s="6" t="s">
        <v>124</v>
      </c>
      <c r="D9" s="6" t="s">
        <v>123</v>
      </c>
      <c r="E9" s="6" t="s">
        <v>193</v>
      </c>
      <c r="F9" s="6" t="s">
        <v>38</v>
      </c>
      <c r="G9" s="9" t="s">
        <v>71</v>
      </c>
      <c r="H9" s="9" t="s">
        <v>23</v>
      </c>
      <c r="I9" s="8" t="s">
        <v>17</v>
      </c>
      <c r="J9" s="7"/>
      <c r="K9" s="7" t="str">
        <f>"151,0"</f>
        <v>151,0</v>
      </c>
      <c r="L9" s="7" t="str">
        <f>"6231,2267"</f>
        <v>6231,2267</v>
      </c>
      <c r="M9" s="6"/>
    </row>
  </sheetData>
  <mergeCells count="13">
    <mergeCell ref="B8:J8"/>
    <mergeCell ref="B5:J5"/>
    <mergeCell ref="B3:B4"/>
    <mergeCell ref="C3:C4"/>
    <mergeCell ref="D3:D4"/>
    <mergeCell ref="E3:E4"/>
    <mergeCell ref="F3:F4"/>
    <mergeCell ref="G3:J3"/>
    <mergeCell ref="A1:M2"/>
    <mergeCell ref="A3:A4"/>
    <mergeCell ref="K3:K4"/>
    <mergeCell ref="L3:L4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33"/>
  <dimension ref="A1:M6"/>
  <sheetViews>
    <sheetView workbookViewId="0">
      <selection sqref="A1:M2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17.6640625" style="4" customWidth="1"/>
    <col min="6" max="6" width="21.1640625" style="4" bestFit="1" customWidth="1"/>
    <col min="7" max="10" width="5.5" style="5" customWidth="1"/>
    <col min="11" max="11" width="13.6640625" style="5" customWidth="1"/>
    <col min="12" max="12" width="8.5" style="5" bestFit="1" customWidth="1"/>
    <col min="13" max="13" width="21" style="4" customWidth="1"/>
    <col min="14" max="16384" width="9.1640625" style="3"/>
  </cols>
  <sheetData>
    <row r="1" spans="1:13" s="2" customFormat="1" ht="15" customHeight="1">
      <c r="A1" s="37" t="s">
        <v>180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83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70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8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139</v>
      </c>
      <c r="C6" s="6" t="s">
        <v>138</v>
      </c>
      <c r="D6" s="6" t="s">
        <v>137</v>
      </c>
      <c r="E6" s="6" t="s">
        <v>193</v>
      </c>
      <c r="F6" s="6" t="s">
        <v>136</v>
      </c>
      <c r="G6" s="9" t="s">
        <v>12</v>
      </c>
      <c r="H6" s="9" t="s">
        <v>13</v>
      </c>
      <c r="I6" s="8" t="s">
        <v>62</v>
      </c>
      <c r="J6" s="7"/>
      <c r="K6" s="7" t="str">
        <f>"160,0"</f>
        <v>160,0</v>
      </c>
      <c r="L6" s="7" t="str">
        <f>"95,4880"</f>
        <v>95,4880</v>
      </c>
      <c r="M6" s="6"/>
    </row>
  </sheetData>
  <mergeCells count="12">
    <mergeCell ref="A1:M2"/>
    <mergeCell ref="A3:A4"/>
    <mergeCell ref="K3:K4"/>
    <mergeCell ref="L3:L4"/>
    <mergeCell ref="M3:M4"/>
    <mergeCell ref="B5:J5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Лист53"/>
  <dimension ref="A1:M7"/>
  <sheetViews>
    <sheetView workbookViewId="0">
      <selection sqref="A1:M2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8.1640625" style="4" customWidth="1"/>
    <col min="6" max="6" width="21.1640625" style="4" bestFit="1" customWidth="1"/>
    <col min="7" max="10" width="5.5" style="5" customWidth="1"/>
    <col min="11" max="11" width="12.1640625" style="5" customWidth="1"/>
    <col min="12" max="12" width="8.5" style="5" bestFit="1" customWidth="1"/>
    <col min="13" max="13" width="19.33203125" style="4" customWidth="1"/>
    <col min="14" max="16384" width="9.1640625" style="3"/>
  </cols>
  <sheetData>
    <row r="1" spans="1:13" s="2" customFormat="1" ht="15" customHeight="1">
      <c r="A1" s="37" t="s">
        <v>181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79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70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8</v>
      </c>
      <c r="C5" s="57"/>
      <c r="D5" s="57"/>
      <c r="E5" s="57"/>
      <c r="F5" s="57"/>
      <c r="G5" s="57"/>
      <c r="H5" s="57"/>
      <c r="I5" s="57"/>
      <c r="J5" s="57"/>
    </row>
    <row r="6" spans="1:13">
      <c r="A6" s="28" t="s">
        <v>15</v>
      </c>
      <c r="B6" s="23" t="s">
        <v>107</v>
      </c>
      <c r="C6" s="10" t="s">
        <v>106</v>
      </c>
      <c r="D6" s="10" t="s">
        <v>105</v>
      </c>
      <c r="E6" s="10" t="s">
        <v>193</v>
      </c>
      <c r="F6" s="10" t="s">
        <v>79</v>
      </c>
      <c r="G6" s="16" t="s">
        <v>32</v>
      </c>
      <c r="H6" s="16" t="s">
        <v>78</v>
      </c>
      <c r="I6" s="17" t="s">
        <v>41</v>
      </c>
      <c r="J6" s="11"/>
      <c r="K6" s="11" t="str">
        <f>"282,5"</f>
        <v>282,5</v>
      </c>
      <c r="L6" s="11" t="str">
        <f>"166,2513"</f>
        <v>166,2513</v>
      </c>
      <c r="M6" s="10"/>
    </row>
    <row r="7" spans="1:13">
      <c r="A7" s="27" t="s">
        <v>48</v>
      </c>
      <c r="B7" s="22" t="s">
        <v>104</v>
      </c>
      <c r="C7" s="14" t="s">
        <v>103</v>
      </c>
      <c r="D7" s="14" t="s">
        <v>102</v>
      </c>
      <c r="E7" s="14" t="s">
        <v>193</v>
      </c>
      <c r="F7" s="14" t="s">
        <v>38</v>
      </c>
      <c r="G7" s="21" t="s">
        <v>9</v>
      </c>
      <c r="H7" s="21" t="s">
        <v>14</v>
      </c>
      <c r="I7" s="20" t="s">
        <v>30</v>
      </c>
      <c r="J7" s="15"/>
      <c r="K7" s="15" t="str">
        <f>"245,0"</f>
        <v>245,0</v>
      </c>
      <c r="L7" s="15" t="str">
        <f>"144,3540"</f>
        <v>144,3540</v>
      </c>
      <c r="M7" s="14"/>
    </row>
  </sheetData>
  <mergeCells count="12">
    <mergeCell ref="A1:M2"/>
    <mergeCell ref="A3:A4"/>
    <mergeCell ref="K3:K4"/>
    <mergeCell ref="L3:L4"/>
    <mergeCell ref="M3:M4"/>
    <mergeCell ref="B5:J5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54"/>
  <dimension ref="A1:M13"/>
  <sheetViews>
    <sheetView workbookViewId="0">
      <selection sqref="A1:M2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9.6640625" style="4" customWidth="1"/>
    <col min="4" max="4" width="16.5" style="4" customWidth="1"/>
    <col min="5" max="5" width="16.6640625" style="4" customWidth="1"/>
    <col min="6" max="6" width="25" style="4" customWidth="1"/>
    <col min="7" max="10" width="5.5" style="5" customWidth="1"/>
    <col min="11" max="11" width="12.5" style="5" customWidth="1"/>
    <col min="12" max="12" width="8.5" style="5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58" t="s">
        <v>182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86" customHeight="1" thickBot="1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45" t="s">
        <v>190</v>
      </c>
      <c r="B3" s="45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70</v>
      </c>
      <c r="L3" s="49" t="s">
        <v>3</v>
      </c>
      <c r="M3" s="50" t="s">
        <v>2</v>
      </c>
    </row>
    <row r="4" spans="1:13" s="1" customFormat="1" ht="21" customHeight="1" thickBot="1">
      <c r="A4" s="46"/>
      <c r="B4" s="46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2" t="s">
        <v>20</v>
      </c>
      <c r="C5" s="33"/>
      <c r="D5" s="33"/>
      <c r="E5" s="33"/>
      <c r="F5" s="33"/>
      <c r="G5" s="33"/>
      <c r="H5" s="33"/>
      <c r="I5" s="33"/>
      <c r="J5" s="33"/>
    </row>
    <row r="6" spans="1:13">
      <c r="A6" s="26" t="s">
        <v>15</v>
      </c>
      <c r="B6" s="24" t="s">
        <v>115</v>
      </c>
      <c r="C6" s="6" t="s">
        <v>114</v>
      </c>
      <c r="D6" s="6" t="s">
        <v>113</v>
      </c>
      <c r="E6" s="6" t="s">
        <v>193</v>
      </c>
      <c r="F6" s="6" t="s">
        <v>67</v>
      </c>
      <c r="G6" s="9" t="s">
        <v>26</v>
      </c>
      <c r="H6" s="9" t="s">
        <v>40</v>
      </c>
      <c r="I6" s="8" t="s">
        <v>35</v>
      </c>
      <c r="J6" s="7"/>
      <c r="K6" s="7" t="str">
        <f>"280,0"</f>
        <v>280,0</v>
      </c>
      <c r="L6" s="7" t="str">
        <f>"179,4800"</f>
        <v>179,4800</v>
      </c>
      <c r="M6" s="6" t="s">
        <v>112</v>
      </c>
    </row>
    <row r="8" spans="1:13" ht="16">
      <c r="B8" s="36" t="s">
        <v>8</v>
      </c>
      <c r="C8" s="36"/>
      <c r="D8" s="36"/>
      <c r="E8" s="36"/>
      <c r="F8" s="36"/>
      <c r="G8" s="36"/>
      <c r="H8" s="36"/>
      <c r="I8" s="36"/>
      <c r="J8" s="36"/>
    </row>
    <row r="9" spans="1:13">
      <c r="A9" s="26" t="s">
        <v>15</v>
      </c>
      <c r="B9" s="24" t="s">
        <v>100</v>
      </c>
      <c r="C9" s="6" t="s">
        <v>157</v>
      </c>
      <c r="D9" s="6" t="s">
        <v>64</v>
      </c>
      <c r="E9" s="6" t="s">
        <v>196</v>
      </c>
      <c r="F9" s="6" t="s">
        <v>169</v>
      </c>
      <c r="G9" s="9" t="s">
        <v>31</v>
      </c>
      <c r="H9" s="9" t="s">
        <v>33</v>
      </c>
      <c r="I9" s="9" t="s">
        <v>60</v>
      </c>
      <c r="J9" s="7"/>
      <c r="K9" s="7" t="str">
        <f>"202,5"</f>
        <v>202,5</v>
      </c>
      <c r="L9" s="7" t="str">
        <f>"158,3207"</f>
        <v>158,3207</v>
      </c>
      <c r="M9" s="6"/>
    </row>
    <row r="11" spans="1:13" ht="16">
      <c r="B11" s="36" t="s">
        <v>146</v>
      </c>
      <c r="C11" s="36"/>
      <c r="D11" s="36"/>
      <c r="E11" s="36"/>
      <c r="F11" s="36"/>
      <c r="G11" s="36"/>
      <c r="H11" s="36"/>
      <c r="I11" s="36"/>
      <c r="J11" s="36"/>
    </row>
    <row r="12" spans="1:13">
      <c r="A12" s="28" t="s">
        <v>15</v>
      </c>
      <c r="B12" s="23" t="s">
        <v>111</v>
      </c>
      <c r="C12" s="10" t="s">
        <v>110</v>
      </c>
      <c r="D12" s="10" t="s">
        <v>109</v>
      </c>
      <c r="E12" s="10" t="s">
        <v>193</v>
      </c>
      <c r="F12" s="10" t="s">
        <v>81</v>
      </c>
      <c r="G12" s="16" t="s">
        <v>39</v>
      </c>
      <c r="H12" s="16" t="s">
        <v>42</v>
      </c>
      <c r="I12" s="16" t="s">
        <v>77</v>
      </c>
      <c r="J12" s="11"/>
      <c r="K12" s="11" t="str">
        <f>"340,0"</f>
        <v>340,0</v>
      </c>
      <c r="L12" s="11" t="str">
        <f>"196,3160"</f>
        <v>196,3160</v>
      </c>
      <c r="M12" s="10" t="s">
        <v>108</v>
      </c>
    </row>
    <row r="13" spans="1:13">
      <c r="A13" s="27" t="s">
        <v>15</v>
      </c>
      <c r="B13" s="22" t="s">
        <v>111</v>
      </c>
      <c r="C13" s="14" t="s">
        <v>165</v>
      </c>
      <c r="D13" s="14" t="s">
        <v>109</v>
      </c>
      <c r="E13" s="14" t="s">
        <v>194</v>
      </c>
      <c r="F13" s="14" t="s">
        <v>81</v>
      </c>
      <c r="G13" s="21" t="s">
        <v>39</v>
      </c>
      <c r="H13" s="21" t="s">
        <v>42</v>
      </c>
      <c r="I13" s="21" t="s">
        <v>77</v>
      </c>
      <c r="J13" s="15"/>
      <c r="K13" s="15" t="str">
        <f>"340,0"</f>
        <v>340,0</v>
      </c>
      <c r="L13" s="15" t="str">
        <f>"197,2976"</f>
        <v>197,2976</v>
      </c>
      <c r="M13" s="14" t="s">
        <v>108</v>
      </c>
    </row>
  </sheetData>
  <mergeCells count="14">
    <mergeCell ref="B11:J11"/>
    <mergeCell ref="A1:M2"/>
    <mergeCell ref="A3:A4"/>
    <mergeCell ref="K3:K4"/>
    <mergeCell ref="L3:L4"/>
    <mergeCell ref="M3:M4"/>
    <mergeCell ref="B5:J5"/>
    <mergeCell ref="B3:B4"/>
    <mergeCell ref="C3:C4"/>
    <mergeCell ref="D3:D4"/>
    <mergeCell ref="E3:E4"/>
    <mergeCell ref="F3:F4"/>
    <mergeCell ref="G3:J3"/>
    <mergeCell ref="B8:J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51"/>
  <dimension ref="A1:M6"/>
  <sheetViews>
    <sheetView workbookViewId="0">
      <selection activeCell="F6" sqref="F1:F1048576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16.6640625" style="4" customWidth="1"/>
    <col min="6" max="6" width="21.1640625" style="4" bestFit="1" customWidth="1"/>
    <col min="7" max="10" width="5.5" style="4" customWidth="1"/>
    <col min="11" max="11" width="10.5" style="5" bestFit="1" customWidth="1"/>
    <col min="12" max="12" width="8.5" style="5" bestFit="1" customWidth="1"/>
    <col min="13" max="13" width="18.33203125" style="4" customWidth="1"/>
    <col min="14" max="16384" width="9.1640625" style="3"/>
  </cols>
  <sheetData>
    <row r="1" spans="1:13" s="2" customFormat="1" ht="15" customHeight="1">
      <c r="A1" s="37" t="s">
        <v>183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83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70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8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83</v>
      </c>
      <c r="C6" s="6" t="s">
        <v>82</v>
      </c>
      <c r="D6" s="6" t="s">
        <v>105</v>
      </c>
      <c r="E6" s="6" t="s">
        <v>193</v>
      </c>
      <c r="F6" s="6" t="s">
        <v>80</v>
      </c>
      <c r="G6" s="9" t="s">
        <v>27</v>
      </c>
      <c r="H6" s="9" t="s">
        <v>28</v>
      </c>
      <c r="I6" s="8" t="s">
        <v>45</v>
      </c>
      <c r="J6" s="7"/>
      <c r="K6" s="7" t="str">
        <f>"220,0"</f>
        <v>220,0</v>
      </c>
      <c r="L6" s="7" t="str">
        <f>"129,4700"</f>
        <v>129,4700</v>
      </c>
      <c r="M6" s="6"/>
    </row>
  </sheetData>
  <mergeCells count="12">
    <mergeCell ref="A1:M2"/>
    <mergeCell ref="A3:A4"/>
    <mergeCell ref="K3:K4"/>
    <mergeCell ref="L3:L4"/>
    <mergeCell ref="M3:M4"/>
    <mergeCell ref="B5:J5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52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19.83203125" style="4" customWidth="1"/>
    <col min="6" max="6" width="21.1640625" style="4" bestFit="1" customWidth="1"/>
    <col min="7" max="10" width="5.5" style="4" customWidth="1"/>
    <col min="11" max="11" width="14.33203125" style="5" customWidth="1"/>
    <col min="12" max="12" width="8.5" style="5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184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79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70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37</v>
      </c>
      <c r="C5" s="57"/>
      <c r="D5" s="57"/>
      <c r="E5" s="57"/>
      <c r="F5" s="57"/>
      <c r="G5" s="57"/>
      <c r="H5" s="57"/>
      <c r="I5" s="57"/>
      <c r="J5" s="57"/>
    </row>
    <row r="6" spans="1:13">
      <c r="A6" s="28" t="s">
        <v>15</v>
      </c>
      <c r="B6" s="23" t="s">
        <v>92</v>
      </c>
      <c r="C6" s="10" t="s">
        <v>99</v>
      </c>
      <c r="D6" s="10" t="s">
        <v>91</v>
      </c>
      <c r="E6" s="10" t="s">
        <v>193</v>
      </c>
      <c r="F6" s="10" t="s">
        <v>170</v>
      </c>
      <c r="G6" s="16" t="s">
        <v>44</v>
      </c>
      <c r="H6" s="16" t="s">
        <v>90</v>
      </c>
      <c r="I6" s="16" t="s">
        <v>89</v>
      </c>
      <c r="J6" s="10"/>
      <c r="K6" s="11" t="str">
        <f>"357,5"</f>
        <v>357,5</v>
      </c>
      <c r="L6" s="11" t="str">
        <f>"219,4693"</f>
        <v>219,4693</v>
      </c>
      <c r="M6" s="10"/>
    </row>
    <row r="7" spans="1:13">
      <c r="A7" s="29" t="s">
        <v>48</v>
      </c>
      <c r="B7" s="25" t="s">
        <v>98</v>
      </c>
      <c r="C7" s="12" t="s">
        <v>97</v>
      </c>
      <c r="D7" s="12" t="s">
        <v>69</v>
      </c>
      <c r="E7" s="12" t="s">
        <v>193</v>
      </c>
      <c r="F7" s="12" t="s">
        <v>68</v>
      </c>
      <c r="G7" s="18" t="s">
        <v>77</v>
      </c>
      <c r="H7" s="18" t="s">
        <v>85</v>
      </c>
      <c r="I7" s="19" t="s">
        <v>84</v>
      </c>
      <c r="J7" s="12"/>
      <c r="K7" s="13" t="str">
        <f>"355,0"</f>
        <v>355,0</v>
      </c>
      <c r="L7" s="13" t="str">
        <f>"218,7155"</f>
        <v>218,7155</v>
      </c>
      <c r="M7" s="12"/>
    </row>
    <row r="8" spans="1:13">
      <c r="A8" s="29" t="s">
        <v>49</v>
      </c>
      <c r="B8" s="25" t="s">
        <v>96</v>
      </c>
      <c r="C8" s="12" t="s">
        <v>95</v>
      </c>
      <c r="D8" s="12" t="s">
        <v>94</v>
      </c>
      <c r="E8" s="12" t="s">
        <v>193</v>
      </c>
      <c r="F8" s="12" t="s">
        <v>21</v>
      </c>
      <c r="G8" s="18" t="s">
        <v>41</v>
      </c>
      <c r="H8" s="18" t="s">
        <v>63</v>
      </c>
      <c r="I8" s="18" t="s">
        <v>44</v>
      </c>
      <c r="J8" s="12"/>
      <c r="K8" s="13" t="str">
        <f>"335,0"</f>
        <v>335,0</v>
      </c>
      <c r="L8" s="13" t="str">
        <f>"204,2830"</f>
        <v>204,2830</v>
      </c>
      <c r="M8" s="12" t="s">
        <v>93</v>
      </c>
    </row>
    <row r="9" spans="1:13">
      <c r="A9" s="27" t="s">
        <v>15</v>
      </c>
      <c r="B9" s="22" t="s">
        <v>92</v>
      </c>
      <c r="C9" s="14" t="s">
        <v>166</v>
      </c>
      <c r="D9" s="14" t="s">
        <v>91</v>
      </c>
      <c r="E9" s="14" t="s">
        <v>194</v>
      </c>
      <c r="F9" s="14" t="s">
        <v>170</v>
      </c>
      <c r="G9" s="21" t="s">
        <v>44</v>
      </c>
      <c r="H9" s="21" t="s">
        <v>90</v>
      </c>
      <c r="I9" s="21" t="s">
        <v>89</v>
      </c>
      <c r="J9" s="14"/>
      <c r="K9" s="15" t="str">
        <f>"357,5"</f>
        <v>357,5</v>
      </c>
      <c r="L9" s="15" t="str">
        <f>"220,5666"</f>
        <v>220,5666</v>
      </c>
      <c r="M9" s="14"/>
    </row>
  </sheetData>
  <mergeCells count="12">
    <mergeCell ref="A1:M2"/>
    <mergeCell ref="A3:A4"/>
    <mergeCell ref="K3:K4"/>
    <mergeCell ref="L3:L4"/>
    <mergeCell ref="M3:M4"/>
    <mergeCell ref="B5:J5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59"/>
  <dimension ref="A1:M9"/>
  <sheetViews>
    <sheetView workbookViewId="0">
      <selection sqref="A1:M2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18.83203125" style="4" customWidth="1"/>
    <col min="6" max="6" width="21.1640625" style="4" bestFit="1" customWidth="1"/>
    <col min="7" max="10" width="5.5" style="5" customWidth="1"/>
    <col min="11" max="11" width="13.5" style="5" customWidth="1"/>
    <col min="12" max="12" width="8.5" style="5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185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83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150</v>
      </c>
      <c r="H3" s="49"/>
      <c r="I3" s="49"/>
      <c r="J3" s="49"/>
      <c r="K3" s="49" t="s">
        <v>70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37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154</v>
      </c>
      <c r="C6" s="6" t="s">
        <v>153</v>
      </c>
      <c r="D6" s="6" t="s">
        <v>152</v>
      </c>
      <c r="E6" s="6" t="s">
        <v>193</v>
      </c>
      <c r="F6" s="6" t="s">
        <v>38</v>
      </c>
      <c r="G6" s="9" t="s">
        <v>22</v>
      </c>
      <c r="H6" s="8" t="s">
        <v>71</v>
      </c>
      <c r="I6" s="8" t="s">
        <v>151</v>
      </c>
      <c r="J6" s="7"/>
      <c r="K6" s="7" t="str">
        <f>"110,0"</f>
        <v>110,0</v>
      </c>
      <c r="L6" s="7" t="str">
        <f>"68,9260"</f>
        <v>68,9260</v>
      </c>
      <c r="M6" s="6"/>
    </row>
    <row r="8" spans="1:13" ht="16">
      <c r="B8" s="36" t="s">
        <v>8</v>
      </c>
      <c r="C8" s="36"/>
      <c r="D8" s="36"/>
      <c r="E8" s="36"/>
      <c r="F8" s="36"/>
      <c r="G8" s="36"/>
      <c r="H8" s="36"/>
      <c r="I8" s="36"/>
      <c r="J8" s="36"/>
    </row>
    <row r="9" spans="1:13">
      <c r="A9" s="26" t="s">
        <v>15</v>
      </c>
      <c r="B9" s="24" t="s">
        <v>139</v>
      </c>
      <c r="C9" s="6" t="s">
        <v>138</v>
      </c>
      <c r="D9" s="6" t="s">
        <v>137</v>
      </c>
      <c r="E9" s="6" t="s">
        <v>193</v>
      </c>
      <c r="F9" s="6" t="s">
        <v>136</v>
      </c>
      <c r="G9" s="8" t="s">
        <v>24</v>
      </c>
      <c r="H9" s="9" t="s">
        <v>24</v>
      </c>
      <c r="I9" s="8" t="s">
        <v>53</v>
      </c>
      <c r="J9" s="7"/>
      <c r="K9" s="7" t="str">
        <f>"100,0"</f>
        <v>100,0</v>
      </c>
      <c r="L9" s="7" t="str">
        <f>"59,6800"</f>
        <v>59,6800</v>
      </c>
      <c r="M9" s="6"/>
    </row>
  </sheetData>
  <mergeCells count="13">
    <mergeCell ref="E3:E4"/>
    <mergeCell ref="F3:F4"/>
    <mergeCell ref="G3:J3"/>
    <mergeCell ref="B8:J8"/>
    <mergeCell ref="A1:M2"/>
    <mergeCell ref="A3:A4"/>
    <mergeCell ref="K3:K4"/>
    <mergeCell ref="L3:L4"/>
    <mergeCell ref="M3:M4"/>
    <mergeCell ref="B5:J5"/>
    <mergeCell ref="B3:B4"/>
    <mergeCell ref="C3:C4"/>
    <mergeCell ref="D3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35"/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17.6640625" style="4" customWidth="1"/>
    <col min="6" max="6" width="21.1640625" style="4" bestFit="1" customWidth="1"/>
    <col min="7" max="10" width="5.5" style="5" customWidth="1"/>
    <col min="11" max="11" width="12.5" style="5" customWidth="1"/>
    <col min="12" max="12" width="8.5" style="5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88.5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70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20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141</v>
      </c>
      <c r="C6" s="6" t="s">
        <v>164</v>
      </c>
      <c r="D6" s="6" t="s">
        <v>140</v>
      </c>
      <c r="E6" s="6" t="s">
        <v>195</v>
      </c>
      <c r="F6" s="6" t="s">
        <v>38</v>
      </c>
      <c r="G6" s="9" t="s">
        <v>56</v>
      </c>
      <c r="H6" s="9" t="s">
        <v>52</v>
      </c>
      <c r="I6" s="8" t="s">
        <v>22</v>
      </c>
      <c r="J6" s="7"/>
      <c r="K6" s="7" t="str">
        <f>"107,5"</f>
        <v>107,5</v>
      </c>
      <c r="L6" s="7" t="str">
        <f>"101,0570"</f>
        <v>101,0570</v>
      </c>
      <c r="M6" s="6"/>
    </row>
    <row r="8" spans="1:13" ht="16">
      <c r="B8" s="36" t="s">
        <v>37</v>
      </c>
      <c r="C8" s="36"/>
      <c r="D8" s="36"/>
      <c r="E8" s="36"/>
      <c r="F8" s="36"/>
      <c r="G8" s="36"/>
      <c r="H8" s="36"/>
      <c r="I8" s="36"/>
      <c r="J8" s="36"/>
    </row>
    <row r="9" spans="1:13">
      <c r="A9" s="26" t="s">
        <v>15</v>
      </c>
      <c r="B9" s="24" t="s">
        <v>144</v>
      </c>
      <c r="C9" s="6" t="s">
        <v>143</v>
      </c>
      <c r="D9" s="6" t="s">
        <v>142</v>
      </c>
      <c r="E9" s="6" t="s">
        <v>193</v>
      </c>
      <c r="F9" s="6" t="s">
        <v>75</v>
      </c>
      <c r="G9" s="9" t="s">
        <v>36</v>
      </c>
      <c r="H9" s="8" t="s">
        <v>57</v>
      </c>
      <c r="I9" s="8" t="s">
        <v>57</v>
      </c>
      <c r="J9" s="7"/>
      <c r="K9" s="7" t="str">
        <f>"155,0"</f>
        <v>155,0</v>
      </c>
      <c r="L9" s="7" t="str">
        <f>"94,8290"</f>
        <v>94,8290</v>
      </c>
      <c r="M9" s="6" t="s">
        <v>189</v>
      </c>
    </row>
  </sheetData>
  <mergeCells count="13">
    <mergeCell ref="E3:E4"/>
    <mergeCell ref="F3:F4"/>
    <mergeCell ref="G3:J3"/>
    <mergeCell ref="B8:J8"/>
    <mergeCell ref="A1:M2"/>
    <mergeCell ref="A3:A4"/>
    <mergeCell ref="K3:K4"/>
    <mergeCell ref="L3:L4"/>
    <mergeCell ref="M3:M4"/>
    <mergeCell ref="B5:J5"/>
    <mergeCell ref="B3:B4"/>
    <mergeCell ref="C3:C4"/>
    <mergeCell ref="D3:D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4" bestFit="1" customWidth="1"/>
    <col min="2" max="2" width="18" style="4" customWidth="1"/>
    <col min="3" max="3" width="26.33203125" style="4" bestFit="1" customWidth="1"/>
    <col min="4" max="4" width="21.5" style="4" bestFit="1" customWidth="1"/>
    <col min="5" max="6" width="19.5" style="4" customWidth="1"/>
    <col min="7" max="9" width="5.5" style="5" customWidth="1"/>
    <col min="10" max="10" width="4.83203125" style="5" customWidth="1"/>
    <col min="11" max="11" width="13.1640625" style="5" customWidth="1"/>
    <col min="12" max="12" width="10.5" style="5" bestFit="1" customWidth="1"/>
    <col min="13" max="13" width="20.1640625" style="4" customWidth="1"/>
    <col min="14" max="16384" width="9.1640625" style="3"/>
  </cols>
  <sheetData>
    <row r="1" spans="1:13" s="2" customFormat="1" ht="29" customHeight="1">
      <c r="A1" s="37" t="s">
        <v>167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" customHeight="1" thickBot="1">
      <c r="A2" s="41"/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>
      <c r="A3" s="45" t="s">
        <v>190</v>
      </c>
      <c r="B3" s="34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7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35"/>
      <c r="C4" s="48"/>
      <c r="D4" s="48"/>
      <c r="E4" s="48"/>
      <c r="F4" s="48"/>
      <c r="G4" s="30">
        <v>1</v>
      </c>
      <c r="H4" s="30">
        <v>2</v>
      </c>
      <c r="I4" s="30">
        <v>3</v>
      </c>
      <c r="J4" s="30" t="s">
        <v>4</v>
      </c>
      <c r="K4" s="48"/>
      <c r="L4" s="48"/>
      <c r="M4" s="51"/>
    </row>
    <row r="5" spans="1:13" ht="16">
      <c r="A5" s="32" t="s">
        <v>20</v>
      </c>
      <c r="B5" s="32"/>
      <c r="C5" s="33"/>
      <c r="D5" s="33"/>
      <c r="E5" s="33"/>
      <c r="F5" s="33"/>
      <c r="G5" s="33"/>
      <c r="H5" s="33"/>
      <c r="I5" s="33"/>
      <c r="J5" s="33"/>
    </row>
    <row r="6" spans="1:13">
      <c r="A6" s="7" t="s">
        <v>15</v>
      </c>
      <c r="B6" s="6" t="s">
        <v>156</v>
      </c>
      <c r="C6" s="6" t="s">
        <v>155</v>
      </c>
      <c r="D6" s="6" t="s">
        <v>59</v>
      </c>
      <c r="E6" s="6" t="s">
        <v>193</v>
      </c>
      <c r="F6" s="6" t="s">
        <v>46</v>
      </c>
      <c r="G6" s="8" t="s">
        <v>9</v>
      </c>
      <c r="H6" s="9" t="s">
        <v>10</v>
      </c>
      <c r="I6" s="9" t="s">
        <v>101</v>
      </c>
      <c r="J6" s="7"/>
      <c r="K6" s="7" t="str">
        <f>"274,5"</f>
        <v>274,5</v>
      </c>
      <c r="L6" s="7" t="str">
        <f>"10587,8102"</f>
        <v>10587,8102</v>
      </c>
      <c r="M6" s="6"/>
    </row>
    <row r="7" spans="1:13">
      <c r="B7" s="4" t="s">
        <v>16</v>
      </c>
    </row>
  </sheetData>
  <mergeCells count="12">
    <mergeCell ref="A5:J5"/>
    <mergeCell ref="B3:B4"/>
    <mergeCell ref="E3:E4"/>
    <mergeCell ref="K3:K4"/>
    <mergeCell ref="L3:L4"/>
    <mergeCell ref="A1:M2"/>
    <mergeCell ref="G3:J3"/>
    <mergeCell ref="A3:A4"/>
    <mergeCell ref="C3:C4"/>
    <mergeCell ref="D3:D4"/>
    <mergeCell ref="M3:M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>
    <pageSetUpPr fitToPage="1"/>
  </sheetPr>
  <dimension ref="A1:M10"/>
  <sheetViews>
    <sheetView workbookViewId="0">
      <selection activeCell="K3" sqref="K1:L1048576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11" style="4" customWidth="1"/>
    <col min="6" max="6" width="21.1640625" style="4" bestFit="1" customWidth="1"/>
    <col min="7" max="10" width="5.5" style="5" customWidth="1"/>
    <col min="11" max="11" width="11.6640625" style="5" customWidth="1"/>
    <col min="12" max="12" width="12.1640625" style="5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172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90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20</v>
      </c>
      <c r="C5" s="36"/>
      <c r="D5" s="36"/>
      <c r="E5" s="36"/>
      <c r="F5" s="36"/>
      <c r="G5" s="36"/>
      <c r="H5" s="36"/>
      <c r="I5" s="36"/>
      <c r="J5" s="36"/>
    </row>
    <row r="6" spans="1:13">
      <c r="A6" s="26" t="s">
        <v>15</v>
      </c>
      <c r="B6" s="24" t="s">
        <v>135</v>
      </c>
      <c r="C6" s="6" t="s">
        <v>134</v>
      </c>
      <c r="D6" s="6" t="s">
        <v>133</v>
      </c>
      <c r="E6" s="6" t="s">
        <v>193</v>
      </c>
      <c r="F6" s="6" t="s">
        <v>38</v>
      </c>
      <c r="G6" s="9" t="s">
        <v>25</v>
      </c>
      <c r="H6" s="8" t="s">
        <v>19</v>
      </c>
      <c r="I6" s="9" t="s">
        <v>29</v>
      </c>
      <c r="J6" s="7"/>
      <c r="K6" s="7" t="str">
        <f>"167,5"</f>
        <v>167,5</v>
      </c>
      <c r="L6" s="7" t="str">
        <f>"6234,6443"</f>
        <v>6234,6443</v>
      </c>
      <c r="M6" s="6"/>
    </row>
    <row r="8" spans="1:13" ht="16">
      <c r="B8" s="36" t="s">
        <v>37</v>
      </c>
      <c r="C8" s="36"/>
      <c r="D8" s="36"/>
      <c r="E8" s="36"/>
      <c r="F8" s="36"/>
      <c r="G8" s="36"/>
      <c r="H8" s="36"/>
      <c r="I8" s="36"/>
      <c r="J8" s="36"/>
    </row>
    <row r="9" spans="1:13">
      <c r="A9" s="28" t="s">
        <v>15</v>
      </c>
      <c r="B9" s="23" t="s">
        <v>132</v>
      </c>
      <c r="C9" s="10" t="s">
        <v>131</v>
      </c>
      <c r="D9" s="10" t="s">
        <v>61</v>
      </c>
      <c r="E9" s="10" t="s">
        <v>193</v>
      </c>
      <c r="F9" s="10" t="s">
        <v>38</v>
      </c>
      <c r="G9" s="16" t="s">
        <v>23</v>
      </c>
      <c r="H9" s="16" t="s">
        <v>18</v>
      </c>
      <c r="I9" s="17" t="s">
        <v>25</v>
      </c>
      <c r="J9" s="11"/>
      <c r="K9" s="11" t="str">
        <f>"145,0"</f>
        <v>145,0</v>
      </c>
      <c r="L9" s="11" t="str">
        <f>"5084,5802"</f>
        <v>5084,5802</v>
      </c>
      <c r="M9" s="10"/>
    </row>
    <row r="10" spans="1:13">
      <c r="A10" s="27" t="s">
        <v>15</v>
      </c>
      <c r="B10" s="22" t="s">
        <v>130</v>
      </c>
      <c r="C10" s="14" t="s">
        <v>159</v>
      </c>
      <c r="D10" s="14" t="s">
        <v>129</v>
      </c>
      <c r="E10" s="14" t="s">
        <v>194</v>
      </c>
      <c r="F10" s="14" t="s">
        <v>187</v>
      </c>
      <c r="G10" s="21" t="s">
        <v>57</v>
      </c>
      <c r="H10" s="21" t="s">
        <v>43</v>
      </c>
      <c r="I10" s="20" t="s">
        <v>47</v>
      </c>
      <c r="J10" s="15"/>
      <c r="K10" s="15" t="str">
        <f>"198,0"</f>
        <v>198,0</v>
      </c>
      <c r="L10" s="15" t="str">
        <f>"7226,2982"</f>
        <v>7226,2982</v>
      </c>
      <c r="M10" s="14"/>
    </row>
  </sheetData>
  <mergeCells count="13">
    <mergeCell ref="B8:J8"/>
    <mergeCell ref="A1:M2"/>
    <mergeCell ref="A3:A4"/>
    <mergeCell ref="E3:E4"/>
    <mergeCell ref="K3:K4"/>
    <mergeCell ref="L3:L4"/>
    <mergeCell ref="G3:J3"/>
    <mergeCell ref="B3:B4"/>
    <mergeCell ref="C3:C4"/>
    <mergeCell ref="D3:D4"/>
    <mergeCell ref="M3:M4"/>
    <mergeCell ref="F3:F4"/>
    <mergeCell ref="B5:J5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M9"/>
  <sheetViews>
    <sheetView workbookViewId="0">
      <selection activeCell="K3" sqref="K1:L1048576"/>
    </sheetView>
  </sheetViews>
  <sheetFormatPr baseColWidth="10" defaultColWidth="9.1640625" defaultRowHeight="13"/>
  <cols>
    <col min="1" max="1" width="9.1640625" style="3"/>
    <col min="2" max="2" width="21.1640625" style="4" customWidth="1"/>
    <col min="3" max="3" width="27.83203125" style="4" customWidth="1"/>
    <col min="4" max="4" width="16.5" style="4" customWidth="1"/>
    <col min="5" max="5" width="17.5" style="4" customWidth="1"/>
    <col min="6" max="6" width="21.1640625" style="4" bestFit="1" customWidth="1"/>
    <col min="7" max="10" width="5.5" style="5" customWidth="1"/>
    <col min="11" max="11" width="16.6640625" style="5" customWidth="1"/>
    <col min="12" max="12" width="14" style="5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173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96.75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65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122</v>
      </c>
      <c r="C6" s="6" t="s">
        <v>160</v>
      </c>
      <c r="D6" s="6" t="s">
        <v>121</v>
      </c>
      <c r="E6" s="6" t="s">
        <v>194</v>
      </c>
      <c r="F6" s="6" t="s">
        <v>120</v>
      </c>
      <c r="G6" s="9" t="s">
        <v>66</v>
      </c>
      <c r="H6" s="8" t="s">
        <v>55</v>
      </c>
      <c r="I6" s="8" t="s">
        <v>55</v>
      </c>
      <c r="J6" s="7"/>
      <c r="K6" s="7" t="str">
        <f>"85,5"</f>
        <v>85,5</v>
      </c>
      <c r="L6" s="7" t="str">
        <f>"3980,7377"</f>
        <v>3980,7377</v>
      </c>
      <c r="M6" s="6"/>
    </row>
    <row r="8" spans="1:13" ht="16">
      <c r="B8" s="36" t="s">
        <v>119</v>
      </c>
      <c r="C8" s="36"/>
      <c r="D8" s="36"/>
      <c r="E8" s="36"/>
      <c r="F8" s="36"/>
      <c r="G8" s="36"/>
      <c r="H8" s="36"/>
      <c r="I8" s="36"/>
      <c r="J8" s="36"/>
    </row>
    <row r="9" spans="1:13">
      <c r="A9" s="26" t="s">
        <v>15</v>
      </c>
      <c r="B9" s="24" t="s">
        <v>118</v>
      </c>
      <c r="C9" s="6" t="s">
        <v>161</v>
      </c>
      <c r="D9" s="6" t="s">
        <v>117</v>
      </c>
      <c r="E9" s="6" t="s">
        <v>194</v>
      </c>
      <c r="F9" s="6" t="s">
        <v>75</v>
      </c>
      <c r="G9" s="9" t="s">
        <v>51</v>
      </c>
      <c r="H9" s="9" t="s">
        <v>54</v>
      </c>
      <c r="I9" s="8" t="s">
        <v>50</v>
      </c>
      <c r="J9" s="7"/>
      <c r="K9" s="7" t="str">
        <f>"108,5"</f>
        <v>108,5</v>
      </c>
      <c r="L9" s="7" t="str">
        <f>"5007,8707"</f>
        <v>5007,8707</v>
      </c>
      <c r="M9" s="6" t="s">
        <v>116</v>
      </c>
    </row>
  </sheetData>
  <mergeCells count="13">
    <mergeCell ref="B8:J8"/>
    <mergeCell ref="B5:J5"/>
    <mergeCell ref="A1:M2"/>
    <mergeCell ref="A3:A4"/>
    <mergeCell ref="K3:K4"/>
    <mergeCell ref="L3:L4"/>
    <mergeCell ref="M3:M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Лист39"/>
  <dimension ref="A1:M10"/>
  <sheetViews>
    <sheetView workbookViewId="0">
      <selection activeCell="K3" sqref="K1:L1048576"/>
    </sheetView>
  </sheetViews>
  <sheetFormatPr baseColWidth="10" defaultColWidth="9.1640625" defaultRowHeight="13"/>
  <cols>
    <col min="1" max="1" width="9.1640625" style="3"/>
    <col min="2" max="2" width="23.5" style="4" customWidth="1"/>
    <col min="3" max="3" width="27.83203125" style="4" customWidth="1"/>
    <col min="4" max="4" width="16.5" style="4" customWidth="1"/>
    <col min="5" max="5" width="16.83203125" style="4" customWidth="1"/>
    <col min="6" max="6" width="28.6640625" style="4" customWidth="1"/>
    <col min="7" max="10" width="5.5" style="5" customWidth="1"/>
    <col min="11" max="11" width="13.5" style="5" customWidth="1"/>
    <col min="12" max="12" width="11.6640625" style="5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174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81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8</v>
      </c>
      <c r="C5" s="36"/>
      <c r="D5" s="36"/>
      <c r="E5" s="36"/>
      <c r="F5" s="36"/>
      <c r="G5" s="36"/>
      <c r="H5" s="36"/>
      <c r="I5" s="36"/>
      <c r="J5" s="36"/>
    </row>
    <row r="6" spans="1:13">
      <c r="A6" s="26" t="s">
        <v>15</v>
      </c>
      <c r="B6" s="24" t="s">
        <v>148</v>
      </c>
      <c r="C6" s="6" t="s">
        <v>162</v>
      </c>
      <c r="D6" s="6" t="s">
        <v>147</v>
      </c>
      <c r="E6" s="6" t="s">
        <v>195</v>
      </c>
      <c r="F6" s="6" t="s">
        <v>75</v>
      </c>
      <c r="G6" s="8" t="s">
        <v>34</v>
      </c>
      <c r="H6" s="9" t="s">
        <v>34</v>
      </c>
      <c r="I6" s="8" t="s">
        <v>27</v>
      </c>
      <c r="J6" s="7"/>
      <c r="K6" s="7" t="str">
        <f>"232,0"</f>
        <v>232,0</v>
      </c>
      <c r="L6" s="7" t="str">
        <f>"8614,0803"</f>
        <v>8614,0803</v>
      </c>
      <c r="M6" s="6"/>
    </row>
    <row r="8" spans="1:13" ht="16">
      <c r="B8" s="36" t="s">
        <v>146</v>
      </c>
      <c r="C8" s="36"/>
      <c r="D8" s="36"/>
      <c r="E8" s="36"/>
      <c r="F8" s="36"/>
      <c r="G8" s="36"/>
      <c r="H8" s="36"/>
      <c r="I8" s="36"/>
      <c r="J8" s="36"/>
    </row>
    <row r="9" spans="1:13">
      <c r="A9" s="28" t="s">
        <v>15</v>
      </c>
      <c r="B9" s="23" t="s">
        <v>111</v>
      </c>
      <c r="C9" s="10" t="s">
        <v>110</v>
      </c>
      <c r="D9" s="10" t="s">
        <v>109</v>
      </c>
      <c r="E9" s="10" t="s">
        <v>193</v>
      </c>
      <c r="F9" s="10" t="s">
        <v>81</v>
      </c>
      <c r="G9" s="16" t="s">
        <v>39</v>
      </c>
      <c r="H9" s="16" t="s">
        <v>42</v>
      </c>
      <c r="I9" s="16" t="s">
        <v>77</v>
      </c>
      <c r="J9" s="11"/>
      <c r="K9" s="11" t="str">
        <f>"440,0"</f>
        <v>440,0</v>
      </c>
      <c r="L9" s="11" t="str">
        <f>"18823,2409"</f>
        <v>18823,2409</v>
      </c>
      <c r="M9" s="10" t="s">
        <v>108</v>
      </c>
    </row>
    <row r="10" spans="1:13">
      <c r="A10" s="27" t="s">
        <v>15</v>
      </c>
      <c r="B10" s="22" t="s">
        <v>145</v>
      </c>
      <c r="C10" s="14" t="s">
        <v>163</v>
      </c>
      <c r="D10" s="14" t="s">
        <v>76</v>
      </c>
      <c r="E10" s="14" t="s">
        <v>194</v>
      </c>
      <c r="F10" s="14" t="s">
        <v>75</v>
      </c>
      <c r="G10" s="21" t="s">
        <v>11</v>
      </c>
      <c r="H10" s="20" t="s">
        <v>40</v>
      </c>
      <c r="I10" s="20" t="s">
        <v>40</v>
      </c>
      <c r="J10" s="15"/>
      <c r="K10" s="15" t="str">
        <f>"300,0"</f>
        <v>300,0</v>
      </c>
      <c r="L10" s="15" t="str">
        <f>"11670,4694"</f>
        <v>11670,4694</v>
      </c>
      <c r="M10" s="14" t="s">
        <v>188</v>
      </c>
    </row>
  </sheetData>
  <mergeCells count="13">
    <mergeCell ref="B8:J8"/>
    <mergeCell ref="A1:M2"/>
    <mergeCell ref="A3:A4"/>
    <mergeCell ref="K3:K4"/>
    <mergeCell ref="L3:L4"/>
    <mergeCell ref="M3:M4"/>
    <mergeCell ref="B3:B4"/>
    <mergeCell ref="C3:C4"/>
    <mergeCell ref="D3:D4"/>
    <mergeCell ref="E3:E4"/>
    <mergeCell ref="F3:F4"/>
    <mergeCell ref="G3:J3"/>
    <mergeCell ref="B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Лист37"/>
  <dimension ref="A1:M6"/>
  <sheetViews>
    <sheetView workbookViewId="0">
      <selection activeCell="K3" sqref="K1:L1048576"/>
    </sheetView>
  </sheetViews>
  <sheetFormatPr baseColWidth="10" defaultColWidth="9.1640625" defaultRowHeight="13"/>
  <cols>
    <col min="1" max="1" width="9.1640625" style="3"/>
    <col min="2" max="2" width="20.6640625" style="4" customWidth="1"/>
    <col min="3" max="3" width="27.83203125" style="4" customWidth="1"/>
    <col min="4" max="4" width="16.5" style="4" customWidth="1"/>
    <col min="5" max="5" width="14.33203125" style="4" customWidth="1"/>
    <col min="6" max="6" width="21.1640625" style="4" bestFit="1" customWidth="1"/>
    <col min="7" max="10" width="5.5" style="5" customWidth="1"/>
    <col min="11" max="11" width="15.33203125" style="5" customWidth="1"/>
    <col min="12" max="12" width="12" style="5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175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85.5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8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88</v>
      </c>
      <c r="C6" s="6" t="s">
        <v>87</v>
      </c>
      <c r="D6" s="6" t="s">
        <v>86</v>
      </c>
      <c r="E6" s="6" t="s">
        <v>193</v>
      </c>
      <c r="F6" s="6" t="s">
        <v>79</v>
      </c>
      <c r="G6" s="9" t="s">
        <v>85</v>
      </c>
      <c r="H6" s="9" t="s">
        <v>84</v>
      </c>
      <c r="I6" s="7"/>
      <c r="J6" s="7"/>
      <c r="K6" s="7" t="str">
        <f>"411,0"</f>
        <v>411,0</v>
      </c>
      <c r="L6" s="7" t="str">
        <f>"16473,3019"</f>
        <v>16473,3019</v>
      </c>
      <c r="M6" s="6"/>
    </row>
  </sheetData>
  <mergeCells count="12">
    <mergeCell ref="B5:J5"/>
    <mergeCell ref="B3:B4"/>
    <mergeCell ref="C3:C4"/>
    <mergeCell ref="D3:D4"/>
    <mergeCell ref="E3:E4"/>
    <mergeCell ref="F3:F4"/>
    <mergeCell ref="G3:J3"/>
    <mergeCell ref="A1:M2"/>
    <mergeCell ref="A3:A4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Лист38"/>
  <dimension ref="A1:M11"/>
  <sheetViews>
    <sheetView workbookViewId="0">
      <selection activeCell="K3" sqref="K1:L1048576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14.6640625" style="4" customWidth="1"/>
    <col min="6" max="6" width="21.1640625" style="4" bestFit="1" customWidth="1"/>
    <col min="7" max="10" width="5.5" style="5" customWidth="1"/>
    <col min="11" max="11" width="13.1640625" style="5" customWidth="1"/>
    <col min="12" max="12" width="10.6640625" style="5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176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74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37</v>
      </c>
      <c r="C5" s="57"/>
      <c r="D5" s="57"/>
      <c r="E5" s="57"/>
      <c r="F5" s="57"/>
      <c r="G5" s="57"/>
      <c r="H5" s="57"/>
      <c r="I5" s="57"/>
      <c r="J5" s="57"/>
    </row>
    <row r="6" spans="1:13">
      <c r="A6" s="28" t="s">
        <v>15</v>
      </c>
      <c r="B6" s="23" t="s">
        <v>98</v>
      </c>
      <c r="C6" s="10" t="s">
        <v>97</v>
      </c>
      <c r="D6" s="10" t="s">
        <v>69</v>
      </c>
      <c r="E6" s="10" t="s">
        <v>193</v>
      </c>
      <c r="F6" s="10" t="s">
        <v>68</v>
      </c>
      <c r="G6" s="16" t="s">
        <v>77</v>
      </c>
      <c r="H6" s="16" t="s">
        <v>85</v>
      </c>
      <c r="I6" s="17" t="s">
        <v>84</v>
      </c>
      <c r="J6" s="11"/>
      <c r="K6" s="11" t="str">
        <f>"404,0"</f>
        <v>404,0</v>
      </c>
      <c r="L6" s="11" t="str">
        <f>"16369,7774"</f>
        <v>16369,7774</v>
      </c>
      <c r="M6" s="10"/>
    </row>
    <row r="7" spans="1:13">
      <c r="A7" s="29" t="s">
        <v>48</v>
      </c>
      <c r="B7" s="25" t="s">
        <v>92</v>
      </c>
      <c r="C7" s="12" t="s">
        <v>99</v>
      </c>
      <c r="D7" s="12" t="s">
        <v>91</v>
      </c>
      <c r="E7" s="10" t="s">
        <v>193</v>
      </c>
      <c r="F7" s="12" t="s">
        <v>170</v>
      </c>
      <c r="G7" s="18" t="s">
        <v>44</v>
      </c>
      <c r="H7" s="18" t="s">
        <v>90</v>
      </c>
      <c r="I7" s="18" t="s">
        <v>89</v>
      </c>
      <c r="J7" s="13"/>
      <c r="K7" s="13" t="str">
        <f>"400,5"</f>
        <v>400,5</v>
      </c>
      <c r="L7" s="13" t="str">
        <f>"15725,0486"</f>
        <v>15725,0486</v>
      </c>
      <c r="M7" s="12"/>
    </row>
    <row r="8" spans="1:13">
      <c r="A8" s="27" t="s">
        <v>49</v>
      </c>
      <c r="B8" s="22" t="s">
        <v>96</v>
      </c>
      <c r="C8" s="14" t="s">
        <v>95</v>
      </c>
      <c r="D8" s="14" t="s">
        <v>94</v>
      </c>
      <c r="E8" s="10" t="s">
        <v>193</v>
      </c>
      <c r="F8" s="14" t="s">
        <v>21</v>
      </c>
      <c r="G8" s="21" t="s">
        <v>41</v>
      </c>
      <c r="H8" s="21" t="s">
        <v>63</v>
      </c>
      <c r="I8" s="21" t="s">
        <v>44</v>
      </c>
      <c r="J8" s="15"/>
      <c r="K8" s="15" t="str">
        <f>"376,0"</f>
        <v>376,0</v>
      </c>
      <c r="L8" s="15" t="str">
        <f>"14714,4735"</f>
        <v>14714,4735</v>
      </c>
      <c r="M8" s="14" t="s">
        <v>93</v>
      </c>
    </row>
    <row r="10" spans="1:13" ht="16">
      <c r="B10" s="36" t="s">
        <v>8</v>
      </c>
      <c r="C10" s="36"/>
      <c r="D10" s="36"/>
      <c r="E10" s="36"/>
      <c r="F10" s="36"/>
      <c r="G10" s="36"/>
      <c r="H10" s="36"/>
      <c r="I10" s="36"/>
      <c r="J10" s="36"/>
    </row>
    <row r="11" spans="1:13">
      <c r="A11" s="26" t="s">
        <v>15</v>
      </c>
      <c r="B11" s="24" t="s">
        <v>88</v>
      </c>
      <c r="C11" s="6" t="s">
        <v>87</v>
      </c>
      <c r="D11" s="6" t="s">
        <v>86</v>
      </c>
      <c r="E11" s="6" t="s">
        <v>193</v>
      </c>
      <c r="F11" s="6" t="s">
        <v>79</v>
      </c>
      <c r="G11" s="9" t="s">
        <v>84</v>
      </c>
      <c r="H11" s="7"/>
      <c r="I11" s="7"/>
      <c r="J11" s="7"/>
      <c r="K11" s="7" t="str">
        <f>"411,0"</f>
        <v>411,0</v>
      </c>
      <c r="L11" s="7" t="str">
        <f>"16473,3019"</f>
        <v>16473,3019</v>
      </c>
      <c r="M11" s="6"/>
    </row>
  </sheetData>
  <mergeCells count="13">
    <mergeCell ref="B10:J10"/>
    <mergeCell ref="B5:J5"/>
    <mergeCell ref="A1:M2"/>
    <mergeCell ref="A3:A4"/>
    <mergeCell ref="K3:K4"/>
    <mergeCell ref="L3:L4"/>
    <mergeCell ref="M3:M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57"/>
  <dimension ref="A1:M6"/>
  <sheetViews>
    <sheetView workbookViewId="0">
      <selection activeCell="K3" sqref="K1:L1048576"/>
    </sheetView>
  </sheetViews>
  <sheetFormatPr baseColWidth="10" defaultColWidth="9.1640625" defaultRowHeight="13"/>
  <cols>
    <col min="1" max="1" width="9.1640625" style="3"/>
    <col min="2" max="2" width="19.83203125" style="4" customWidth="1"/>
    <col min="3" max="3" width="27.83203125" style="4" customWidth="1"/>
    <col min="4" max="4" width="16.5" style="4" customWidth="1"/>
    <col min="5" max="5" width="17.5" style="4" customWidth="1"/>
    <col min="6" max="6" width="21.1640625" style="4" bestFit="1" customWidth="1"/>
    <col min="7" max="10" width="5.5" style="5" customWidth="1"/>
    <col min="11" max="11" width="9.83203125" style="5" customWidth="1"/>
    <col min="12" max="12" width="9.6640625" style="5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37" t="s">
        <v>177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77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6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150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20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72</v>
      </c>
      <c r="C6" s="6" t="s">
        <v>73</v>
      </c>
      <c r="D6" s="6" t="s">
        <v>58</v>
      </c>
      <c r="E6" s="6" t="s">
        <v>193</v>
      </c>
      <c r="F6" s="6" t="s">
        <v>38</v>
      </c>
      <c r="G6" s="8" t="s">
        <v>24</v>
      </c>
      <c r="H6" s="9" t="s">
        <v>149</v>
      </c>
      <c r="I6" s="9" t="s">
        <v>22</v>
      </c>
      <c r="J6" s="7"/>
      <c r="K6" s="7" t="str">
        <f>"144,0"</f>
        <v>144,0</v>
      </c>
      <c r="L6" s="7" t="str">
        <f>"4658,4214"</f>
        <v>4658,4214</v>
      </c>
      <c r="M6" s="6" t="s">
        <v>74</v>
      </c>
    </row>
  </sheetData>
  <mergeCells count="12">
    <mergeCell ref="B5:J5"/>
    <mergeCell ref="B3:B4"/>
    <mergeCell ref="C3:C4"/>
    <mergeCell ref="D3:D4"/>
    <mergeCell ref="E3:E4"/>
    <mergeCell ref="F3:F4"/>
    <mergeCell ref="G3:J3"/>
    <mergeCell ref="A1:M2"/>
    <mergeCell ref="A3:A4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58"/>
  <dimension ref="A1:M6"/>
  <sheetViews>
    <sheetView workbookViewId="0">
      <selection activeCell="K3" sqref="K1:L1048576"/>
    </sheetView>
  </sheetViews>
  <sheetFormatPr baseColWidth="10" defaultColWidth="9.1640625" defaultRowHeight="13"/>
  <cols>
    <col min="1" max="1" width="9.1640625" style="3"/>
    <col min="2" max="2" width="25.83203125" style="4" bestFit="1" customWidth="1"/>
    <col min="3" max="3" width="27.83203125" style="4" customWidth="1"/>
    <col min="4" max="4" width="16.5" style="4" customWidth="1"/>
    <col min="5" max="5" width="17.1640625" style="4" customWidth="1"/>
    <col min="6" max="6" width="21.1640625" style="4" bestFit="1" customWidth="1"/>
    <col min="7" max="10" width="5.83203125" style="5" customWidth="1"/>
    <col min="11" max="12" width="11.5" style="5" customWidth="1"/>
    <col min="13" max="13" width="18.6640625" style="4" customWidth="1"/>
    <col min="14" max="16384" width="9.1640625" style="3"/>
  </cols>
  <sheetData>
    <row r="1" spans="1:13" s="2" customFormat="1" ht="15" customHeight="1">
      <c r="A1" s="37" t="s">
        <v>178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77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150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8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139</v>
      </c>
      <c r="C6" s="6" t="s">
        <v>138</v>
      </c>
      <c r="D6" s="6" t="s">
        <v>137</v>
      </c>
      <c r="E6" s="6" t="s">
        <v>193</v>
      </c>
      <c r="F6" s="6" t="s">
        <v>136</v>
      </c>
      <c r="G6" s="8" t="s">
        <v>24</v>
      </c>
      <c r="H6" s="9" t="s">
        <v>24</v>
      </c>
      <c r="I6" s="8" t="s">
        <v>53</v>
      </c>
      <c r="J6" s="7"/>
      <c r="K6" s="7" t="str">
        <f>"124,0"</f>
        <v>124,0</v>
      </c>
      <c r="L6" s="7" t="str">
        <f>"3968,7202"</f>
        <v>3968,7202</v>
      </c>
      <c r="M6" s="6"/>
    </row>
  </sheetData>
  <mergeCells count="12">
    <mergeCell ref="B5:J5"/>
    <mergeCell ref="B3:B4"/>
    <mergeCell ref="C3:C4"/>
    <mergeCell ref="D3:D4"/>
    <mergeCell ref="E3:E4"/>
    <mergeCell ref="F3:F4"/>
    <mergeCell ref="G3:J3"/>
    <mergeCell ref="A1:M2"/>
    <mergeCell ref="A3:A4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34"/>
  <dimension ref="A1:M6"/>
  <sheetViews>
    <sheetView workbookViewId="0">
      <selection activeCell="K3" sqref="K1:L1048576"/>
    </sheetView>
  </sheetViews>
  <sheetFormatPr baseColWidth="10" defaultColWidth="9.1640625" defaultRowHeight="13"/>
  <cols>
    <col min="1" max="1" width="9.1640625" style="3"/>
    <col min="2" max="2" width="19.6640625" style="4" customWidth="1"/>
    <col min="3" max="3" width="27.83203125" style="4" customWidth="1"/>
    <col min="4" max="4" width="16.5" style="4" customWidth="1"/>
    <col min="5" max="5" width="15.33203125" style="4" customWidth="1"/>
    <col min="6" max="6" width="21.1640625" style="4" bestFit="1" customWidth="1"/>
    <col min="7" max="10" width="5.5" style="5" customWidth="1"/>
    <col min="11" max="11" width="14" style="5" customWidth="1"/>
    <col min="12" max="12" width="10.1640625" style="5" customWidth="1"/>
    <col min="13" max="13" width="18.1640625" style="4" customWidth="1"/>
    <col min="14" max="16384" width="9.1640625" style="3"/>
  </cols>
  <sheetData>
    <row r="1" spans="1:13" s="2" customFormat="1" ht="15" customHeight="1">
      <c r="A1" s="37" t="s">
        <v>179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83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45" t="s">
        <v>190</v>
      </c>
      <c r="B3" s="49" t="s">
        <v>0</v>
      </c>
      <c r="C3" s="47" t="s">
        <v>191</v>
      </c>
      <c r="D3" s="47" t="s">
        <v>5</v>
      </c>
      <c r="E3" s="49" t="s">
        <v>192</v>
      </c>
      <c r="F3" s="49" t="s">
        <v>168</v>
      </c>
      <c r="G3" s="49" t="s">
        <v>6</v>
      </c>
      <c r="H3" s="49"/>
      <c r="I3" s="49"/>
      <c r="J3" s="49"/>
      <c r="K3" s="49" t="s">
        <v>1</v>
      </c>
      <c r="L3" s="49" t="s">
        <v>3</v>
      </c>
      <c r="M3" s="50" t="s">
        <v>2</v>
      </c>
    </row>
    <row r="4" spans="1:13" s="1" customFormat="1" ht="21" customHeight="1" thickBot="1">
      <c r="A4" s="46"/>
      <c r="B4" s="48"/>
      <c r="C4" s="48"/>
      <c r="D4" s="48"/>
      <c r="E4" s="48"/>
      <c r="F4" s="48"/>
      <c r="G4" s="31">
        <v>1</v>
      </c>
      <c r="H4" s="31">
        <v>2</v>
      </c>
      <c r="I4" s="31">
        <v>3</v>
      </c>
      <c r="J4" s="31" t="s">
        <v>4</v>
      </c>
      <c r="K4" s="48"/>
      <c r="L4" s="48"/>
      <c r="M4" s="51"/>
    </row>
    <row r="5" spans="1:13" ht="16">
      <c r="B5" s="36" t="s">
        <v>20</v>
      </c>
      <c r="C5" s="57"/>
      <c r="D5" s="57"/>
      <c r="E5" s="57"/>
      <c r="F5" s="57"/>
      <c r="G5" s="57"/>
      <c r="H5" s="57"/>
      <c r="I5" s="57"/>
      <c r="J5" s="57"/>
    </row>
    <row r="6" spans="1:13">
      <c r="A6" s="26" t="s">
        <v>15</v>
      </c>
      <c r="B6" s="24" t="s">
        <v>141</v>
      </c>
      <c r="C6" s="6" t="s">
        <v>164</v>
      </c>
      <c r="D6" s="6" t="s">
        <v>140</v>
      </c>
      <c r="E6" s="6" t="s">
        <v>195</v>
      </c>
      <c r="F6" s="6" t="s">
        <v>38</v>
      </c>
      <c r="G6" s="9" t="s">
        <v>56</v>
      </c>
      <c r="H6" s="9" t="s">
        <v>52</v>
      </c>
      <c r="I6" s="8" t="s">
        <v>22</v>
      </c>
      <c r="J6" s="7"/>
      <c r="K6" s="7" t="str">
        <f>"152,5"</f>
        <v>152,5</v>
      </c>
      <c r="L6" s="7" t="str">
        <f>"4926,5483"</f>
        <v>4926,5483</v>
      </c>
      <c r="M6" s="6"/>
    </row>
  </sheetData>
  <mergeCells count="12">
    <mergeCell ref="B5:J5"/>
    <mergeCell ref="B3:B4"/>
    <mergeCell ref="C3:C4"/>
    <mergeCell ref="D3:D4"/>
    <mergeCell ref="E3:E4"/>
    <mergeCell ref="F3:F4"/>
    <mergeCell ref="G3:J3"/>
    <mergeCell ref="A1:M2"/>
    <mergeCell ref="A3:A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BP Biathlon DT</vt:lpstr>
      <vt:lpstr>BP Biathlon</vt:lpstr>
      <vt:lpstr>BP Biathlon Women</vt:lpstr>
      <vt:lpstr>BP Biathlon Soft SP</vt:lpstr>
      <vt:lpstr>BP Biathlon Soft MP DT</vt:lpstr>
      <vt:lpstr>BP Biathlon Soft MP</vt:lpstr>
      <vt:lpstr>BP Biathlon Army DT</vt:lpstr>
      <vt:lpstr>BP Biathlon Army </vt:lpstr>
      <vt:lpstr>BP Military</vt:lpstr>
      <vt:lpstr>BP Max</vt:lpstr>
      <vt:lpstr>BP Soft SP Max DT</vt:lpstr>
      <vt:lpstr>BP Soft SP Max</vt:lpstr>
      <vt:lpstr>BP Soft MP Max DT</vt:lpstr>
      <vt:lpstr>BP Soft MP Max</vt:lpstr>
      <vt:lpstr>BP Army Max</vt:lpstr>
      <vt:lpstr>BP Military Max</vt:lpstr>
      <vt:lpstr>Biathlon 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2020-11-25T17:42:27Z</dcterms:modified>
</cp:coreProperties>
</file>