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Ноябрь/"/>
    </mc:Choice>
  </mc:AlternateContent>
  <xr:revisionPtr revIDLastSave="0" documentId="13_ncr:1_{3F70F0D2-02CA-894D-AF90-8F2069338C90}" xr6:coauthVersionLast="45" xr6:coauthVersionMax="45" xr10:uidLastSave="{00000000-0000-0000-0000-000000000000}"/>
  <bookViews>
    <workbookView xWindow="480" yWindow="460" windowWidth="28320" windowHeight="16040" tabRatio="961" firstSheet="19" activeTab="29" xr2:uid="{00000000-000D-0000-FFFF-FFFF00000000}"/>
  </bookViews>
  <sheets>
    <sheet name="PL Raw DT" sheetId="7" r:id="rId1"/>
    <sheet name="PL Raw" sheetId="6" r:id="rId2"/>
    <sheet name="PL Wraps DT" sheetId="9" r:id="rId3"/>
    <sheet name="PL Wraps" sheetId="8" r:id="rId4"/>
    <sheet name="PL SP" sheetId="5" r:id="rId5"/>
    <sheet name="PP Raw DT" sheetId="24" r:id="rId6"/>
    <sheet name="PP Raw" sheetId="23" r:id="rId7"/>
    <sheet name="PP Eq" sheetId="25" r:id="rId8"/>
    <sheet name="SQ Raw DT" sheetId="20" r:id="rId9"/>
    <sheet name="SQ Raw" sheetId="19" r:id="rId10"/>
    <sheet name="SQ Wraps DT" sheetId="22" r:id="rId11"/>
    <sheet name="SQ Wraps" sheetId="21" r:id="rId12"/>
    <sheet name="BP Raw DT" sheetId="11" r:id="rId13"/>
    <sheet name="BP Raw" sheetId="10" r:id="rId14"/>
    <sheet name="BP SP DT" sheetId="13" r:id="rId15"/>
    <sheet name="BP SP" sheetId="12" r:id="rId16"/>
    <sheet name="BP MP DT" sheetId="15" r:id="rId17"/>
    <sheet name="BP MP" sheetId="14" r:id="rId18"/>
    <sheet name="BP Soft SP DT" sheetId="43" r:id="rId19"/>
    <sheet name="BP Soft SP" sheetId="44" r:id="rId20"/>
    <sheet name="BP Soft MP DT" sheetId="41" r:id="rId21"/>
    <sheet name="BP Soft MP" sheetId="42" r:id="rId22"/>
    <sheet name="DL Raw DT" sheetId="17" r:id="rId23"/>
    <sheet name="DL Raw" sheetId="16" r:id="rId24"/>
    <sheet name="DL SP" sheetId="18" r:id="rId25"/>
    <sheet name="Powersport DT" sheetId="65" r:id="rId26"/>
    <sheet name="Powersport" sheetId="66" r:id="rId27"/>
    <sheet name="BP Army" sheetId="67" r:id="rId28"/>
    <sheet name="Biceps curl DT" sheetId="68" r:id="rId29"/>
    <sheet name="Biceps curl" sheetId="69" r:id="rId30"/>
  </sheets>
  <definedNames>
    <definedName name="_FilterDatabase" localSheetId="27" hidden="1">'BP Army'!$A$1:$K$3</definedName>
    <definedName name="_FilterDatabase" localSheetId="19" hidden="1">'BP Soft SP'!$A$1:$K$3</definedName>
    <definedName name="_FilterDatabase" localSheetId="4" hidden="1">'PL SP'!$A$1:$S$3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69" l="1"/>
  <c r="L6" i="69"/>
  <c r="K9" i="69"/>
  <c r="L9" i="69"/>
  <c r="K10" i="69"/>
  <c r="L10" i="69"/>
  <c r="K13" i="69"/>
  <c r="L13" i="69"/>
  <c r="K14" i="69"/>
  <c r="L14" i="69"/>
  <c r="K17" i="69"/>
  <c r="L17" i="69"/>
  <c r="K18" i="69"/>
  <c r="L18" i="69"/>
  <c r="K21" i="69"/>
  <c r="L21" i="69"/>
  <c r="K22" i="69"/>
  <c r="L22" i="69"/>
  <c r="K23" i="69"/>
  <c r="L23" i="69"/>
  <c r="K6" i="68"/>
  <c r="L6" i="68"/>
  <c r="K9" i="68"/>
  <c r="L9" i="68"/>
  <c r="K10" i="68"/>
  <c r="L10" i="68"/>
  <c r="K11" i="68"/>
  <c r="L11" i="68"/>
  <c r="K14" i="68"/>
  <c r="L14" i="68"/>
  <c r="K15" i="68"/>
  <c r="L15" i="68"/>
  <c r="K16" i="68"/>
  <c r="L16" i="68"/>
  <c r="K19" i="68"/>
  <c r="L19" i="68"/>
  <c r="K20" i="68"/>
  <c r="L20" i="68"/>
  <c r="K21" i="68"/>
  <c r="L21" i="68"/>
  <c r="K22" i="68"/>
  <c r="L22" i="68"/>
  <c r="K23" i="68"/>
  <c r="L23" i="68"/>
  <c r="K26" i="68"/>
  <c r="L26" i="68"/>
  <c r="K29" i="68"/>
  <c r="L29" i="68"/>
  <c r="K30" i="68"/>
  <c r="L30" i="68"/>
  <c r="K6" i="67"/>
  <c r="L6" i="67"/>
  <c r="K7" i="67"/>
  <c r="L7" i="67"/>
  <c r="K8" i="67"/>
  <c r="L8" i="67"/>
  <c r="O6" i="66"/>
  <c r="P6" i="66"/>
  <c r="O9" i="66"/>
  <c r="P9" i="66"/>
  <c r="O12" i="66"/>
  <c r="P12" i="66"/>
  <c r="O15" i="66"/>
  <c r="P15" i="66"/>
  <c r="O16" i="66"/>
  <c r="P16" i="66"/>
  <c r="O6" i="65"/>
  <c r="P6" i="65"/>
  <c r="O7" i="65"/>
  <c r="P7" i="65"/>
  <c r="O10" i="65"/>
  <c r="P10" i="65"/>
  <c r="O11" i="65"/>
  <c r="P11" i="65"/>
  <c r="O14" i="65"/>
  <c r="P14" i="65"/>
  <c r="O15" i="65"/>
  <c r="P15" i="65"/>
  <c r="O16" i="65"/>
  <c r="P16" i="65"/>
  <c r="O19" i="65"/>
  <c r="P19" i="65"/>
  <c r="O22" i="65"/>
  <c r="P22" i="65"/>
  <c r="O23" i="65"/>
  <c r="P23" i="65"/>
  <c r="K6" i="44"/>
  <c r="L6" i="44"/>
  <c r="K9" i="44"/>
  <c r="L9" i="44"/>
  <c r="K10" i="44"/>
  <c r="L10" i="44"/>
  <c r="L11" i="44"/>
  <c r="K14" i="44"/>
  <c r="L14" i="44"/>
  <c r="K17" i="44"/>
  <c r="L17" i="44"/>
  <c r="K18" i="44"/>
  <c r="L18" i="44"/>
  <c r="K19" i="44"/>
  <c r="L19" i="44"/>
  <c r="K20" i="44"/>
  <c r="L20" i="44"/>
  <c r="K23" i="44"/>
  <c r="L23" i="44"/>
  <c r="K6" i="43"/>
  <c r="L6" i="43"/>
  <c r="K7" i="43"/>
  <c r="L7" i="43"/>
  <c r="K8" i="43"/>
  <c r="L8" i="43"/>
  <c r="K9" i="43"/>
  <c r="L9" i="43"/>
  <c r="K6" i="42"/>
  <c r="L6" i="42"/>
  <c r="K7" i="42"/>
  <c r="L7" i="42"/>
  <c r="K8" i="42"/>
  <c r="L8" i="42"/>
  <c r="K9" i="42"/>
  <c r="L9" i="42"/>
  <c r="K6" i="41"/>
  <c r="L6" i="41"/>
  <c r="K7" i="41"/>
  <c r="L7" i="41"/>
  <c r="P6" i="25"/>
  <c r="O6" i="25"/>
  <c r="P23" i="24"/>
  <c r="O23" i="24"/>
  <c r="P20" i="24"/>
  <c r="O20" i="24"/>
  <c r="P17" i="24"/>
  <c r="O17" i="24"/>
  <c r="P16" i="24"/>
  <c r="O16" i="24"/>
  <c r="P13" i="24"/>
  <c r="O13" i="24"/>
  <c r="P10" i="24"/>
  <c r="O10" i="24"/>
  <c r="P9" i="24"/>
  <c r="O9" i="24"/>
  <c r="P6" i="24"/>
  <c r="O6" i="24"/>
  <c r="P10" i="23"/>
  <c r="P7" i="23"/>
  <c r="O7" i="23"/>
  <c r="P6" i="23"/>
  <c r="O6" i="23"/>
  <c r="L9" i="22"/>
  <c r="K9" i="22"/>
  <c r="L6" i="22"/>
  <c r="K6" i="22"/>
  <c r="L9" i="21"/>
  <c r="L6" i="21"/>
  <c r="K6" i="21"/>
  <c r="L6" i="20"/>
  <c r="K6" i="20"/>
  <c r="L6" i="19"/>
  <c r="K6" i="19"/>
  <c r="L9" i="18"/>
  <c r="K9" i="18"/>
  <c r="L6" i="18"/>
  <c r="K6" i="18"/>
  <c r="L41" i="17"/>
  <c r="K41" i="17"/>
  <c r="L40" i="17"/>
  <c r="K40" i="17"/>
  <c r="L39" i="17"/>
  <c r="K39" i="17"/>
  <c r="L36" i="17"/>
  <c r="K36" i="17"/>
  <c r="L35" i="17"/>
  <c r="K35" i="17"/>
  <c r="L32" i="17"/>
  <c r="K32" i="17"/>
  <c r="L31" i="17"/>
  <c r="K31" i="17"/>
  <c r="L30" i="17"/>
  <c r="K30" i="17"/>
  <c r="L27" i="17"/>
  <c r="L26" i="17"/>
  <c r="K26" i="17"/>
  <c r="L25" i="17"/>
  <c r="K25" i="17"/>
  <c r="L22" i="17"/>
  <c r="K22" i="17"/>
  <c r="L21" i="17"/>
  <c r="K21" i="17"/>
  <c r="L20" i="17"/>
  <c r="K20" i="17"/>
  <c r="L19" i="17"/>
  <c r="K19" i="17"/>
  <c r="L18" i="17"/>
  <c r="K18" i="17"/>
  <c r="L15" i="17"/>
  <c r="K15" i="17"/>
  <c r="L12" i="17"/>
  <c r="K12" i="17"/>
  <c r="L9" i="17"/>
  <c r="K9" i="17"/>
  <c r="L6" i="17"/>
  <c r="K6" i="17"/>
  <c r="L34" i="16"/>
  <c r="K34" i="16"/>
  <c r="L33" i="16"/>
  <c r="K33" i="16"/>
  <c r="L30" i="16"/>
  <c r="K30" i="16"/>
  <c r="L29" i="16"/>
  <c r="K29" i="16"/>
  <c r="L28" i="16"/>
  <c r="K28" i="16"/>
  <c r="L27" i="16"/>
  <c r="K27" i="16"/>
  <c r="L24" i="16"/>
  <c r="K24" i="16"/>
  <c r="L23" i="16"/>
  <c r="K23" i="16"/>
  <c r="L22" i="16"/>
  <c r="K22" i="16"/>
  <c r="L19" i="16"/>
  <c r="K19" i="16"/>
  <c r="L18" i="16"/>
  <c r="K18" i="16"/>
  <c r="L17" i="16"/>
  <c r="K17" i="16"/>
  <c r="L16" i="16"/>
  <c r="K16" i="16"/>
  <c r="L13" i="16"/>
  <c r="K13" i="16"/>
  <c r="L10" i="16"/>
  <c r="K10" i="16"/>
  <c r="L9" i="16"/>
  <c r="K9" i="16"/>
  <c r="L6" i="16"/>
  <c r="K6" i="16"/>
  <c r="L6" i="15"/>
  <c r="K6" i="15"/>
  <c r="L7" i="14"/>
  <c r="K7" i="14"/>
  <c r="L6" i="14"/>
  <c r="K6" i="14"/>
  <c r="L6" i="13"/>
  <c r="L9" i="12"/>
  <c r="K9" i="12"/>
  <c r="L6" i="12"/>
  <c r="K6" i="12"/>
  <c r="L76" i="11"/>
  <c r="K76" i="11"/>
  <c r="L75" i="11"/>
  <c r="K75" i="11"/>
  <c r="L72" i="11"/>
  <c r="K72" i="11"/>
  <c r="L71" i="11"/>
  <c r="K71" i="11"/>
  <c r="L68" i="11"/>
  <c r="K68" i="11"/>
  <c r="L67" i="11"/>
  <c r="K67" i="11"/>
  <c r="L64" i="11"/>
  <c r="K64" i="11"/>
  <c r="L63" i="11"/>
  <c r="K63" i="11"/>
  <c r="L62" i="11"/>
  <c r="K62" i="11"/>
  <c r="L61" i="11"/>
  <c r="K61" i="11"/>
  <c r="L60" i="11"/>
  <c r="K60" i="11"/>
  <c r="L57" i="11"/>
  <c r="K57" i="11"/>
  <c r="L56" i="11"/>
  <c r="K56" i="11"/>
  <c r="L55" i="11"/>
  <c r="K55" i="11"/>
  <c r="L54" i="11"/>
  <c r="K54" i="11"/>
  <c r="L53" i="11"/>
  <c r="K53" i="11"/>
  <c r="L50" i="11"/>
  <c r="L49" i="11"/>
  <c r="K49" i="11"/>
  <c r="L48" i="11"/>
  <c r="K48" i="11"/>
  <c r="L47" i="11"/>
  <c r="K47" i="11"/>
  <c r="L46" i="11"/>
  <c r="K46" i="11"/>
  <c r="L45" i="11"/>
  <c r="K45" i="11"/>
  <c r="L42" i="11"/>
  <c r="K42" i="11"/>
  <c r="L41" i="11"/>
  <c r="K41" i="11"/>
  <c r="L40" i="11"/>
  <c r="K40" i="11"/>
  <c r="L39" i="11"/>
  <c r="K39" i="11"/>
  <c r="L38" i="11"/>
  <c r="K38" i="11"/>
  <c r="L37" i="11"/>
  <c r="K37" i="11"/>
  <c r="L34" i="11"/>
  <c r="K34" i="11"/>
  <c r="L31" i="11"/>
  <c r="K31" i="11"/>
  <c r="L28" i="11"/>
  <c r="K28" i="11"/>
  <c r="L25" i="11"/>
  <c r="K25" i="11"/>
  <c r="L22" i="11"/>
  <c r="K22" i="11"/>
  <c r="L19" i="11"/>
  <c r="L18" i="11"/>
  <c r="K18" i="11"/>
  <c r="L17" i="11"/>
  <c r="K17" i="11"/>
  <c r="L16" i="11"/>
  <c r="K16" i="11"/>
  <c r="L13" i="11"/>
  <c r="K13" i="11"/>
  <c r="L10" i="11"/>
  <c r="K10" i="11"/>
  <c r="L9" i="11"/>
  <c r="K9" i="11"/>
  <c r="L6" i="11"/>
  <c r="K6" i="11"/>
  <c r="L52" i="10"/>
  <c r="K52" i="10"/>
  <c r="L49" i="10"/>
  <c r="K49" i="10"/>
  <c r="L48" i="10"/>
  <c r="K48" i="10"/>
  <c r="L47" i="10"/>
  <c r="K47" i="10"/>
  <c r="L46" i="10"/>
  <c r="K46" i="10"/>
  <c r="L45" i="10"/>
  <c r="K45" i="10"/>
  <c r="L44" i="10"/>
  <c r="K44" i="10"/>
  <c r="L41" i="10"/>
  <c r="K41" i="10"/>
  <c r="L40" i="10"/>
  <c r="K40" i="10"/>
  <c r="L39" i="10"/>
  <c r="K39" i="10"/>
  <c r="L38" i="10"/>
  <c r="K38" i="10"/>
  <c r="L35" i="10"/>
  <c r="K35" i="10"/>
  <c r="L34" i="10"/>
  <c r="K34" i="10"/>
  <c r="L33" i="10"/>
  <c r="K33" i="10"/>
  <c r="L32" i="10"/>
  <c r="K32" i="10"/>
  <c r="L31" i="10"/>
  <c r="K31" i="10"/>
  <c r="L28" i="10"/>
  <c r="K28" i="10"/>
  <c r="L27" i="10"/>
  <c r="L26" i="10"/>
  <c r="K26" i="10"/>
  <c r="L25" i="10"/>
  <c r="K25" i="10"/>
  <c r="L24" i="10"/>
  <c r="K24" i="10"/>
  <c r="L21" i="10"/>
  <c r="K21" i="10"/>
  <c r="L18" i="10"/>
  <c r="K18" i="10"/>
  <c r="L15" i="10"/>
  <c r="K15" i="10"/>
  <c r="L12" i="10"/>
  <c r="K12" i="10"/>
  <c r="L9" i="10"/>
  <c r="K9" i="10"/>
  <c r="L6" i="10"/>
  <c r="K6" i="10"/>
  <c r="T21" i="9"/>
  <c r="T18" i="9"/>
  <c r="S18" i="9"/>
  <c r="T15" i="9"/>
  <c r="S15" i="9"/>
  <c r="T12" i="9"/>
  <c r="S12" i="9"/>
  <c r="T9" i="9"/>
  <c r="S9" i="9"/>
  <c r="T6" i="9"/>
  <c r="S6" i="9"/>
  <c r="T26" i="8"/>
  <c r="S26" i="8"/>
  <c r="T23" i="8"/>
  <c r="S23" i="8"/>
  <c r="T22" i="8"/>
  <c r="S22" i="8"/>
  <c r="T19" i="8"/>
  <c r="S19" i="8"/>
  <c r="T18" i="8"/>
  <c r="S18" i="8"/>
  <c r="T17" i="8"/>
  <c r="S17" i="8"/>
  <c r="T16" i="8"/>
  <c r="S16" i="8"/>
  <c r="T13" i="8"/>
  <c r="S13" i="8"/>
  <c r="T12" i="8"/>
  <c r="S12" i="8"/>
  <c r="T9" i="8"/>
  <c r="S9" i="8"/>
  <c r="T6" i="8"/>
  <c r="S6" i="8"/>
  <c r="T59" i="7"/>
  <c r="S59" i="7"/>
  <c r="T58" i="7"/>
  <c r="S58" i="7"/>
  <c r="T55" i="7"/>
  <c r="S55" i="7"/>
  <c r="T54" i="7"/>
  <c r="S54" i="7"/>
  <c r="T51" i="7"/>
  <c r="S51" i="7"/>
  <c r="T50" i="7"/>
  <c r="S50" i="7"/>
  <c r="T49" i="7"/>
  <c r="S49" i="7"/>
  <c r="T48" i="7"/>
  <c r="S48" i="7"/>
  <c r="T45" i="7"/>
  <c r="S45" i="7"/>
  <c r="T44" i="7"/>
  <c r="S44" i="7"/>
  <c r="T43" i="7"/>
  <c r="S43" i="7"/>
  <c r="T42" i="7"/>
  <c r="S42" i="7"/>
  <c r="T41" i="7"/>
  <c r="S41" i="7"/>
  <c r="T40" i="7"/>
  <c r="S40" i="7"/>
  <c r="T39" i="7"/>
  <c r="S39" i="7"/>
  <c r="T38" i="7"/>
  <c r="S38" i="7"/>
  <c r="T35" i="7"/>
  <c r="S35" i="7"/>
  <c r="T34" i="7"/>
  <c r="S34" i="7"/>
  <c r="T31" i="7"/>
  <c r="S31" i="7"/>
  <c r="T30" i="7"/>
  <c r="S30" i="7"/>
  <c r="T27" i="7"/>
  <c r="S27" i="7"/>
  <c r="T24" i="7"/>
  <c r="S24" i="7"/>
  <c r="T21" i="7"/>
  <c r="S21" i="7"/>
  <c r="T20" i="7"/>
  <c r="S20" i="7"/>
  <c r="T17" i="7"/>
  <c r="S17" i="7"/>
  <c r="T16" i="7"/>
  <c r="S16" i="7"/>
  <c r="T13" i="7"/>
  <c r="S13" i="7"/>
  <c r="T12" i="7"/>
  <c r="S12" i="7"/>
  <c r="T9" i="7"/>
  <c r="S9" i="7"/>
  <c r="T6" i="7"/>
  <c r="S6" i="7"/>
  <c r="T31" i="6"/>
  <c r="S31" i="6"/>
  <c r="T28" i="6"/>
  <c r="S28" i="6"/>
  <c r="T27" i="6"/>
  <c r="S27" i="6"/>
  <c r="T26" i="6"/>
  <c r="S26" i="6"/>
  <c r="T25" i="6"/>
  <c r="S25" i="6"/>
  <c r="T24" i="6"/>
  <c r="S24" i="6"/>
  <c r="T23" i="6"/>
  <c r="S23" i="6"/>
  <c r="T20" i="6"/>
  <c r="T19" i="6"/>
  <c r="S19" i="6"/>
  <c r="T18" i="6"/>
  <c r="S18" i="6"/>
  <c r="T17" i="6"/>
  <c r="S17" i="6"/>
  <c r="T14" i="6"/>
  <c r="S14" i="6"/>
  <c r="T13" i="6"/>
  <c r="S13" i="6"/>
  <c r="T12" i="6"/>
  <c r="S12" i="6"/>
  <c r="T9" i="6"/>
  <c r="T6" i="6"/>
  <c r="S6" i="6"/>
  <c r="T6" i="5"/>
  <c r="S6" i="5"/>
</calcChain>
</file>

<file path=xl/sharedStrings.xml><?xml version="1.0" encoding="utf-8"?>
<sst xmlns="http://schemas.openxmlformats.org/spreadsheetml/2006/main" count="3777" uniqueCount="1052">
  <si>
    <t>ФИО</t>
  </si>
  <si>
    <t>Сумма</t>
  </si>
  <si>
    <t>Тренер</t>
  </si>
  <si>
    <t>Очки</t>
  </si>
  <si>
    <t>Рек</t>
  </si>
  <si>
    <t>Собственный 
вес</t>
  </si>
  <si>
    <t>Приседание</t>
  </si>
  <si>
    <t>Жим лёжа</t>
  </si>
  <si>
    <t>Становая тяга</t>
  </si>
  <si>
    <t>ВЕСОВАЯ КАТЕГОРИЯ   110</t>
  </si>
  <si>
    <t>Емцев Николай</t>
  </si>
  <si>
    <t>106,60</t>
  </si>
  <si>
    <t>235,0</t>
  </si>
  <si>
    <t>240,0</t>
  </si>
  <si>
    <t>250,0</t>
  </si>
  <si>
    <t>150,0</t>
  </si>
  <si>
    <t>160,0</t>
  </si>
  <si>
    <t>230,0</t>
  </si>
  <si>
    <t>245,0</t>
  </si>
  <si>
    <t xml:space="preserve">Абсолютный зачёт 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</si>
  <si>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</si>
  <si>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</si>
  <si>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</si>
  <si>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</si>
  <si>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</si>
  <si>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</si>
  <si>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</si>
  <si>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110</t>
  </si>
  <si>
    <t>1</t>
  </si>
  <si>
    <t/>
  </si>
  <si>
    <t>ВЕСОВАЯ КАТЕГОРИЯ   67.5</t>
  </si>
  <si>
    <t>Ларская Алиса</t>
  </si>
  <si>
    <t>Открытая (18.04.1989)/31</t>
  </si>
  <si>
    <t>67,00</t>
  </si>
  <si>
    <t>125,0</t>
  </si>
  <si>
    <t>130,0</t>
  </si>
  <si>
    <t>135,0</t>
  </si>
  <si>
    <t>82,5</t>
  </si>
  <si>
    <t>87,5</t>
  </si>
  <si>
    <t>90,0</t>
  </si>
  <si>
    <t>145,0</t>
  </si>
  <si>
    <t xml:space="preserve">Суслов Н. </t>
  </si>
  <si>
    <t>ВЕСОВАЯ КАТЕГОРИЯ   90</t>
  </si>
  <si>
    <t>Огурчикова Алина</t>
  </si>
  <si>
    <t>Девушки 15-19 (28.02.2002)/18</t>
  </si>
  <si>
    <t>86,80</t>
  </si>
  <si>
    <t>110,0</t>
  </si>
  <si>
    <t>115,0</t>
  </si>
  <si>
    <t>120,0</t>
  </si>
  <si>
    <t>80,0</t>
  </si>
  <si>
    <t>100,0</t>
  </si>
  <si>
    <t>ВЕСОВАЯ КАТЕГОРИЯ   82.5</t>
  </si>
  <si>
    <t>Талеров Александр</t>
  </si>
  <si>
    <t>Открытая (08.06.1983)/37</t>
  </si>
  <si>
    <t>82,00</t>
  </si>
  <si>
    <t>132,5</t>
  </si>
  <si>
    <t>140,0</t>
  </si>
  <si>
    <t>265,0</t>
  </si>
  <si>
    <t>270,0</t>
  </si>
  <si>
    <t xml:space="preserve">Шейко Б. </t>
  </si>
  <si>
    <t>Литовкин Дмитрий</t>
  </si>
  <si>
    <t>Открытая (13.12.1987)/32</t>
  </si>
  <si>
    <t>81,50</t>
  </si>
  <si>
    <t xml:space="preserve">BLR/Гомель </t>
  </si>
  <si>
    <t>210,0</t>
  </si>
  <si>
    <t>220,0</t>
  </si>
  <si>
    <t>225,0</t>
  </si>
  <si>
    <t>147,5</t>
  </si>
  <si>
    <t>255,0</t>
  </si>
  <si>
    <t xml:space="preserve">Нарскин А. </t>
  </si>
  <si>
    <t>Опарин Илья</t>
  </si>
  <si>
    <t>Открытая (01.01.1992)/28</t>
  </si>
  <si>
    <t>78,00</t>
  </si>
  <si>
    <t>180,0</t>
  </si>
  <si>
    <t>185,0</t>
  </si>
  <si>
    <t>Фомичев Кирилл</t>
  </si>
  <si>
    <t>Открытая (18.05.1992)/28</t>
  </si>
  <si>
    <t>89,40</t>
  </si>
  <si>
    <t>260,0</t>
  </si>
  <si>
    <t>275,0</t>
  </si>
  <si>
    <t>190,0</t>
  </si>
  <si>
    <t>200,0</t>
  </si>
  <si>
    <t>205,0</t>
  </si>
  <si>
    <t>292,5</t>
  </si>
  <si>
    <t>Качаев Иван</t>
  </si>
  <si>
    <t>Открытая (05.11.1996)/24</t>
  </si>
  <si>
    <t>88,50</t>
  </si>
  <si>
    <t>215,0</t>
  </si>
  <si>
    <t xml:space="preserve">Луговой А. </t>
  </si>
  <si>
    <t>Багитов Рустам</t>
  </si>
  <si>
    <t>Открытая (18.01.1985)/35</t>
  </si>
  <si>
    <t>88,90</t>
  </si>
  <si>
    <t>155,0</t>
  </si>
  <si>
    <t>162,5</t>
  </si>
  <si>
    <t>Жаднов Евгений</t>
  </si>
  <si>
    <t>Открытая (11.06.1996)/24</t>
  </si>
  <si>
    <t xml:space="preserve">Петрушкин Р. </t>
  </si>
  <si>
    <t>ВЕСОВАЯ КАТЕГОРИЯ   100</t>
  </si>
  <si>
    <t>Белкин Юрий</t>
  </si>
  <si>
    <t>Открытая (05.12.1990)/29</t>
  </si>
  <si>
    <t>100,00</t>
  </si>
  <si>
    <t>305,0</t>
  </si>
  <si>
    <t>320,0</t>
  </si>
  <si>
    <t>325,0</t>
  </si>
  <si>
    <t>227,5</t>
  </si>
  <si>
    <t>232,5</t>
  </si>
  <si>
    <t>415,0</t>
  </si>
  <si>
    <t>442,5</t>
  </si>
  <si>
    <t>Басиров Рустам</t>
  </si>
  <si>
    <t>Открытая (31.07.1989)/31</t>
  </si>
  <si>
    <t>99,10</t>
  </si>
  <si>
    <t>280,0</t>
  </si>
  <si>
    <t>300,0</t>
  </si>
  <si>
    <t>310,0</t>
  </si>
  <si>
    <t>330,0</t>
  </si>
  <si>
    <t>Уланов Артем</t>
  </si>
  <si>
    <t>Открытая (09.01.1996)/24</t>
  </si>
  <si>
    <t>98,00</t>
  </si>
  <si>
    <t>290,0</t>
  </si>
  <si>
    <t>167,5</t>
  </si>
  <si>
    <t>170,0</t>
  </si>
  <si>
    <t>327,5</t>
  </si>
  <si>
    <t>335,0</t>
  </si>
  <si>
    <t>Сурков Сергей</t>
  </si>
  <si>
    <t>Открытая (14.10.1985)/35</t>
  </si>
  <si>
    <t>94,30</t>
  </si>
  <si>
    <t>195,0</t>
  </si>
  <si>
    <t xml:space="preserve">Желтенко Е. </t>
  </si>
  <si>
    <t>Шалаев Евгений</t>
  </si>
  <si>
    <t>Открытая (25.01.1986)/34</t>
  </si>
  <si>
    <t>98,20</t>
  </si>
  <si>
    <t>207,5</t>
  </si>
  <si>
    <t>222,5</t>
  </si>
  <si>
    <t>187,5</t>
  </si>
  <si>
    <t>252,5</t>
  </si>
  <si>
    <t>Малышев Роман</t>
  </si>
  <si>
    <t>96,60</t>
  </si>
  <si>
    <t>152,5</t>
  </si>
  <si>
    <t>175,0</t>
  </si>
  <si>
    <t>Смирнов Александр</t>
  </si>
  <si>
    <t>Открытая (04.02.1996)/24</t>
  </si>
  <si>
    <t>102,70</t>
  </si>
  <si>
    <t xml:space="preserve">Женщины </t>
  </si>
  <si>
    <t xml:space="preserve">Открытая </t>
  </si>
  <si>
    <t>100</t>
  </si>
  <si>
    <t>972,5</t>
  </si>
  <si>
    <t>591,8635</t>
  </si>
  <si>
    <t>845,0</t>
  </si>
  <si>
    <t>516,1260</t>
  </si>
  <si>
    <t>797,5</t>
  </si>
  <si>
    <t>489,3460</t>
  </si>
  <si>
    <t>-</t>
  </si>
  <si>
    <t>2</t>
  </si>
  <si>
    <t>3</t>
  </si>
  <si>
    <t>4</t>
  </si>
  <si>
    <t>5</t>
  </si>
  <si>
    <t>ВЕСОВАЯ КАТЕГОРИЯ   44</t>
  </si>
  <si>
    <t>Шарынкина Светлана</t>
  </si>
  <si>
    <t>Открытая (27.06.1995)/25</t>
  </si>
  <si>
    <t>42,60</t>
  </si>
  <si>
    <t>75,0</t>
  </si>
  <si>
    <t>77,5</t>
  </si>
  <si>
    <t>62,5</t>
  </si>
  <si>
    <t>65,0</t>
  </si>
  <si>
    <t>95,0</t>
  </si>
  <si>
    <t>102,5</t>
  </si>
  <si>
    <t xml:space="preserve">Мышко Н. </t>
  </si>
  <si>
    <t>ВЕСОВАЯ КАТЕГОРИЯ   52</t>
  </si>
  <si>
    <t>Петрушкина Виктория</t>
  </si>
  <si>
    <t>Девушки 15-19 (26.04.2006)/14</t>
  </si>
  <si>
    <t>48,80</t>
  </si>
  <si>
    <t>67,5</t>
  </si>
  <si>
    <t>70,0</t>
  </si>
  <si>
    <t>37,5</t>
  </si>
  <si>
    <t>40,0</t>
  </si>
  <si>
    <t>42,5</t>
  </si>
  <si>
    <t>60,0</t>
  </si>
  <si>
    <t>ВЕСОВАЯ КАТЕГОРИЯ   56</t>
  </si>
  <si>
    <t>Качан Ярослава</t>
  </si>
  <si>
    <t>Открытая (03.03.1990)/30</t>
  </si>
  <si>
    <t>54,80</t>
  </si>
  <si>
    <t>107,5</t>
  </si>
  <si>
    <t>112,5</t>
  </si>
  <si>
    <t xml:space="preserve">Качан С. </t>
  </si>
  <si>
    <t>Голуб Анна</t>
  </si>
  <si>
    <t>Открытая (23.06.1992)/28</t>
  </si>
  <si>
    <t>55,60</t>
  </si>
  <si>
    <t>72,5</t>
  </si>
  <si>
    <t>50,0</t>
  </si>
  <si>
    <t>55,0</t>
  </si>
  <si>
    <t>57,5</t>
  </si>
  <si>
    <t>Назарук Екатерина</t>
  </si>
  <si>
    <t>Девушки 15-19 (12.07.2002)/18</t>
  </si>
  <si>
    <t>66,90</t>
  </si>
  <si>
    <t>85,0</t>
  </si>
  <si>
    <t>52,5</t>
  </si>
  <si>
    <t>97,5</t>
  </si>
  <si>
    <t>Хорохорина Валерия</t>
  </si>
  <si>
    <t>63,80</t>
  </si>
  <si>
    <t>45,0</t>
  </si>
  <si>
    <t>ВЕСОВАЯ КАТЕГОРИЯ   75</t>
  </si>
  <si>
    <t>Кардакова Наталья</t>
  </si>
  <si>
    <t>Открытая (15.06.1981)/39</t>
  </si>
  <si>
    <t>73,30</t>
  </si>
  <si>
    <t>105,0</t>
  </si>
  <si>
    <t xml:space="preserve">Харина В. </t>
  </si>
  <si>
    <t>Черкасова Наталья</t>
  </si>
  <si>
    <t>69,90</t>
  </si>
  <si>
    <t xml:space="preserve">Пресняков В. </t>
  </si>
  <si>
    <t>ВЕСОВАЯ КАТЕГОРИЯ   90+</t>
  </si>
  <si>
    <t>Кузнецова Мария</t>
  </si>
  <si>
    <t>Открытая (17.06.1993)/27</t>
  </si>
  <si>
    <t>104,10</t>
  </si>
  <si>
    <t>122,5</t>
  </si>
  <si>
    <t>137,5</t>
  </si>
  <si>
    <t>Соколов Данила</t>
  </si>
  <si>
    <t>Юноши 15-19 (08.03.2007)/13</t>
  </si>
  <si>
    <t>Лебедиков Евгений</t>
  </si>
  <si>
    <t>Открытая (19.12.1992)/27</t>
  </si>
  <si>
    <t>74,00</t>
  </si>
  <si>
    <t>Малютин Семен</t>
  </si>
  <si>
    <t>Открытая (28.10.1993)/27</t>
  </si>
  <si>
    <t>127,5</t>
  </si>
  <si>
    <t>157,5</t>
  </si>
  <si>
    <t>165,0</t>
  </si>
  <si>
    <t xml:space="preserve">Моргулец Д. </t>
  </si>
  <si>
    <t>Юдин Григорий</t>
  </si>
  <si>
    <t>Открытая (06.06.1985)/35</t>
  </si>
  <si>
    <t>80,90</t>
  </si>
  <si>
    <t>217,5</t>
  </si>
  <si>
    <t>Соколов Дмитрий</t>
  </si>
  <si>
    <t>Открытая (18.07.1986)/34</t>
  </si>
  <si>
    <t>80,40</t>
  </si>
  <si>
    <t>Владимиров Евгений</t>
  </si>
  <si>
    <t>Открытая (22.08.1964)/56</t>
  </si>
  <si>
    <t>89,10</t>
  </si>
  <si>
    <t xml:space="preserve">Серёгин К. </t>
  </si>
  <si>
    <t>Воробьев Николай</t>
  </si>
  <si>
    <t>Открытая (07.08.1984)/36</t>
  </si>
  <si>
    <t>Самойлов Сергей</t>
  </si>
  <si>
    <t>Открытая (14.05.1990)/30</t>
  </si>
  <si>
    <t>89,80</t>
  </si>
  <si>
    <t>Мыцев Иван</t>
  </si>
  <si>
    <t>Открытая (07.11.1988)/32</t>
  </si>
  <si>
    <t>Ручканов Александр</t>
  </si>
  <si>
    <t>Открытая (24.06.1994)/26</t>
  </si>
  <si>
    <t>88,70</t>
  </si>
  <si>
    <t>Титов Юрий</t>
  </si>
  <si>
    <t>Открытая (09.09.1981)/39</t>
  </si>
  <si>
    <t>88,60</t>
  </si>
  <si>
    <t xml:space="preserve">Реброва Н. </t>
  </si>
  <si>
    <t>Барбье Александр</t>
  </si>
  <si>
    <t>88,20</t>
  </si>
  <si>
    <t>202,5</t>
  </si>
  <si>
    <t>Коробов Максим</t>
  </si>
  <si>
    <t>Юноши 15-19 (31.03.2001)/19</t>
  </si>
  <si>
    <t>92,60</t>
  </si>
  <si>
    <t>Трунов Олег</t>
  </si>
  <si>
    <t>Открытая (08.08.1988)/32</t>
  </si>
  <si>
    <t>98,40</t>
  </si>
  <si>
    <t>Ильин Борис</t>
  </si>
  <si>
    <t>Открытая (15.09.1994)/26</t>
  </si>
  <si>
    <t>99,90</t>
  </si>
  <si>
    <t xml:space="preserve">Бебенин Г. </t>
  </si>
  <si>
    <t>Куприянов Михаил</t>
  </si>
  <si>
    <t>Открытая (20.11.1985)/35</t>
  </si>
  <si>
    <t>98,30</t>
  </si>
  <si>
    <t>Бычков Алексей</t>
  </si>
  <si>
    <t>Открытая (21.03.1983)/37</t>
  </si>
  <si>
    <t>108,50</t>
  </si>
  <si>
    <t>Гребнев Евгений</t>
  </si>
  <si>
    <t>109,90</t>
  </si>
  <si>
    <t>142,5</t>
  </si>
  <si>
    <t>ВЕСОВАЯ КАТЕГОРИЯ   125</t>
  </si>
  <si>
    <t>Морозов Сергей</t>
  </si>
  <si>
    <t>Открытая (12.10.1987)/33</t>
  </si>
  <si>
    <t>114,40</t>
  </si>
  <si>
    <t xml:space="preserve">Веденеева А. </t>
  </si>
  <si>
    <t>Боровой Евгений</t>
  </si>
  <si>
    <t>116,30</t>
  </si>
  <si>
    <t>56</t>
  </si>
  <si>
    <t>44</t>
  </si>
  <si>
    <t>75</t>
  </si>
  <si>
    <t>90</t>
  </si>
  <si>
    <t>655,0</t>
  </si>
  <si>
    <t>420,3135</t>
  </si>
  <si>
    <t>652,5</t>
  </si>
  <si>
    <t>419,1660</t>
  </si>
  <si>
    <t>675,0</t>
  </si>
  <si>
    <t>413,5050</t>
  </si>
  <si>
    <t>125</t>
  </si>
  <si>
    <t>6</t>
  </si>
  <si>
    <t>Печерская Елена</t>
  </si>
  <si>
    <t>Открытая (08.02.1991)/29</t>
  </si>
  <si>
    <t>75,00</t>
  </si>
  <si>
    <t>Климась Ольга</t>
  </si>
  <si>
    <t>Открытая (24.09.1975)/45</t>
  </si>
  <si>
    <t>78,30</t>
  </si>
  <si>
    <t>Лазарев Артём</t>
  </si>
  <si>
    <t>82,50</t>
  </si>
  <si>
    <t>172,5</t>
  </si>
  <si>
    <t>Открытая (09.12.1997)/22</t>
  </si>
  <si>
    <t>Бозов Тимур</t>
  </si>
  <si>
    <t>Открытая (13.11.1992)/28</t>
  </si>
  <si>
    <t>99,40</t>
  </si>
  <si>
    <t>315,0</t>
  </si>
  <si>
    <t xml:space="preserve">Андреев Т. </t>
  </si>
  <si>
    <t>Сидягин Александр</t>
  </si>
  <si>
    <t>Открытая (20.05.1988)/32</t>
  </si>
  <si>
    <t>96,50</t>
  </si>
  <si>
    <t>257,5</t>
  </si>
  <si>
    <t xml:space="preserve">Луговой А.с. </t>
  </si>
  <si>
    <t>Антипин Андрей</t>
  </si>
  <si>
    <t>Открытая (20.12.1990)/29</t>
  </si>
  <si>
    <t>99,00</t>
  </si>
  <si>
    <t>285,0</t>
  </si>
  <si>
    <t xml:space="preserve">Шарапов И. </t>
  </si>
  <si>
    <t>Каюмов Артем</t>
  </si>
  <si>
    <t>Открытая (23.11.1994)/25</t>
  </si>
  <si>
    <t>93,20</t>
  </si>
  <si>
    <t xml:space="preserve">Пезиков И. </t>
  </si>
  <si>
    <t>Петров Артем</t>
  </si>
  <si>
    <t>108,30</t>
  </si>
  <si>
    <t>Меров Залим</t>
  </si>
  <si>
    <t>Открытая (13.11.1995)/25</t>
  </si>
  <si>
    <t>106,50</t>
  </si>
  <si>
    <t xml:space="preserve">Шихгасанов Р. </t>
  </si>
  <si>
    <t>ВЕСОВАЯ КАТЕГОРИЯ   140+</t>
  </si>
  <si>
    <t>Петрушкин Руслан</t>
  </si>
  <si>
    <t>Открытая (24.08.1984)/36</t>
  </si>
  <si>
    <t>150,10</t>
  </si>
  <si>
    <t xml:space="preserve">Соловьев В. </t>
  </si>
  <si>
    <t>82.5</t>
  </si>
  <si>
    <t>ВЕСОВАЯ КАТЕГОРИЯ   60</t>
  </si>
  <si>
    <t>Кручинина Светлана</t>
  </si>
  <si>
    <t>Открытая (06.12.1984)/35</t>
  </si>
  <si>
    <t>59,10</t>
  </si>
  <si>
    <t>47,5</t>
  </si>
  <si>
    <t>Яновская Ольга</t>
  </si>
  <si>
    <t>Открытая (21.12.1988)/31</t>
  </si>
  <si>
    <t>63,00</t>
  </si>
  <si>
    <t>35,0</t>
  </si>
  <si>
    <t xml:space="preserve">Прохоров Д. </t>
  </si>
  <si>
    <t>Тлигуров Мурат</t>
  </si>
  <si>
    <t>Открытая (25.08.1993)/27</t>
  </si>
  <si>
    <t>81,60</t>
  </si>
  <si>
    <t>Проскурин Дмитрий</t>
  </si>
  <si>
    <t>86,50</t>
  </si>
  <si>
    <t xml:space="preserve">Белянин Э. </t>
  </si>
  <si>
    <t>Григорьев Иван</t>
  </si>
  <si>
    <t>Открытая (22.04.1993)/27</t>
  </si>
  <si>
    <t>104,30</t>
  </si>
  <si>
    <t>242,5</t>
  </si>
  <si>
    <t xml:space="preserve">Куликов Н. </t>
  </si>
  <si>
    <t>ВЕСОВАЯ КАТЕГОРИЯ   140</t>
  </si>
  <si>
    <t>Синяков Даниил</t>
  </si>
  <si>
    <t>Открытая (06.09.1994)/26</t>
  </si>
  <si>
    <t>126,60</t>
  </si>
  <si>
    <t>Самарина Ульяна</t>
  </si>
  <si>
    <t>Девушки 15-19 (08.10.2007)/13</t>
  </si>
  <si>
    <t>55,20</t>
  </si>
  <si>
    <t xml:space="preserve">Самарина Н. </t>
  </si>
  <si>
    <t>Самарина Наталья</t>
  </si>
  <si>
    <t>Открытая (27.06.1984)/36</t>
  </si>
  <si>
    <t>67,50</t>
  </si>
  <si>
    <t>Белоусов Роман</t>
  </si>
  <si>
    <t>Открытая (19.10.1991)/29</t>
  </si>
  <si>
    <t xml:space="preserve">Лукьянов А. </t>
  </si>
  <si>
    <t>Платонов Алексей</t>
  </si>
  <si>
    <t>Открытая (11.11.1983)/37</t>
  </si>
  <si>
    <t>66,50</t>
  </si>
  <si>
    <t>Тихойс Дмитрийс</t>
  </si>
  <si>
    <t>Открытая (11.05.1981)/39</t>
  </si>
  <si>
    <t>72,50</t>
  </si>
  <si>
    <t>Бахтеев Дмитрий</t>
  </si>
  <si>
    <t xml:space="preserve">Иванюков О. </t>
  </si>
  <si>
    <t>Федотов Никита</t>
  </si>
  <si>
    <t>Рязанцев Денис</t>
  </si>
  <si>
    <t>89,50</t>
  </si>
  <si>
    <t>Волчанов Владислав</t>
  </si>
  <si>
    <t>Открытая (31.10.1975)/45</t>
  </si>
  <si>
    <t>84,50</t>
  </si>
  <si>
    <t>182,5</t>
  </si>
  <si>
    <t>Борзин Роман</t>
  </si>
  <si>
    <t>Костев Николай</t>
  </si>
  <si>
    <t>85,00</t>
  </si>
  <si>
    <t>Филимонов Олег</t>
  </si>
  <si>
    <t>Открытая (12.03.1987)/33</t>
  </si>
  <si>
    <t>96,30</t>
  </si>
  <si>
    <t xml:space="preserve">Козырев О. </t>
  </si>
  <si>
    <t>Кандауров Станислав</t>
  </si>
  <si>
    <t>Открытая (26.05.1990)/30</t>
  </si>
  <si>
    <t>97,10</t>
  </si>
  <si>
    <t>Матросов Александр</t>
  </si>
  <si>
    <t>96,10</t>
  </si>
  <si>
    <t>Макаров Владимир</t>
  </si>
  <si>
    <t>Мурашов Максим</t>
  </si>
  <si>
    <t>Открытая (19.09.1979)/41</t>
  </si>
  <si>
    <t>107,60</t>
  </si>
  <si>
    <t>Солохин Денис</t>
  </si>
  <si>
    <t>Открытая (25.02.1981)/39</t>
  </si>
  <si>
    <t>103,30</t>
  </si>
  <si>
    <t>Тарасов Игорь</t>
  </si>
  <si>
    <t>Открытая (30.09.1992)/28</t>
  </si>
  <si>
    <t>104,80</t>
  </si>
  <si>
    <t xml:space="preserve">Хомутов М. </t>
  </si>
  <si>
    <t>Моисеев Александр</t>
  </si>
  <si>
    <t>Открытая (11.11.1972)/48</t>
  </si>
  <si>
    <t>115,00</t>
  </si>
  <si>
    <t>Сидорук Алексей</t>
  </si>
  <si>
    <t>Открытая (24.11.1977)/42</t>
  </si>
  <si>
    <t>113,90</t>
  </si>
  <si>
    <t>Усков Николай</t>
  </si>
  <si>
    <t>Открытая (20.12.1979)/40</t>
  </si>
  <si>
    <t>115,10</t>
  </si>
  <si>
    <t>Махмудов Ариф</t>
  </si>
  <si>
    <t>139,00</t>
  </si>
  <si>
    <t xml:space="preserve">Результат </t>
  </si>
  <si>
    <t>163,8495</t>
  </si>
  <si>
    <t>162,7500</t>
  </si>
  <si>
    <t>127,8408</t>
  </si>
  <si>
    <t>140</t>
  </si>
  <si>
    <t>155,3006</t>
  </si>
  <si>
    <t>145,3526</t>
  </si>
  <si>
    <t>132,7058</t>
  </si>
  <si>
    <t>Результат</t>
  </si>
  <si>
    <t>ВЕСОВАЯ КАТЕГОРИЯ   48</t>
  </si>
  <si>
    <t>Такмакова Ксения</t>
  </si>
  <si>
    <t>47,90</t>
  </si>
  <si>
    <t xml:space="preserve">KAZ/Алматы </t>
  </si>
  <si>
    <t xml:space="preserve">Исанбаев В. </t>
  </si>
  <si>
    <t>Балясина Евгения</t>
  </si>
  <si>
    <t>Открытая (21.05.1989)/31</t>
  </si>
  <si>
    <t>46,90</t>
  </si>
  <si>
    <t xml:space="preserve">Беляев Р. </t>
  </si>
  <si>
    <t>Новлянская Ольга</t>
  </si>
  <si>
    <t>Открытая (01.02.1981)/39</t>
  </si>
  <si>
    <t>51,70</t>
  </si>
  <si>
    <t xml:space="preserve">Скорятин Андрей </t>
  </si>
  <si>
    <t>Тарасова Елена</t>
  </si>
  <si>
    <t>Открытая (11.02.1982)/38</t>
  </si>
  <si>
    <t>54,90</t>
  </si>
  <si>
    <t xml:space="preserve">Соломкин А. </t>
  </si>
  <si>
    <t>Баранова Наталья</t>
  </si>
  <si>
    <t>Открытая (04.09.1985)/35</t>
  </si>
  <si>
    <t>53,10</t>
  </si>
  <si>
    <t>Телегина Любовь</t>
  </si>
  <si>
    <t>Открытая (05.08.1985)/35</t>
  </si>
  <si>
    <t>56,00</t>
  </si>
  <si>
    <t xml:space="preserve">Телегин А. </t>
  </si>
  <si>
    <t>Гадецкая Мария</t>
  </si>
  <si>
    <t>Открытая (19.04.1987)/33</t>
  </si>
  <si>
    <t>64,00</t>
  </si>
  <si>
    <t xml:space="preserve">Козлов И. </t>
  </si>
  <si>
    <t>Морозова Евгения</t>
  </si>
  <si>
    <t>Открытая (13.09.1986)/34</t>
  </si>
  <si>
    <t>71,20</t>
  </si>
  <si>
    <t>Прокофьева Кристина</t>
  </si>
  <si>
    <t>Открытая (28.11.1988)/31</t>
  </si>
  <si>
    <t>87,00</t>
  </si>
  <si>
    <t>Kalcim Osman</t>
  </si>
  <si>
    <t>53,60</t>
  </si>
  <si>
    <t xml:space="preserve">TUR/Antalia </t>
  </si>
  <si>
    <t>Безручко Тимофей</t>
  </si>
  <si>
    <t>Юноши 15-19 (12.10.2006)/14</t>
  </si>
  <si>
    <t xml:space="preserve">Танаев М. </t>
  </si>
  <si>
    <t>Бузин Александр</t>
  </si>
  <si>
    <t>70,00</t>
  </si>
  <si>
    <t>117,5</t>
  </si>
  <si>
    <t>Губенко Игорь</t>
  </si>
  <si>
    <t>Открытая (16.07.1971)/49</t>
  </si>
  <si>
    <t>73,60</t>
  </si>
  <si>
    <t>Маколдин Александр</t>
  </si>
  <si>
    <t>Открытая (28.05.1990)/30</t>
  </si>
  <si>
    <t>74,30</t>
  </si>
  <si>
    <t>Чаптыков Андрей</t>
  </si>
  <si>
    <t>Открытая (29.11.1995)/24</t>
  </si>
  <si>
    <t>72,60</t>
  </si>
  <si>
    <t>Сокольников Николай</t>
  </si>
  <si>
    <t>Медведев Константин</t>
  </si>
  <si>
    <t>80,30</t>
  </si>
  <si>
    <t xml:space="preserve">Медведева Е. </t>
  </si>
  <si>
    <t>Мазур Евгений</t>
  </si>
  <si>
    <t>Открытая (30.11.1990)/29</t>
  </si>
  <si>
    <t>76,50</t>
  </si>
  <si>
    <t>192,5</t>
  </si>
  <si>
    <t>197,5</t>
  </si>
  <si>
    <t>Киржанов Дмитрий</t>
  </si>
  <si>
    <t>Открытая (28.06.1994)/26</t>
  </si>
  <si>
    <t>80,20</t>
  </si>
  <si>
    <t>Сидельников Егор</t>
  </si>
  <si>
    <t>Открытая (15.11.1993)/27</t>
  </si>
  <si>
    <t>81,80</t>
  </si>
  <si>
    <t>Евсеев Игорь</t>
  </si>
  <si>
    <t>Открытая (30.07.1988)/32</t>
  </si>
  <si>
    <t>Бацуев Сергей</t>
  </si>
  <si>
    <t>Открытая (20.01.1987)/33</t>
  </si>
  <si>
    <t>81,20</t>
  </si>
  <si>
    <t>Росляков Сергей</t>
  </si>
  <si>
    <t>Открытая (08.12.1986)/33</t>
  </si>
  <si>
    <t>89,60</t>
  </si>
  <si>
    <t xml:space="preserve">Гришечко Р. </t>
  </si>
  <si>
    <t>Мищенко Артем</t>
  </si>
  <si>
    <t>Открытая (26.06.1984)/36</t>
  </si>
  <si>
    <t xml:space="preserve">Чокаев У. </t>
  </si>
  <si>
    <t>Смекалов Валерий</t>
  </si>
  <si>
    <t>Открытая (15.04.1984)/36</t>
  </si>
  <si>
    <t>88,30</t>
  </si>
  <si>
    <t xml:space="preserve">Соловьев </t>
  </si>
  <si>
    <t>Зык Виталий</t>
  </si>
  <si>
    <t>Открытая (17.04.1986)/34</t>
  </si>
  <si>
    <t xml:space="preserve">Сакович О. </t>
  </si>
  <si>
    <t>Андреев Михаил</t>
  </si>
  <si>
    <t>Кривенко Дмитрий</t>
  </si>
  <si>
    <t>Открытая (24.01.1990)/30</t>
  </si>
  <si>
    <t>98,10</t>
  </si>
  <si>
    <t xml:space="preserve">Владимиров Е. </t>
  </si>
  <si>
    <t>Гетманчук Антон</t>
  </si>
  <si>
    <t>Открытая (07.07.1981)/39</t>
  </si>
  <si>
    <t>98,50</t>
  </si>
  <si>
    <t>Колобанов Дмитрий</t>
  </si>
  <si>
    <t>Открытая (03.01.1981)/39</t>
  </si>
  <si>
    <t>97,70</t>
  </si>
  <si>
    <t xml:space="preserve">Постика В. </t>
  </si>
  <si>
    <t>Чижов Сергей</t>
  </si>
  <si>
    <t>93,90</t>
  </si>
  <si>
    <t>Сыромясов Владимир</t>
  </si>
  <si>
    <t>97,40</t>
  </si>
  <si>
    <t xml:space="preserve">Павлов А. </t>
  </si>
  <si>
    <t>Стасюк Игорь</t>
  </si>
  <si>
    <t>Открытая (09.01.1983)/37</t>
  </si>
  <si>
    <t>109,80</t>
  </si>
  <si>
    <t>212,5</t>
  </si>
  <si>
    <t>Яковенко Владимир</t>
  </si>
  <si>
    <t>Карпов Илья</t>
  </si>
  <si>
    <t>Открытая (29.06.1993)/27</t>
  </si>
  <si>
    <t>116,70</t>
  </si>
  <si>
    <t>Sirmen Murat</t>
  </si>
  <si>
    <t>125,00</t>
  </si>
  <si>
    <t>Tugral Murat</t>
  </si>
  <si>
    <t>138,60</t>
  </si>
  <si>
    <t>Чубаров Владимир</t>
  </si>
  <si>
    <t>132,60</t>
  </si>
  <si>
    <t>177,5</t>
  </si>
  <si>
    <t>183,0</t>
  </si>
  <si>
    <t>48</t>
  </si>
  <si>
    <t>101,0250</t>
  </si>
  <si>
    <t>95,7360</t>
  </si>
  <si>
    <t>89,8812</t>
  </si>
  <si>
    <t>135,3082</t>
  </si>
  <si>
    <t>133,1240</t>
  </si>
  <si>
    <t>125,1200</t>
  </si>
  <si>
    <t>130,9370</t>
  </si>
  <si>
    <t>118,2845</t>
  </si>
  <si>
    <t>110,3513</t>
  </si>
  <si>
    <t>Некрасов Марат</t>
  </si>
  <si>
    <t>Открытая (14.08.1990)/30</t>
  </si>
  <si>
    <t xml:space="preserve">Абдуллин М. </t>
  </si>
  <si>
    <t>Башков Андрей</t>
  </si>
  <si>
    <t>Открытая (23.09.1981)/39</t>
  </si>
  <si>
    <t>120,00</t>
  </si>
  <si>
    <t xml:space="preserve">Бубнов Д. </t>
  </si>
  <si>
    <t>Краснобаев Даниил</t>
  </si>
  <si>
    <t>Открытая (18.05.1981)/39</t>
  </si>
  <si>
    <t xml:space="preserve">Кровиков А. </t>
  </si>
  <si>
    <t>Продан Анатолий</t>
  </si>
  <si>
    <t>Открытая (02.06.1961)/59</t>
  </si>
  <si>
    <t>119,40</t>
  </si>
  <si>
    <t>Кириллов Анатолий</t>
  </si>
  <si>
    <t>Открытая (08.09.1981)/39</t>
  </si>
  <si>
    <t>86,30</t>
  </si>
  <si>
    <t>Денисова Ульяна</t>
  </si>
  <si>
    <t>Девушки 15-19 (20.12.2009)/10</t>
  </si>
  <si>
    <t>92,5</t>
  </si>
  <si>
    <t>Минаев Александр</t>
  </si>
  <si>
    <t>Открытая (01.08.1993)/27</t>
  </si>
  <si>
    <t>73,50</t>
  </si>
  <si>
    <t>237,5</t>
  </si>
  <si>
    <t>Ступин Максим</t>
  </si>
  <si>
    <t>Открытая (22.03.1988)/32</t>
  </si>
  <si>
    <t>Сафонов Сергей</t>
  </si>
  <si>
    <t>76,00</t>
  </si>
  <si>
    <t>Кобелев Павел</t>
  </si>
  <si>
    <t>Открытая (04.08.1989)/31</t>
  </si>
  <si>
    <t>89,20</t>
  </si>
  <si>
    <t>340,0</t>
  </si>
  <si>
    <t>Дмитриев Иван</t>
  </si>
  <si>
    <t>Открытая (11.06.1970)/50</t>
  </si>
  <si>
    <t>Шейкин Алексей</t>
  </si>
  <si>
    <t>Открытая (24.03.1988)/32</t>
  </si>
  <si>
    <t xml:space="preserve">BLR/Бобруйск </t>
  </si>
  <si>
    <t>Кравченко Евгений</t>
  </si>
  <si>
    <t>Открытая (03.11.1986)/34</t>
  </si>
  <si>
    <t>350,0</t>
  </si>
  <si>
    <t>380,0</t>
  </si>
  <si>
    <t>400,0</t>
  </si>
  <si>
    <t>Гнатко Виталий</t>
  </si>
  <si>
    <t>95,20</t>
  </si>
  <si>
    <t xml:space="preserve">Горохов Е. </t>
  </si>
  <si>
    <t>Ризник Артем</t>
  </si>
  <si>
    <t>Открытая (04.05.1994)/26</t>
  </si>
  <si>
    <t>108,70</t>
  </si>
  <si>
    <t>295,0</t>
  </si>
  <si>
    <t>Брусов Владимир</t>
  </si>
  <si>
    <t>Открытая (17.12.1983)/36</t>
  </si>
  <si>
    <t>101,10</t>
  </si>
  <si>
    <t>Ozbahcec Sedrettin</t>
  </si>
  <si>
    <t>102,00</t>
  </si>
  <si>
    <t>Сытников Валерий</t>
  </si>
  <si>
    <t>108,00</t>
  </si>
  <si>
    <t>276,0</t>
  </si>
  <si>
    <t>Капралов Виктор</t>
  </si>
  <si>
    <t>Открытая (30.09.1981)/39</t>
  </si>
  <si>
    <t>113,30</t>
  </si>
  <si>
    <t xml:space="preserve">Фотин А. </t>
  </si>
  <si>
    <t>Лещенко Александр</t>
  </si>
  <si>
    <t>121,70</t>
  </si>
  <si>
    <t xml:space="preserve">Постнов Д. </t>
  </si>
  <si>
    <t>234,9540</t>
  </si>
  <si>
    <t>198,8030</t>
  </si>
  <si>
    <t>191,9400</t>
  </si>
  <si>
    <t>Голикова Ольга</t>
  </si>
  <si>
    <t>Открытая (06.12.1985)/34</t>
  </si>
  <si>
    <t>46,30</t>
  </si>
  <si>
    <t>Фильчагина Ольга</t>
  </si>
  <si>
    <t>Открытая (24.05.1993)/27</t>
  </si>
  <si>
    <t>59,70</t>
  </si>
  <si>
    <t>Открытая (02.05.1992)/28</t>
  </si>
  <si>
    <t>71,40</t>
  </si>
  <si>
    <t>Шемякин Виталий</t>
  </si>
  <si>
    <t>Юноши 15-19 (24.07.2005)/15</t>
  </si>
  <si>
    <t>66,80</t>
  </si>
  <si>
    <t xml:space="preserve">Карпов И. </t>
  </si>
  <si>
    <t>Кузнецов Егор</t>
  </si>
  <si>
    <t>Юноши 15-19 (17.11.2003)/17</t>
  </si>
  <si>
    <t>Романов Антон</t>
  </si>
  <si>
    <t>Открытая (20.05.1986)/34</t>
  </si>
  <si>
    <t>73,00</t>
  </si>
  <si>
    <t>Открытая (17.11.2003)/17</t>
  </si>
  <si>
    <t>Исанбаев Вадим</t>
  </si>
  <si>
    <t>Открытая (26.05.1993)/27</t>
  </si>
  <si>
    <t>82,40</t>
  </si>
  <si>
    <t xml:space="preserve">Насонов Д. </t>
  </si>
  <si>
    <t xml:space="preserve">Губжев Б. </t>
  </si>
  <si>
    <t>Румасов Андрей</t>
  </si>
  <si>
    <t>Открытая (10.03.1991)/29</t>
  </si>
  <si>
    <t xml:space="preserve">Кузнецов А. </t>
  </si>
  <si>
    <t>Хватов Ярослав</t>
  </si>
  <si>
    <t>Открытая (09.03.1994)/26</t>
  </si>
  <si>
    <t>Сиротин Дмитрий</t>
  </si>
  <si>
    <t>Открытая (02.09.1986)/34</t>
  </si>
  <si>
    <t>87,80</t>
  </si>
  <si>
    <t xml:space="preserve">Румасов А. </t>
  </si>
  <si>
    <t>Юферов Павел</t>
  </si>
  <si>
    <t>Открытая (24.11.1984)/35</t>
  </si>
  <si>
    <t>89,90</t>
  </si>
  <si>
    <t>Марченко Эдуард</t>
  </si>
  <si>
    <t>Открытая (17.03.1992)/28</t>
  </si>
  <si>
    <t>97,20</t>
  </si>
  <si>
    <t xml:space="preserve">UKR/Кривой Рог </t>
  </si>
  <si>
    <t xml:space="preserve">Смирнов Д. </t>
  </si>
  <si>
    <t>Костин Виталий</t>
  </si>
  <si>
    <t>Открытая (11.08.1989)/31</t>
  </si>
  <si>
    <t>94,10</t>
  </si>
  <si>
    <t xml:space="preserve">Сайфутдинова М. </t>
  </si>
  <si>
    <t>Ефимов Александр</t>
  </si>
  <si>
    <t>Открытая (18.03.1979)/41</t>
  </si>
  <si>
    <t>107,40</t>
  </si>
  <si>
    <t>282,5</t>
  </si>
  <si>
    <t>287,5</t>
  </si>
  <si>
    <t>Кулебякин Руслан</t>
  </si>
  <si>
    <t>Открытая (26.02.1991)/29</t>
  </si>
  <si>
    <t>108,20</t>
  </si>
  <si>
    <t>261,0</t>
  </si>
  <si>
    <t>184,7400</t>
  </si>
  <si>
    <t>181,6000</t>
  </si>
  <si>
    <t>181,0080</t>
  </si>
  <si>
    <t>Казарина Елена</t>
  </si>
  <si>
    <t>60,70</t>
  </si>
  <si>
    <t>Боровков Владимир</t>
  </si>
  <si>
    <t>71,80</t>
  </si>
  <si>
    <t>Серегин Дмитрий</t>
  </si>
  <si>
    <t>117,20</t>
  </si>
  <si>
    <t>Панфилов Роман</t>
  </si>
  <si>
    <t>Открытая (15.07.1976)/44</t>
  </si>
  <si>
    <t>87,60</t>
  </si>
  <si>
    <t>Маренков Юрий</t>
  </si>
  <si>
    <t>Открытая (18.12.1976)/43</t>
  </si>
  <si>
    <t>267,5</t>
  </si>
  <si>
    <t>Кочетов Андрей</t>
  </si>
  <si>
    <t>Открытая (21.05.1990)/30</t>
  </si>
  <si>
    <t>134,10</t>
  </si>
  <si>
    <t>Большакова Александра</t>
  </si>
  <si>
    <t>66,40</t>
  </si>
  <si>
    <t>Новиков Алексей</t>
  </si>
  <si>
    <t>Открытая (25.02.1984)/36</t>
  </si>
  <si>
    <t>70,90</t>
  </si>
  <si>
    <t>74,40</t>
  </si>
  <si>
    <t>106,10</t>
  </si>
  <si>
    <t>Открытая (06.02.1983)/37</t>
  </si>
  <si>
    <t>Гамаев Александр</t>
  </si>
  <si>
    <t>365,0</t>
  </si>
  <si>
    <t>355,0</t>
  </si>
  <si>
    <t>106,90</t>
  </si>
  <si>
    <t>Открытая (22.07.1974)/46</t>
  </si>
  <si>
    <t>Сухарев Андрей</t>
  </si>
  <si>
    <t>357,5</t>
  </si>
  <si>
    <t>352,5</t>
  </si>
  <si>
    <t>97,90</t>
  </si>
  <si>
    <t>Семенов Роман</t>
  </si>
  <si>
    <t xml:space="preserve">Емельянов Н. </t>
  </si>
  <si>
    <t>99,50</t>
  </si>
  <si>
    <t>Открытая (07.04.1981)/39</t>
  </si>
  <si>
    <t>Беспаликов Валерий</t>
  </si>
  <si>
    <t>Открытая (17.11.1981)/39</t>
  </si>
  <si>
    <t>Акулич Александр</t>
  </si>
  <si>
    <t>Открытая (12.11.1979)/41</t>
  </si>
  <si>
    <t>Куротченко Игорь</t>
  </si>
  <si>
    <t xml:space="preserve">Сухарев А. </t>
  </si>
  <si>
    <t>247,5</t>
  </si>
  <si>
    <t>Открытая (21.12.1993)/26</t>
  </si>
  <si>
    <t>Сухарев Кирилл</t>
  </si>
  <si>
    <t>109,60</t>
  </si>
  <si>
    <t>Открытая (24.06.1983)/37</t>
  </si>
  <si>
    <t>Сафин Максим</t>
  </si>
  <si>
    <t>110,00</t>
  </si>
  <si>
    <t>Открытая (03.06.1975)/45</t>
  </si>
  <si>
    <t>Василенко Дмитрий</t>
  </si>
  <si>
    <t>Открытая (31.07.1962)/58</t>
  </si>
  <si>
    <t xml:space="preserve">Кургов В. </t>
  </si>
  <si>
    <t>111,30</t>
  </si>
  <si>
    <t>Аверкин Сергей</t>
  </si>
  <si>
    <t>118,30</t>
  </si>
  <si>
    <t>Воробьёв Александр</t>
  </si>
  <si>
    <t>121,20</t>
  </si>
  <si>
    <t>Открытая (16.04.1981)/39</t>
  </si>
  <si>
    <t>Черствов Алексей</t>
  </si>
  <si>
    <t xml:space="preserve">Каштанов С. </t>
  </si>
  <si>
    <t>117,90</t>
  </si>
  <si>
    <t>Открытая (30.08.1979)/41</t>
  </si>
  <si>
    <t>Емельянов Николай</t>
  </si>
  <si>
    <t>Самитов Александр</t>
  </si>
  <si>
    <t>Открытая (02.04.1990)/30</t>
  </si>
  <si>
    <t>Корольков Алексей</t>
  </si>
  <si>
    <t xml:space="preserve">Алышев Н. </t>
  </si>
  <si>
    <t>Открытая (10.03.1987)/33</t>
  </si>
  <si>
    <t>Решетник Константин</t>
  </si>
  <si>
    <t xml:space="preserve">Ушков И. </t>
  </si>
  <si>
    <t>89,30</t>
  </si>
  <si>
    <t>Открытая (25.02.1991)/29</t>
  </si>
  <si>
    <t>Илюшин Руслан</t>
  </si>
  <si>
    <t xml:space="preserve">Стасюк И. </t>
  </si>
  <si>
    <t>105,40</t>
  </si>
  <si>
    <t>Открытая (18.09.1981)/39</t>
  </si>
  <si>
    <t>Кублицкий Александр</t>
  </si>
  <si>
    <t>99,2014</t>
  </si>
  <si>
    <t>Гирейко Юрий</t>
  </si>
  <si>
    <t>103,5518</t>
  </si>
  <si>
    <t>67.5</t>
  </si>
  <si>
    <t>Кобзев Антон</t>
  </si>
  <si>
    <t>112,4240</t>
  </si>
  <si>
    <t xml:space="preserve">Gloss </t>
  </si>
  <si>
    <t>Открытая (25.08.1976)/44</t>
  </si>
  <si>
    <t>77,90</t>
  </si>
  <si>
    <t>Открытая (16.07.1995)/25</t>
  </si>
  <si>
    <t>Бороденко Виталий</t>
  </si>
  <si>
    <t>Открытая (26.04.1995)/25</t>
  </si>
  <si>
    <t>Рустамли Яшар</t>
  </si>
  <si>
    <t>73,90</t>
  </si>
  <si>
    <t>Открытая (27.01.1987)/33</t>
  </si>
  <si>
    <t>65,30</t>
  </si>
  <si>
    <t>Открытая (12.01.1996)/24</t>
  </si>
  <si>
    <t>Абрамов Дмитрий</t>
  </si>
  <si>
    <t>65,60</t>
  </si>
  <si>
    <t>Открытая (18.11.1989)/31</t>
  </si>
  <si>
    <t>59,40</t>
  </si>
  <si>
    <t>Открытая (09.06.1987)/33</t>
  </si>
  <si>
    <t>Бескадаров Игорь</t>
  </si>
  <si>
    <t>58,20</t>
  </si>
  <si>
    <t>Журавлев Александр</t>
  </si>
  <si>
    <t>123,20</t>
  </si>
  <si>
    <t>Открытая (29.01.1997)/23</t>
  </si>
  <si>
    <t>Жемаркин Дмитрий</t>
  </si>
  <si>
    <t>107,10</t>
  </si>
  <si>
    <t>Открытая (05.02.1989)/31</t>
  </si>
  <si>
    <t>Рыков Владимир</t>
  </si>
  <si>
    <t>Шишко Михаил</t>
  </si>
  <si>
    <t xml:space="preserve">Крылов В. </t>
  </si>
  <si>
    <t>112,20</t>
  </si>
  <si>
    <t>Открытая (22.02.1981)/39</t>
  </si>
  <si>
    <t>Макаренко Алексей</t>
  </si>
  <si>
    <t>47,1825</t>
  </si>
  <si>
    <t>Пономаренко Алексей</t>
  </si>
  <si>
    <t>47,9406</t>
  </si>
  <si>
    <t>49,2240</t>
  </si>
  <si>
    <t>103,00</t>
  </si>
  <si>
    <t>Открытая (06.07.1981)/39</t>
  </si>
  <si>
    <t>Тихов Сергей</t>
  </si>
  <si>
    <t xml:space="preserve">Никифоров Д. </t>
  </si>
  <si>
    <t>103,40</t>
  </si>
  <si>
    <t>Спиридонов Павел</t>
  </si>
  <si>
    <t xml:space="preserve">Трухтанов П. </t>
  </si>
  <si>
    <t>Открытая (27.09.1982)/38</t>
  </si>
  <si>
    <t>Солдатов Максим</t>
  </si>
  <si>
    <t>86,00</t>
  </si>
  <si>
    <t>Открытая (31.05.1987)/33</t>
  </si>
  <si>
    <t>Петриченко Максим</t>
  </si>
  <si>
    <t>90,00</t>
  </si>
  <si>
    <t>Задикян Сергей</t>
  </si>
  <si>
    <t>80,70</t>
  </si>
  <si>
    <t>Открытая (04.09.1988)/32</t>
  </si>
  <si>
    <t>Александров Максим</t>
  </si>
  <si>
    <t>79,40</t>
  </si>
  <si>
    <t>Открытая (14.10.1986)/34</t>
  </si>
  <si>
    <t>Хорев Артур</t>
  </si>
  <si>
    <t>70,30</t>
  </si>
  <si>
    <t>Никитченко Сергей</t>
  </si>
  <si>
    <t>Открытая (15.12.1991)/28</t>
  </si>
  <si>
    <t>121,80</t>
  </si>
  <si>
    <t>Открытая (26.07.1990)/30</t>
  </si>
  <si>
    <t>Сербин Анатолий</t>
  </si>
  <si>
    <t>Мартынов Михаил</t>
  </si>
  <si>
    <t>98,80</t>
  </si>
  <si>
    <t>Открытая (13.08.1989)/31</t>
  </si>
  <si>
    <t>Лазарев Алексей</t>
  </si>
  <si>
    <t>89,00</t>
  </si>
  <si>
    <t>Открытая (10.05.1985)/35</t>
  </si>
  <si>
    <t>Лалас Сергей</t>
  </si>
  <si>
    <t>81,00</t>
  </si>
  <si>
    <t>Пенько Константин</t>
  </si>
  <si>
    <t>Юниорки 20-23 (14.05.1997)/23</t>
  </si>
  <si>
    <t>Мастера 40-44 (30.05.1976)/44</t>
  </si>
  <si>
    <t>Мастера 40-44 (25.08.1976)/44</t>
  </si>
  <si>
    <t>Мастера 55-59 (22.08.1964)/56</t>
  </si>
  <si>
    <t>Мастера 40-44 (07.05.1980)/40</t>
  </si>
  <si>
    <t>Мастера 40-44 (25.03.1978)/42</t>
  </si>
  <si>
    <t>Мастера 40-44 (23.05.1977)/43</t>
  </si>
  <si>
    <t>Юниоры 20-23 (09.12.1997)/22</t>
  </si>
  <si>
    <t>Юниоры 20-23 (05.03.1997)/23</t>
  </si>
  <si>
    <t>Мастера 50-54 (23.05.1967)/53</t>
  </si>
  <si>
    <t>Юниорки 20-23 (10.05.2000)/20</t>
  </si>
  <si>
    <t>Мастера 40-44 (18.12.1976)/43</t>
  </si>
  <si>
    <t>Мастера 55-59 (30.07.1961)/59</t>
  </si>
  <si>
    <t>Мастера 40-44 (23.09.1979)/41</t>
  </si>
  <si>
    <t>Мастера 55-59 (02.06.1961)/59</t>
  </si>
  <si>
    <t>Юниорки 20-23 (09.03.1997)/23</t>
  </si>
  <si>
    <t>Юниоры 20-23 (06.02.1999)/21</t>
  </si>
  <si>
    <t>Юниоры 20-23 (21.10.2000)/20</t>
  </si>
  <si>
    <t>Мастера 45-49 (16.07.1971)/49</t>
  </si>
  <si>
    <t>Мастера 50-54 (24.10.1970)/50</t>
  </si>
  <si>
    <t>Юниоры 20-23 (03.06.1997)/23</t>
  </si>
  <si>
    <t>Мастера 45-49 (10.07.1971)/49</t>
  </si>
  <si>
    <t>Мастера 40-44 (12.09.1980)/40</t>
  </si>
  <si>
    <t>Мастера 45-49 (23.04.1972)/48</t>
  </si>
  <si>
    <t>Мастера 60-64 (27.03.1959)/61</t>
  </si>
  <si>
    <t>Мастера 50-54 (23.09.1969)/51</t>
  </si>
  <si>
    <t>Мастера 50-54 (16.01.1970)/50</t>
  </si>
  <si>
    <t>Мастера 55-59 (03.04.1964)/56</t>
  </si>
  <si>
    <t xml:space="preserve">Мастера 55-59 </t>
  </si>
  <si>
    <t xml:space="preserve">Мастера 60-64 </t>
  </si>
  <si>
    <t xml:space="preserve">Мастера 45-49 </t>
  </si>
  <si>
    <t>Мастера 50-54 (25.08.1966)/54</t>
  </si>
  <si>
    <t>Юниоры 20-23 (27.12.1997)/22</t>
  </si>
  <si>
    <t>Юниоры 20-23 (08.03.1998)/22</t>
  </si>
  <si>
    <t>Мастера 40-44 (21.07.1976)/44</t>
  </si>
  <si>
    <t>Мастера 60-64 (17.12.1959)/60</t>
  </si>
  <si>
    <t>Мастера 45-49 (04.02.1972)/48</t>
  </si>
  <si>
    <t>Мастера 70-74 (25.07.1946)/74</t>
  </si>
  <si>
    <t>Мастера 40-44 (19.09.1979)/41</t>
  </si>
  <si>
    <t>Мастера 40-44 (24.11.1977)/42</t>
  </si>
  <si>
    <t>Мастера 40-44 (20.12.1979)/40</t>
  </si>
  <si>
    <t>Мастера 45-49 (11.11.1972)/48</t>
  </si>
  <si>
    <t>Мастера 55-59 (31.07.1962)/58</t>
  </si>
  <si>
    <t>Мастера 50-59 (20.03.1962)/58</t>
  </si>
  <si>
    <t>Мастера 40-49 (30.04.1975)/45</t>
  </si>
  <si>
    <t>Мастера 40-49 (11.02.1972)/48</t>
  </si>
  <si>
    <t>Мастера 40-49 (04.08.1976)/44</t>
  </si>
  <si>
    <t>Мастера 40-49 (12.11.1979)/41</t>
  </si>
  <si>
    <t>Мастера 40-44 (18.03.1979)/41</t>
  </si>
  <si>
    <t>Юниоры 20-23 (08.10.1997)/23</t>
  </si>
  <si>
    <t>Мастера 50-54 (11.06.1970)/50</t>
  </si>
  <si>
    <t>Мастера 40-44 (01.07.1976)/44</t>
  </si>
  <si>
    <t>Мастера 50-54 (28.02.1970)/50</t>
  </si>
  <si>
    <t>Мастера 45-49 (30.10.1975)/45</t>
  </si>
  <si>
    <t>Мастера 40-44 (14.10.1980)/40</t>
  </si>
  <si>
    <t>Юниоры 20-23 (10.09.1997)/23</t>
  </si>
  <si>
    <t>Мастера 40-49 (25.08.1976)/44</t>
  </si>
  <si>
    <t>Юниоры 20-23 (26.05.2000)/20</t>
  </si>
  <si>
    <t>Юниоры 20-23 (29.01.1997)/23</t>
  </si>
  <si>
    <t>Мастера 40-49 (10.09.1978)/42</t>
  </si>
  <si>
    <t>Юниоры 20-23 (14.07.1997)/23</t>
  </si>
  <si>
    <t>Юниоры 20-23 (17.03.1999)/21</t>
  </si>
  <si>
    <t>Мастера 50-59 (10.05.1962)/58</t>
  </si>
  <si>
    <t>Мастера 40-49 (25.12.1979)/40</t>
  </si>
  <si>
    <t>Чемпионат Европы
СПР Жим лежа в однопетельной софт экипировке ДК
Долгопрудный/Московская область, 21 ноября 2020 года</t>
  </si>
  <si>
    <t>Чемпионат Европы
СПР Жим лежа в однопетельной софт экипировке
Долгопрудный/Московская область, 21 ноября 2020 года</t>
  </si>
  <si>
    <t>Чемпионат Европы
СПР Жим лежа в многопетельной софт экипировке ДК
Долгопрудный/Московская область, 21 ноября 2020 года</t>
  </si>
  <si>
    <t>Чемпионат Европы
СПР Жим лежа в многопетельной софт экипировке
Долгопрудный/Московская область, 21 ноября 2020 года</t>
  </si>
  <si>
    <t>Павлов А.</t>
  </si>
  <si>
    <t>Гребнев Е.</t>
  </si>
  <si>
    <t xml:space="preserve">Гребнев Е. </t>
  </si>
  <si>
    <t>Весовая категория</t>
  </si>
  <si>
    <t xml:space="preserve">Багитов Р. </t>
  </si>
  <si>
    <t xml:space="preserve">Рощупкин И. </t>
  </si>
  <si>
    <t>Страна/Город</t>
  </si>
  <si>
    <t xml:space="preserve">Стародубский С. </t>
  </si>
  <si>
    <t>Tugral A.</t>
  </si>
  <si>
    <t xml:space="preserve">Скорятин А. </t>
  </si>
  <si>
    <t xml:space="preserve">Якименко В. </t>
  </si>
  <si>
    <t xml:space="preserve">Tugral М. </t>
  </si>
  <si>
    <t xml:space="preserve">Минаев А. </t>
  </si>
  <si>
    <t xml:space="preserve">Кульпин Н. </t>
  </si>
  <si>
    <t>Чемпионат Европы
IPL Пауэрлифтинг без экипировки ДК
Долгопрудный/Московская область, 21 ноября 2020 года</t>
  </si>
  <si>
    <t>Чемпионат Европы
IPL Пауэрлифтинг без экипировки
Долгопрудный/Московская область, 21 ноября 2020 года</t>
  </si>
  <si>
    <t>Чемпионат Европы
IPL Пауэрлифтинг в бинтах ДК
Долгопрудный/Московская область, 21 ноября 2020 года</t>
  </si>
  <si>
    <t>Чемпионат Европы
IPL Пауэрлифтинг в бинтах
Долгопрудный/Московская область, 21 ноября 2020 года</t>
  </si>
  <si>
    <t>Чемпионат Европы
IPL Пауэрлифтинг в однослойной экипировке
Долгопрудный/Московская область, 21 ноября 2020 года</t>
  </si>
  <si>
    <t>Чемпионат Европы
IPL Силовое двоеборье без экипировки ДК
Долгопрудный/Московская область, 21 ноября 2020 года</t>
  </si>
  <si>
    <t>Чемпионат Европы
IPL Силовое двоеборье без экипировки
Долгопрудный/Московская область, 21 ноября 2020 года</t>
  </si>
  <si>
    <t>Чемпионат Европы
IPL Силовое двоеборье в экипировке
Долгопрудный/Московская область, 21 ноября 2020 года</t>
  </si>
  <si>
    <t>Чемпионат Европы
IPL Присед без экипировки ДК
Долгопрудный/Московская область, 21 ноября 2020 года</t>
  </si>
  <si>
    <t>Чемпионат Европы
IPL Присед без экипировки
Долгопрудный/Московская область, 21 ноября 2020 года</t>
  </si>
  <si>
    <t>Чемпионат Европы
IPL Присед в бинтах ДК
Долгопрудный/Московская область, 21 ноября 2020 года</t>
  </si>
  <si>
    <t>Чемпионат Европы
IPL Присед в бинтах
Долгопрудный/Московская область, 21 ноября 2020 года</t>
  </si>
  <si>
    <t>Чемпионат Европы
IPL Жим лежа без экипировки ДК
Долгопрудный/Московская область, 21 ноября 2020 года</t>
  </si>
  <si>
    <t>Чемпионат Европы
IPL Жим лежа без экипировки
Долгопрудный/Московская область, 21 ноября 2020 года</t>
  </si>
  <si>
    <t>Чемпионат Европы
IPL Жим лежа в однослойной экипировке ДК
Долгопрудный/Московская область, 21 ноября 2020 года</t>
  </si>
  <si>
    <t>Чемпионат Европы
IPL Жим лежа в однослойной экипировке
Долгопрудный/Московская область, 21 ноября 2020 года</t>
  </si>
  <si>
    <t>Чемпионат Европы
IPL Жим лежа в многослойной экипировке ДК
Долгопрудный/Московская область, 21 ноября 2020 года</t>
  </si>
  <si>
    <t>Чемпионат Европы
IPL Жим лежа в многослойной экипировке
Долгопрудный/Московская область, 21 ноября 2020 года</t>
  </si>
  <si>
    <t>Чемпионат Европы
IPL Становая тяга без экипировки ДК
Долгопрудный/Московская область, 21 ноября 2020 года</t>
  </si>
  <si>
    <t>Чемпионат Европы
IPL Становая тяга без экипировки
Долгопрудный/Московская область, 21 ноября 2020 года</t>
  </si>
  <si>
    <t>Чемпионат Европы
IPL Становая тяга в однослойной экипировке
Долгопрудный/Московская область, 21 ноября 2020 года</t>
  </si>
  <si>
    <t>Чемпионат Европы
СПР Пауэрспорт ДК
Долгопрудный/Московская область, 21 ноября 2020 года</t>
  </si>
  <si>
    <t>Чемпионат Европы
СПР Пауэрспорт
Долгопрудный/Московская область, 21 ноября 2020 года</t>
  </si>
  <si>
    <t>Чемпионат Европы
СПР Жим штанги стоя
Долгопрудный/Московская область, 21 ноября 2020 года</t>
  </si>
  <si>
    <t>Чемпионат Европы
СПР Строгий подъем штанги на бицепс ДК
Долгопрудный/Московская область, 21 ноября 2020 года</t>
  </si>
  <si>
    <t>Чемпионат Европы
СПР Строгий подъем штанги на бицепс
Долгопрудный/Московская область, 21 ноября 2020 года</t>
  </si>
  <si>
    <t xml:space="preserve">Пасечник К. </t>
  </si>
  <si>
    <t xml:space="preserve">Авраменко И. </t>
  </si>
  <si>
    <t xml:space="preserve">Дмитриев И. </t>
  </si>
  <si>
    <t xml:space="preserve">Денисов С. </t>
  </si>
  <si>
    <t xml:space="preserve">Тарасов Э. </t>
  </si>
  <si>
    <t xml:space="preserve">Ежов А. </t>
  </si>
  <si>
    <t>№</t>
  </si>
  <si>
    <t xml:space="preserve">Фрязино </t>
  </si>
  <si>
    <t xml:space="preserve">Ковров </t>
  </si>
  <si>
    <t xml:space="preserve">Москва </t>
  </si>
  <si>
    <t xml:space="preserve">Серпухов </t>
  </si>
  <si>
    <t xml:space="preserve">Тверь </t>
  </si>
  <si>
    <t xml:space="preserve">Гусь-Хрустальный </t>
  </si>
  <si>
    <t xml:space="preserve">Пушкино </t>
  </si>
  <si>
    <t xml:space="preserve">Бор </t>
  </si>
  <si>
    <t xml:space="preserve">Унеча </t>
  </si>
  <si>
    <t xml:space="preserve">Долгопрудный </t>
  </si>
  <si>
    <t xml:space="preserve">Сыктывкар </t>
  </si>
  <si>
    <t xml:space="preserve">Ангарск </t>
  </si>
  <si>
    <t xml:space="preserve">Билибино </t>
  </si>
  <si>
    <t xml:space="preserve">Орёл </t>
  </si>
  <si>
    <t xml:space="preserve">Раменское </t>
  </si>
  <si>
    <t xml:space="preserve">Санкт-Петербург </t>
  </si>
  <si>
    <t xml:space="preserve">Химки </t>
  </si>
  <si>
    <t xml:space="preserve">Старая Купавна </t>
  </si>
  <si>
    <t xml:space="preserve">Реутов </t>
  </si>
  <si>
    <t xml:space="preserve">Белоозёрский </t>
  </si>
  <si>
    <t xml:space="preserve">Жуковский </t>
  </si>
  <si>
    <t xml:space="preserve">Родники </t>
  </si>
  <si>
    <t xml:space="preserve">Нижний Новгород </t>
  </si>
  <si>
    <t xml:space="preserve">Егорьевск </t>
  </si>
  <si>
    <t xml:space="preserve">Владимир </t>
  </si>
  <si>
    <t xml:space="preserve"> Огуднево  </t>
  </si>
  <si>
    <t xml:space="preserve">Электроугли </t>
  </si>
  <si>
    <t xml:space="preserve">Баксан </t>
  </si>
  <si>
    <t xml:space="preserve">Костерёво </t>
  </si>
  <si>
    <t xml:space="preserve">Симферополь </t>
  </si>
  <si>
    <t xml:space="preserve">Дзержинский </t>
  </si>
  <si>
    <t xml:space="preserve">Каменка </t>
  </si>
  <si>
    <t xml:space="preserve">Балахна </t>
  </si>
  <si>
    <t xml:space="preserve">Дубна </t>
  </si>
  <si>
    <t xml:space="preserve">Морзох </t>
  </si>
  <si>
    <t xml:space="preserve">Кувшиново </t>
  </si>
  <si>
    <t xml:space="preserve">Абакан </t>
  </si>
  <si>
    <t xml:space="preserve">Смоленск </t>
  </si>
  <si>
    <t xml:space="preserve">Таганрог </t>
  </si>
  <si>
    <t xml:space="preserve">Королёв </t>
  </si>
  <si>
    <t xml:space="preserve">Кстово </t>
  </si>
  <si>
    <t xml:space="preserve"> Сертолово </t>
  </si>
  <si>
    <t xml:space="preserve">Тула </t>
  </si>
  <si>
    <t xml:space="preserve">Кольчугино </t>
  </si>
  <si>
    <t xml:space="preserve">Торжок </t>
  </si>
  <si>
    <t xml:space="preserve">Клин </t>
  </si>
  <si>
    <t xml:space="preserve">Щёлково </t>
  </si>
  <si>
    <t xml:space="preserve">Омск </t>
  </si>
  <si>
    <t xml:space="preserve">Южа </t>
  </si>
  <si>
    <t xml:space="preserve">Сарапул </t>
  </si>
  <si>
    <t xml:space="preserve">Одинцово </t>
  </si>
  <si>
    <t xml:space="preserve">Малаховка </t>
  </si>
  <si>
    <t xml:space="preserve">Чехов </t>
  </si>
  <si>
    <t xml:space="preserve">Красноярск </t>
  </si>
  <si>
    <t xml:space="preserve">Рыбинск </t>
  </si>
  <si>
    <t xml:space="preserve">Черноголовка </t>
  </si>
  <si>
    <t xml:space="preserve">Дмитров </t>
  </si>
  <si>
    <t xml:space="preserve">Муром </t>
  </si>
  <si>
    <t xml:space="preserve">Иваново </t>
  </si>
  <si>
    <t xml:space="preserve">Можайск </t>
  </si>
  <si>
    <t xml:space="preserve">Ярославль </t>
  </si>
  <si>
    <t xml:space="preserve">Россошь </t>
  </si>
  <si>
    <t xml:space="preserve">Павлово </t>
  </si>
  <si>
    <t xml:space="preserve"> Москва </t>
  </si>
  <si>
    <t xml:space="preserve">Орехово-Зуево </t>
  </si>
  <si>
    <t xml:space="preserve">Сергиев Посад </t>
  </si>
  <si>
    <t xml:space="preserve">Керчь </t>
  </si>
  <si>
    <t xml:space="preserve">Собинка </t>
  </si>
  <si>
    <t xml:space="preserve">Сочи </t>
  </si>
  <si>
    <t xml:space="preserve">Люберцы </t>
  </si>
  <si>
    <t xml:space="preserve">Талдом </t>
  </si>
  <si>
    <t xml:space="preserve">Лосино-Петровский </t>
  </si>
  <si>
    <t xml:space="preserve">Тейково </t>
  </si>
  <si>
    <t xml:space="preserve">Мытищи </t>
  </si>
  <si>
    <t xml:space="preserve"> Крорлев  </t>
  </si>
  <si>
    <t xml:space="preserve">  Крорлев  </t>
  </si>
  <si>
    <t xml:space="preserve">Новомосковск </t>
  </si>
  <si>
    <t xml:space="preserve">Краснослободск </t>
  </si>
  <si>
    <t xml:space="preserve">Кинешма </t>
  </si>
  <si>
    <t xml:space="preserve">Кострома </t>
  </si>
  <si>
    <t xml:space="preserve">Рязань </t>
  </si>
  <si>
    <t xml:space="preserve">Аксай </t>
  </si>
  <si>
    <t xml:space="preserve">Почеп </t>
  </si>
  <si>
    <t xml:space="preserve">Новосибирск </t>
  </si>
  <si>
    <t xml:space="preserve">Кубинка </t>
  </si>
  <si>
    <t xml:space="preserve">Новокуйбышевск </t>
  </si>
  <si>
    <t xml:space="preserve">Зеленоград </t>
  </si>
  <si>
    <t xml:space="preserve">Подольск </t>
  </si>
  <si>
    <t xml:space="preserve">Энгельс </t>
  </si>
  <si>
    <t xml:space="preserve">Владикавказ </t>
  </si>
  <si>
    <t xml:space="preserve">Лыткарино </t>
  </si>
  <si>
    <t xml:space="preserve">Самара </t>
  </si>
  <si>
    <t xml:space="preserve">Солнечногорск </t>
  </si>
  <si>
    <t xml:space="preserve">Мурманск </t>
  </si>
  <si>
    <t>Жим</t>
  </si>
  <si>
    <t xml:space="preserve">
Дата рождения/Возраст</t>
  </si>
  <si>
    <t>Возрастная группа</t>
  </si>
  <si>
    <t>O</t>
  </si>
  <si>
    <t>T</t>
  </si>
  <si>
    <t>J</t>
  </si>
  <si>
    <t>M1</t>
  </si>
  <si>
    <t>M4</t>
  </si>
  <si>
    <t>M3</t>
  </si>
  <si>
    <t>M2</t>
  </si>
  <si>
    <t>M5</t>
  </si>
  <si>
    <t>M7</t>
  </si>
  <si>
    <t>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</si>
</sst>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U7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2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5" style="5" customWidth="1"/>
    <col min="22" max="16384" width="9.1640625" style="3"/>
  </cols>
  <sheetData>
    <row r="1" spans="1:21" s="2" customFormat="1" ht="29" customHeight="1">
      <c r="A1" s="53" t="s">
        <v>912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6</v>
      </c>
      <c r="H3" s="65"/>
      <c r="I3" s="65"/>
      <c r="J3" s="65"/>
      <c r="K3" s="65" t="s">
        <v>7</v>
      </c>
      <c r="L3" s="65"/>
      <c r="M3" s="65"/>
      <c r="N3" s="65"/>
      <c r="O3" s="65" t="s">
        <v>8</v>
      </c>
      <c r="P3" s="65"/>
      <c r="Q3" s="65"/>
      <c r="R3" s="65"/>
      <c r="S3" s="65" t="s">
        <v>1</v>
      </c>
      <c r="T3" s="65" t="s">
        <v>3</v>
      </c>
      <c r="U3" s="66" t="s">
        <v>2</v>
      </c>
    </row>
    <row r="4" spans="1:21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4"/>
      <c r="T4" s="64"/>
      <c r="U4" s="67"/>
    </row>
    <row r="5" spans="1:21" ht="16">
      <c r="A5" s="48" t="s">
        <v>156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8" t="s">
        <v>28</v>
      </c>
      <c r="B6" s="7" t="s">
        <v>157</v>
      </c>
      <c r="C6" s="7" t="s">
        <v>158</v>
      </c>
      <c r="D6" s="7" t="s">
        <v>159</v>
      </c>
      <c r="E6" s="7" t="s">
        <v>1042</v>
      </c>
      <c r="F6" s="7" t="s">
        <v>945</v>
      </c>
      <c r="G6" s="15" t="s">
        <v>160</v>
      </c>
      <c r="H6" s="15" t="s">
        <v>161</v>
      </c>
      <c r="I6" s="14" t="s">
        <v>49</v>
      </c>
      <c r="J6" s="8"/>
      <c r="K6" s="14" t="s">
        <v>162</v>
      </c>
      <c r="L6" s="15" t="s">
        <v>162</v>
      </c>
      <c r="M6" s="14" t="s">
        <v>163</v>
      </c>
      <c r="N6" s="8"/>
      <c r="O6" s="15" t="s">
        <v>164</v>
      </c>
      <c r="P6" s="14" t="s">
        <v>165</v>
      </c>
      <c r="Q6" s="14" t="s">
        <v>165</v>
      </c>
      <c r="R6" s="8"/>
      <c r="S6" s="8" t="str">
        <f>"235,0"</f>
        <v>235,0</v>
      </c>
      <c r="T6" s="8" t="str">
        <f>"337,9535"</f>
        <v>337,9535</v>
      </c>
      <c r="U6" s="7" t="s">
        <v>166</v>
      </c>
    </row>
    <row r="7" spans="1:21">
      <c r="B7" s="5" t="s">
        <v>29</v>
      </c>
    </row>
    <row r="8" spans="1:21" ht="16">
      <c r="A8" s="52" t="s">
        <v>167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8" t="s">
        <v>28</v>
      </c>
      <c r="B9" s="7" t="s">
        <v>168</v>
      </c>
      <c r="C9" s="7" t="s">
        <v>169</v>
      </c>
      <c r="D9" s="7" t="s">
        <v>170</v>
      </c>
      <c r="E9" s="7" t="s">
        <v>1043</v>
      </c>
      <c r="F9" s="7" t="s">
        <v>946</v>
      </c>
      <c r="G9" s="15" t="s">
        <v>163</v>
      </c>
      <c r="H9" s="15" t="s">
        <v>171</v>
      </c>
      <c r="I9" s="14" t="s">
        <v>172</v>
      </c>
      <c r="J9" s="8"/>
      <c r="K9" s="15" t="s">
        <v>173</v>
      </c>
      <c r="L9" s="15" t="s">
        <v>174</v>
      </c>
      <c r="M9" s="14" t="s">
        <v>175</v>
      </c>
      <c r="N9" s="8"/>
      <c r="O9" s="15" t="s">
        <v>176</v>
      </c>
      <c r="P9" s="15" t="s">
        <v>163</v>
      </c>
      <c r="Q9" s="15" t="s">
        <v>171</v>
      </c>
      <c r="R9" s="8"/>
      <c r="S9" s="8" t="str">
        <f>"175,0"</f>
        <v>175,0</v>
      </c>
      <c r="T9" s="8" t="str">
        <f>"228,9525"</f>
        <v>228,9525</v>
      </c>
      <c r="U9" s="7" t="s">
        <v>96</v>
      </c>
    </row>
    <row r="10" spans="1:21">
      <c r="B10" s="5" t="s">
        <v>29</v>
      </c>
    </row>
    <row r="11" spans="1:21" ht="16">
      <c r="A11" s="52" t="s">
        <v>177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>
      <c r="A12" s="17" t="s">
        <v>28</v>
      </c>
      <c r="B12" s="16" t="s">
        <v>178</v>
      </c>
      <c r="C12" s="16" t="s">
        <v>179</v>
      </c>
      <c r="D12" s="16" t="s">
        <v>180</v>
      </c>
      <c r="E12" s="16" t="s">
        <v>1042</v>
      </c>
      <c r="F12" s="16" t="s">
        <v>947</v>
      </c>
      <c r="G12" s="22" t="s">
        <v>50</v>
      </c>
      <c r="H12" s="22" t="s">
        <v>181</v>
      </c>
      <c r="I12" s="22" t="s">
        <v>182</v>
      </c>
      <c r="J12" s="17"/>
      <c r="K12" s="22" t="s">
        <v>160</v>
      </c>
      <c r="L12" s="22" t="s">
        <v>49</v>
      </c>
      <c r="M12" s="23" t="s">
        <v>37</v>
      </c>
      <c r="N12" s="17"/>
      <c r="O12" s="22" t="s">
        <v>48</v>
      </c>
      <c r="P12" s="22" t="s">
        <v>34</v>
      </c>
      <c r="Q12" s="23" t="s">
        <v>35</v>
      </c>
      <c r="R12" s="17"/>
      <c r="S12" s="17" t="str">
        <f>"317,5"</f>
        <v>317,5</v>
      </c>
      <c r="T12" s="17" t="str">
        <f>"379,9522"</f>
        <v>379,9522</v>
      </c>
      <c r="U12" s="16" t="s">
        <v>183</v>
      </c>
    </row>
    <row r="13" spans="1:21">
      <c r="A13" s="21" t="s">
        <v>152</v>
      </c>
      <c r="B13" s="20" t="s">
        <v>184</v>
      </c>
      <c r="C13" s="20" t="s">
        <v>185</v>
      </c>
      <c r="D13" s="20" t="s">
        <v>186</v>
      </c>
      <c r="E13" s="20" t="s">
        <v>1042</v>
      </c>
      <c r="F13" s="20" t="s">
        <v>947</v>
      </c>
      <c r="G13" s="27" t="s">
        <v>171</v>
      </c>
      <c r="H13" s="27" t="s">
        <v>187</v>
      </c>
      <c r="I13" s="26" t="s">
        <v>161</v>
      </c>
      <c r="J13" s="21"/>
      <c r="K13" s="27" t="s">
        <v>188</v>
      </c>
      <c r="L13" s="27" t="s">
        <v>189</v>
      </c>
      <c r="M13" s="26" t="s">
        <v>190</v>
      </c>
      <c r="N13" s="21"/>
      <c r="O13" s="27" t="s">
        <v>37</v>
      </c>
      <c r="P13" s="27" t="s">
        <v>38</v>
      </c>
      <c r="Q13" s="27" t="s">
        <v>39</v>
      </c>
      <c r="R13" s="21"/>
      <c r="S13" s="21" t="str">
        <f>"217,5"</f>
        <v>217,5</v>
      </c>
      <c r="T13" s="21" t="str">
        <f>"257,3460"</f>
        <v>257,3460</v>
      </c>
      <c r="U13" s="20" t="s">
        <v>898</v>
      </c>
    </row>
    <row r="14" spans="1:21">
      <c r="B14" s="5" t="s">
        <v>29</v>
      </c>
    </row>
    <row r="15" spans="1:21" ht="16">
      <c r="A15" s="52" t="s">
        <v>30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21">
      <c r="A16" s="17" t="s">
        <v>28</v>
      </c>
      <c r="B16" s="16" t="s">
        <v>191</v>
      </c>
      <c r="C16" s="16" t="s">
        <v>192</v>
      </c>
      <c r="D16" s="16" t="s">
        <v>193</v>
      </c>
      <c r="E16" s="16" t="s">
        <v>1043</v>
      </c>
      <c r="F16" s="16" t="s">
        <v>948</v>
      </c>
      <c r="G16" s="22" t="s">
        <v>194</v>
      </c>
      <c r="H16" s="23" t="s">
        <v>39</v>
      </c>
      <c r="I16" s="22" t="s">
        <v>39</v>
      </c>
      <c r="J16" s="17"/>
      <c r="K16" s="22" t="s">
        <v>188</v>
      </c>
      <c r="L16" s="22" t="s">
        <v>195</v>
      </c>
      <c r="M16" s="23" t="s">
        <v>189</v>
      </c>
      <c r="N16" s="17"/>
      <c r="O16" s="22" t="s">
        <v>39</v>
      </c>
      <c r="P16" s="22" t="s">
        <v>164</v>
      </c>
      <c r="Q16" s="22" t="s">
        <v>196</v>
      </c>
      <c r="R16" s="17"/>
      <c r="S16" s="17" t="str">
        <f>"240,0"</f>
        <v>240,0</v>
      </c>
      <c r="T16" s="17" t="str">
        <f>"246,5280"</f>
        <v>246,5280</v>
      </c>
      <c r="U16" s="16" t="s">
        <v>899</v>
      </c>
    </row>
    <row r="17" spans="1:21">
      <c r="A17" s="21" t="s">
        <v>28</v>
      </c>
      <c r="B17" s="20" t="s">
        <v>197</v>
      </c>
      <c r="C17" s="20" t="s">
        <v>830</v>
      </c>
      <c r="D17" s="20" t="s">
        <v>198</v>
      </c>
      <c r="E17" s="20" t="s">
        <v>1044</v>
      </c>
      <c r="F17" s="20" t="s">
        <v>946</v>
      </c>
      <c r="G17" s="27" t="s">
        <v>49</v>
      </c>
      <c r="H17" s="27" t="s">
        <v>194</v>
      </c>
      <c r="I17" s="27" t="s">
        <v>39</v>
      </c>
      <c r="J17" s="21"/>
      <c r="K17" s="27" t="s">
        <v>174</v>
      </c>
      <c r="L17" s="26" t="s">
        <v>199</v>
      </c>
      <c r="M17" s="27" t="s">
        <v>199</v>
      </c>
      <c r="N17" s="21"/>
      <c r="O17" s="27" t="s">
        <v>39</v>
      </c>
      <c r="P17" s="26" t="s">
        <v>164</v>
      </c>
      <c r="Q17" s="21"/>
      <c r="R17" s="21"/>
      <c r="S17" s="21" t="str">
        <f>"225,0"</f>
        <v>225,0</v>
      </c>
      <c r="T17" s="21" t="str">
        <f>"239,3550"</f>
        <v>239,3550</v>
      </c>
      <c r="U17" s="20" t="s">
        <v>96</v>
      </c>
    </row>
    <row r="18" spans="1:21">
      <c r="B18" s="5" t="s">
        <v>29</v>
      </c>
    </row>
    <row r="19" spans="1:21" ht="16">
      <c r="A19" s="52" t="s">
        <v>200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21">
      <c r="A20" s="17" t="s">
        <v>28</v>
      </c>
      <c r="B20" s="16" t="s">
        <v>201</v>
      </c>
      <c r="C20" s="16" t="s">
        <v>202</v>
      </c>
      <c r="D20" s="16" t="s">
        <v>203</v>
      </c>
      <c r="E20" s="16" t="s">
        <v>1042</v>
      </c>
      <c r="F20" s="16" t="s">
        <v>949</v>
      </c>
      <c r="G20" s="23" t="s">
        <v>50</v>
      </c>
      <c r="H20" s="23" t="s">
        <v>204</v>
      </c>
      <c r="I20" s="22" t="s">
        <v>204</v>
      </c>
      <c r="J20" s="17"/>
      <c r="K20" s="23" t="s">
        <v>189</v>
      </c>
      <c r="L20" s="22" t="s">
        <v>176</v>
      </c>
      <c r="M20" s="22" t="s">
        <v>163</v>
      </c>
      <c r="N20" s="17"/>
      <c r="O20" s="22" t="s">
        <v>50</v>
      </c>
      <c r="P20" s="22" t="s">
        <v>46</v>
      </c>
      <c r="Q20" s="22" t="s">
        <v>48</v>
      </c>
      <c r="R20" s="17"/>
      <c r="S20" s="17" t="str">
        <f>"290,0"</f>
        <v>290,0</v>
      </c>
      <c r="T20" s="17" t="str">
        <f>"279,7340"</f>
        <v>279,7340</v>
      </c>
      <c r="U20" s="16" t="s">
        <v>205</v>
      </c>
    </row>
    <row r="21" spans="1:21">
      <c r="A21" s="21" t="s">
        <v>28</v>
      </c>
      <c r="B21" s="20" t="s">
        <v>206</v>
      </c>
      <c r="C21" s="20" t="s">
        <v>831</v>
      </c>
      <c r="D21" s="20" t="s">
        <v>207</v>
      </c>
      <c r="E21" s="20" t="s">
        <v>1045</v>
      </c>
      <c r="F21" s="20" t="s">
        <v>947</v>
      </c>
      <c r="G21" s="27" t="s">
        <v>50</v>
      </c>
      <c r="H21" s="26" t="s">
        <v>47</v>
      </c>
      <c r="I21" s="27" t="s">
        <v>47</v>
      </c>
      <c r="J21" s="21"/>
      <c r="K21" s="27" t="s">
        <v>189</v>
      </c>
      <c r="L21" s="27" t="s">
        <v>190</v>
      </c>
      <c r="M21" s="27" t="s">
        <v>176</v>
      </c>
      <c r="N21" s="21"/>
      <c r="O21" s="27" t="s">
        <v>48</v>
      </c>
      <c r="P21" s="27" t="s">
        <v>34</v>
      </c>
      <c r="Q21" s="27" t="s">
        <v>35</v>
      </c>
      <c r="R21" s="21"/>
      <c r="S21" s="21" t="str">
        <f>"305,0"</f>
        <v>305,0</v>
      </c>
      <c r="T21" s="21" t="str">
        <f>"317,0826"</f>
        <v>317,0826</v>
      </c>
      <c r="U21" s="20" t="s">
        <v>208</v>
      </c>
    </row>
    <row r="22" spans="1:21">
      <c r="B22" s="5" t="s">
        <v>29</v>
      </c>
    </row>
    <row r="23" spans="1:21" ht="16">
      <c r="A23" s="52" t="s">
        <v>209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21">
      <c r="A24" s="8" t="s">
        <v>28</v>
      </c>
      <c r="B24" s="7" t="s">
        <v>210</v>
      </c>
      <c r="C24" s="7" t="s">
        <v>211</v>
      </c>
      <c r="D24" s="7" t="s">
        <v>212</v>
      </c>
      <c r="E24" s="7" t="s">
        <v>1042</v>
      </c>
      <c r="F24" s="7" t="s">
        <v>947</v>
      </c>
      <c r="G24" s="14" t="s">
        <v>213</v>
      </c>
      <c r="H24" s="14" t="s">
        <v>213</v>
      </c>
      <c r="I24" s="15" t="s">
        <v>213</v>
      </c>
      <c r="J24" s="8"/>
      <c r="K24" s="15" t="s">
        <v>188</v>
      </c>
      <c r="L24" s="15" t="s">
        <v>189</v>
      </c>
      <c r="M24" s="14" t="s">
        <v>176</v>
      </c>
      <c r="N24" s="8"/>
      <c r="O24" s="15" t="s">
        <v>48</v>
      </c>
      <c r="P24" s="15" t="s">
        <v>35</v>
      </c>
      <c r="Q24" s="15" t="s">
        <v>214</v>
      </c>
      <c r="R24" s="8"/>
      <c r="S24" s="8" t="str">
        <f>"315,0"</f>
        <v>315,0</v>
      </c>
      <c r="T24" s="8" t="str">
        <f>"259,4025"</f>
        <v>259,4025</v>
      </c>
      <c r="U24" s="7" t="s">
        <v>208</v>
      </c>
    </row>
    <row r="25" spans="1:21">
      <c r="B25" s="5" t="s">
        <v>29</v>
      </c>
    </row>
    <row r="26" spans="1:21" ht="16">
      <c r="A26" s="52" t="s">
        <v>30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21">
      <c r="A27" s="8" t="s">
        <v>28</v>
      </c>
      <c r="B27" s="7" t="s">
        <v>215</v>
      </c>
      <c r="C27" s="7" t="s">
        <v>216</v>
      </c>
      <c r="D27" s="7" t="s">
        <v>193</v>
      </c>
      <c r="E27" s="7" t="s">
        <v>1043</v>
      </c>
      <c r="F27" s="7" t="s">
        <v>946</v>
      </c>
      <c r="G27" s="15" t="s">
        <v>34</v>
      </c>
      <c r="H27" s="15" t="s">
        <v>35</v>
      </c>
      <c r="I27" s="15" t="s">
        <v>36</v>
      </c>
      <c r="J27" s="8"/>
      <c r="K27" s="14" t="s">
        <v>176</v>
      </c>
      <c r="L27" s="15" t="s">
        <v>176</v>
      </c>
      <c r="M27" s="15" t="s">
        <v>163</v>
      </c>
      <c r="N27" s="8"/>
      <c r="O27" s="15" t="s">
        <v>48</v>
      </c>
      <c r="P27" s="15" t="s">
        <v>34</v>
      </c>
      <c r="Q27" s="15" t="s">
        <v>35</v>
      </c>
      <c r="R27" s="8"/>
      <c r="S27" s="8" t="str">
        <f>"330,0"</f>
        <v>330,0</v>
      </c>
      <c r="T27" s="8" t="str">
        <f>"256,2780"</f>
        <v>256,2780</v>
      </c>
      <c r="U27" s="7" t="s">
        <v>96</v>
      </c>
    </row>
    <row r="28" spans="1:21">
      <c r="B28" s="5" t="s">
        <v>29</v>
      </c>
    </row>
    <row r="29" spans="1:21" ht="16">
      <c r="A29" s="52" t="s">
        <v>200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21">
      <c r="A30" s="17" t="s">
        <v>28</v>
      </c>
      <c r="B30" s="16" t="s">
        <v>217</v>
      </c>
      <c r="C30" s="16" t="s">
        <v>218</v>
      </c>
      <c r="D30" s="16" t="s">
        <v>219</v>
      </c>
      <c r="E30" s="16" t="s">
        <v>1042</v>
      </c>
      <c r="F30" s="16" t="s">
        <v>950</v>
      </c>
      <c r="G30" s="22" t="s">
        <v>81</v>
      </c>
      <c r="H30" s="23" t="s">
        <v>64</v>
      </c>
      <c r="I30" s="23" t="s">
        <v>64</v>
      </c>
      <c r="J30" s="17"/>
      <c r="K30" s="22" t="s">
        <v>204</v>
      </c>
      <c r="L30" s="22" t="s">
        <v>46</v>
      </c>
      <c r="M30" s="23" t="s">
        <v>182</v>
      </c>
      <c r="N30" s="17"/>
      <c r="O30" s="22" t="s">
        <v>64</v>
      </c>
      <c r="P30" s="22" t="s">
        <v>66</v>
      </c>
      <c r="Q30" s="23" t="s">
        <v>13</v>
      </c>
      <c r="R30" s="17"/>
      <c r="S30" s="17" t="str">
        <f>"535,0"</f>
        <v>535,0</v>
      </c>
      <c r="T30" s="17" t="str">
        <f>"384,8255"</f>
        <v>384,8255</v>
      </c>
      <c r="U30" s="16"/>
    </row>
    <row r="31" spans="1:21">
      <c r="A31" s="21" t="s">
        <v>152</v>
      </c>
      <c r="B31" s="20" t="s">
        <v>220</v>
      </c>
      <c r="C31" s="20" t="s">
        <v>221</v>
      </c>
      <c r="D31" s="20" t="s">
        <v>219</v>
      </c>
      <c r="E31" s="20" t="s">
        <v>1042</v>
      </c>
      <c r="F31" s="20" t="s">
        <v>947</v>
      </c>
      <c r="G31" s="27" t="s">
        <v>92</v>
      </c>
      <c r="H31" s="26" t="s">
        <v>16</v>
      </c>
      <c r="I31" s="26" t="s">
        <v>93</v>
      </c>
      <c r="J31" s="21"/>
      <c r="K31" s="27" t="s">
        <v>213</v>
      </c>
      <c r="L31" s="27" t="s">
        <v>222</v>
      </c>
      <c r="M31" s="26" t="s">
        <v>35</v>
      </c>
      <c r="N31" s="21"/>
      <c r="O31" s="27" t="s">
        <v>223</v>
      </c>
      <c r="P31" s="27" t="s">
        <v>224</v>
      </c>
      <c r="Q31" s="27" t="s">
        <v>120</v>
      </c>
      <c r="R31" s="21"/>
      <c r="S31" s="21" t="str">
        <f>"452,5"</f>
        <v>452,5</v>
      </c>
      <c r="T31" s="21" t="str">
        <f>"325,4832"</f>
        <v>325,4832</v>
      </c>
      <c r="U31" s="20" t="s">
        <v>225</v>
      </c>
    </row>
    <row r="32" spans="1:21">
      <c r="B32" s="5" t="s">
        <v>29</v>
      </c>
    </row>
    <row r="33" spans="1:21" ht="16">
      <c r="A33" s="52" t="s">
        <v>51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1">
      <c r="A34" s="17" t="s">
        <v>28</v>
      </c>
      <c r="B34" s="16" t="s">
        <v>226</v>
      </c>
      <c r="C34" s="16" t="s">
        <v>227</v>
      </c>
      <c r="D34" s="16" t="s">
        <v>228</v>
      </c>
      <c r="E34" s="16" t="s">
        <v>1042</v>
      </c>
      <c r="F34" s="16" t="s">
        <v>951</v>
      </c>
      <c r="G34" s="22" t="s">
        <v>64</v>
      </c>
      <c r="H34" s="22" t="s">
        <v>229</v>
      </c>
      <c r="I34" s="23" t="s">
        <v>132</v>
      </c>
      <c r="J34" s="17"/>
      <c r="K34" s="22" t="s">
        <v>56</v>
      </c>
      <c r="L34" s="22" t="s">
        <v>67</v>
      </c>
      <c r="M34" s="23" t="s">
        <v>137</v>
      </c>
      <c r="N34" s="17"/>
      <c r="O34" s="22" t="s">
        <v>82</v>
      </c>
      <c r="P34" s="22" t="s">
        <v>229</v>
      </c>
      <c r="Q34" s="23" t="s">
        <v>66</v>
      </c>
      <c r="R34" s="17"/>
      <c r="S34" s="17" t="str">
        <f>"582,5"</f>
        <v>582,5</v>
      </c>
      <c r="T34" s="17" t="str">
        <f>"394,8768"</f>
        <v>394,8768</v>
      </c>
      <c r="U34" s="16"/>
    </row>
    <row r="35" spans="1:21">
      <c r="A35" s="21" t="s">
        <v>152</v>
      </c>
      <c r="B35" s="20" t="s">
        <v>230</v>
      </c>
      <c r="C35" s="20" t="s">
        <v>231</v>
      </c>
      <c r="D35" s="20" t="s">
        <v>232</v>
      </c>
      <c r="E35" s="20" t="s">
        <v>1042</v>
      </c>
      <c r="F35" s="20" t="s">
        <v>946</v>
      </c>
      <c r="G35" s="26" t="s">
        <v>56</v>
      </c>
      <c r="H35" s="27" t="s">
        <v>56</v>
      </c>
      <c r="I35" s="27" t="s">
        <v>40</v>
      </c>
      <c r="J35" s="21"/>
      <c r="K35" s="27" t="s">
        <v>49</v>
      </c>
      <c r="L35" s="26" t="s">
        <v>194</v>
      </c>
      <c r="M35" s="26" t="s">
        <v>194</v>
      </c>
      <c r="N35" s="21"/>
      <c r="O35" s="26" t="s">
        <v>56</v>
      </c>
      <c r="P35" s="27" t="s">
        <v>56</v>
      </c>
      <c r="Q35" s="26" t="s">
        <v>40</v>
      </c>
      <c r="R35" s="21"/>
      <c r="S35" s="21" t="str">
        <f>"365,0"</f>
        <v>365,0</v>
      </c>
      <c r="T35" s="21" t="str">
        <f>"248,4190"</f>
        <v>248,4190</v>
      </c>
      <c r="U35" s="20" t="s">
        <v>96</v>
      </c>
    </row>
    <row r="36" spans="1:21">
      <c r="B36" s="5" t="s">
        <v>29</v>
      </c>
    </row>
    <row r="37" spans="1:21" ht="16">
      <c r="A37" s="52" t="s">
        <v>42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21">
      <c r="A38" s="17" t="s">
        <v>28</v>
      </c>
      <c r="B38" s="16" t="s">
        <v>233</v>
      </c>
      <c r="C38" s="16" t="s">
        <v>234</v>
      </c>
      <c r="D38" s="16" t="s">
        <v>235</v>
      </c>
      <c r="E38" s="16" t="s">
        <v>1042</v>
      </c>
      <c r="F38" s="16" t="s">
        <v>947</v>
      </c>
      <c r="G38" s="22" t="s">
        <v>17</v>
      </c>
      <c r="H38" s="22" t="s">
        <v>18</v>
      </c>
      <c r="I38" s="22" t="s">
        <v>68</v>
      </c>
      <c r="J38" s="17"/>
      <c r="K38" s="22" t="s">
        <v>15</v>
      </c>
      <c r="L38" s="23" t="s">
        <v>92</v>
      </c>
      <c r="M38" s="22" t="s">
        <v>92</v>
      </c>
      <c r="N38" s="17"/>
      <c r="O38" s="22" t="s">
        <v>12</v>
      </c>
      <c r="P38" s="22" t="s">
        <v>18</v>
      </c>
      <c r="Q38" s="23" t="s">
        <v>68</v>
      </c>
      <c r="R38" s="17"/>
      <c r="S38" s="17" t="str">
        <f>"655,0"</f>
        <v>655,0</v>
      </c>
      <c r="T38" s="17" t="str">
        <f>"420,3135"</f>
        <v>420,3135</v>
      </c>
      <c r="U38" s="16" t="s">
        <v>236</v>
      </c>
    </row>
    <row r="39" spans="1:21">
      <c r="A39" s="19" t="s">
        <v>152</v>
      </c>
      <c r="B39" s="18" t="s">
        <v>237</v>
      </c>
      <c r="C39" s="18" t="s">
        <v>238</v>
      </c>
      <c r="D39" s="18" t="s">
        <v>91</v>
      </c>
      <c r="E39" s="16" t="s">
        <v>1042</v>
      </c>
      <c r="F39" s="18" t="s">
        <v>952</v>
      </c>
      <c r="G39" s="24" t="s">
        <v>87</v>
      </c>
      <c r="H39" s="25" t="s">
        <v>17</v>
      </c>
      <c r="I39" s="24" t="s">
        <v>17</v>
      </c>
      <c r="J39" s="19"/>
      <c r="K39" s="24" t="s">
        <v>56</v>
      </c>
      <c r="L39" s="24" t="s">
        <v>15</v>
      </c>
      <c r="M39" s="24" t="s">
        <v>137</v>
      </c>
      <c r="N39" s="19"/>
      <c r="O39" s="24" t="s">
        <v>14</v>
      </c>
      <c r="P39" s="24" t="s">
        <v>58</v>
      </c>
      <c r="Q39" s="25" t="s">
        <v>111</v>
      </c>
      <c r="R39" s="19"/>
      <c r="S39" s="19" t="str">
        <f>"652,5"</f>
        <v>652,5</v>
      </c>
      <c r="T39" s="19" t="str">
        <f>"419,1660"</f>
        <v>419,1660</v>
      </c>
      <c r="U39" s="18"/>
    </row>
    <row r="40" spans="1:21">
      <c r="A40" s="19" t="s">
        <v>153</v>
      </c>
      <c r="B40" s="18" t="s">
        <v>239</v>
      </c>
      <c r="C40" s="18" t="s">
        <v>240</v>
      </c>
      <c r="D40" s="18" t="s">
        <v>241</v>
      </c>
      <c r="E40" s="16" t="s">
        <v>1042</v>
      </c>
      <c r="F40" s="18" t="s">
        <v>949</v>
      </c>
      <c r="G40" s="24" t="s">
        <v>64</v>
      </c>
      <c r="H40" s="24" t="s">
        <v>65</v>
      </c>
      <c r="I40" s="24" t="s">
        <v>17</v>
      </c>
      <c r="J40" s="19"/>
      <c r="K40" s="24" t="s">
        <v>15</v>
      </c>
      <c r="L40" s="24" t="s">
        <v>223</v>
      </c>
      <c r="M40" s="24" t="s">
        <v>93</v>
      </c>
      <c r="N40" s="19"/>
      <c r="O40" s="24" t="s">
        <v>65</v>
      </c>
      <c r="P40" s="25" t="s">
        <v>17</v>
      </c>
      <c r="Q40" s="24" t="s">
        <v>17</v>
      </c>
      <c r="R40" s="19"/>
      <c r="S40" s="19" t="str">
        <f>"622,5"</f>
        <v>622,5</v>
      </c>
      <c r="T40" s="19" t="str">
        <f>"397,8398"</f>
        <v>397,8398</v>
      </c>
      <c r="U40" s="18"/>
    </row>
    <row r="41" spans="1:21">
      <c r="A41" s="19" t="s">
        <v>154</v>
      </c>
      <c r="B41" s="18" t="s">
        <v>242</v>
      </c>
      <c r="C41" s="18" t="s">
        <v>243</v>
      </c>
      <c r="D41" s="18" t="s">
        <v>241</v>
      </c>
      <c r="E41" s="16" t="s">
        <v>1042</v>
      </c>
      <c r="F41" s="18" t="s">
        <v>953</v>
      </c>
      <c r="G41" s="24" t="s">
        <v>138</v>
      </c>
      <c r="H41" s="24" t="s">
        <v>74</v>
      </c>
      <c r="I41" s="25" t="s">
        <v>126</v>
      </c>
      <c r="J41" s="19"/>
      <c r="K41" s="24" t="s">
        <v>36</v>
      </c>
      <c r="L41" s="24" t="s">
        <v>56</v>
      </c>
      <c r="M41" s="24" t="s">
        <v>40</v>
      </c>
      <c r="N41" s="19"/>
      <c r="O41" s="24" t="s">
        <v>87</v>
      </c>
      <c r="P41" s="24" t="s">
        <v>66</v>
      </c>
      <c r="Q41" s="25" t="s">
        <v>17</v>
      </c>
      <c r="R41" s="19"/>
      <c r="S41" s="19" t="str">
        <f>"555,0"</f>
        <v>555,0</v>
      </c>
      <c r="T41" s="19" t="str">
        <f>"354,7005"</f>
        <v>354,7005</v>
      </c>
      <c r="U41" s="18"/>
    </row>
    <row r="42" spans="1:21">
      <c r="A42" s="19" t="s">
        <v>155</v>
      </c>
      <c r="B42" s="18" t="s">
        <v>244</v>
      </c>
      <c r="C42" s="18" t="s">
        <v>245</v>
      </c>
      <c r="D42" s="18" t="s">
        <v>246</v>
      </c>
      <c r="E42" s="16" t="s">
        <v>1042</v>
      </c>
      <c r="F42" s="18" t="s">
        <v>947</v>
      </c>
      <c r="G42" s="25" t="s">
        <v>120</v>
      </c>
      <c r="H42" s="25" t="s">
        <v>120</v>
      </c>
      <c r="I42" s="24" t="s">
        <v>120</v>
      </c>
      <c r="J42" s="19"/>
      <c r="K42" s="24" t="s">
        <v>47</v>
      </c>
      <c r="L42" s="24" t="s">
        <v>34</v>
      </c>
      <c r="M42" s="24" t="s">
        <v>55</v>
      </c>
      <c r="N42" s="19"/>
      <c r="O42" s="24" t="s">
        <v>120</v>
      </c>
      <c r="P42" s="24" t="s">
        <v>80</v>
      </c>
      <c r="Q42" s="25" t="s">
        <v>64</v>
      </c>
      <c r="R42" s="19"/>
      <c r="S42" s="19" t="str">
        <f>"492,5"</f>
        <v>492,5</v>
      </c>
      <c r="T42" s="19" t="str">
        <f>"316,7760"</f>
        <v>316,7760</v>
      </c>
      <c r="U42" s="18"/>
    </row>
    <row r="43" spans="1:21">
      <c r="A43" s="19" t="s">
        <v>291</v>
      </c>
      <c r="B43" s="18" t="s">
        <v>247</v>
      </c>
      <c r="C43" s="18" t="s">
        <v>248</v>
      </c>
      <c r="D43" s="18" t="s">
        <v>249</v>
      </c>
      <c r="E43" s="16" t="s">
        <v>1042</v>
      </c>
      <c r="F43" s="18" t="s">
        <v>954</v>
      </c>
      <c r="G43" s="24" t="s">
        <v>36</v>
      </c>
      <c r="H43" s="24" t="s">
        <v>56</v>
      </c>
      <c r="I43" s="24" t="s">
        <v>67</v>
      </c>
      <c r="J43" s="19"/>
      <c r="K43" s="24" t="s">
        <v>46</v>
      </c>
      <c r="L43" s="24" t="s">
        <v>47</v>
      </c>
      <c r="M43" s="25" t="s">
        <v>48</v>
      </c>
      <c r="N43" s="19"/>
      <c r="O43" s="24" t="s">
        <v>16</v>
      </c>
      <c r="P43" s="24" t="s">
        <v>224</v>
      </c>
      <c r="Q43" s="25" t="s">
        <v>120</v>
      </c>
      <c r="R43" s="19"/>
      <c r="S43" s="19" t="str">
        <f>"427,5"</f>
        <v>427,5</v>
      </c>
      <c r="T43" s="19" t="str">
        <f>"275,1390"</f>
        <v>275,1390</v>
      </c>
      <c r="U43" s="18" t="s">
        <v>250</v>
      </c>
    </row>
    <row r="44" spans="1:21">
      <c r="A44" s="19" t="s">
        <v>28</v>
      </c>
      <c r="B44" s="18" t="s">
        <v>251</v>
      </c>
      <c r="C44" s="18" t="s">
        <v>832</v>
      </c>
      <c r="D44" s="18" t="s">
        <v>252</v>
      </c>
      <c r="E44" s="18" t="s">
        <v>1045</v>
      </c>
      <c r="F44" s="18" t="s">
        <v>955</v>
      </c>
      <c r="G44" s="24" t="s">
        <v>35</v>
      </c>
      <c r="H44" s="24" t="s">
        <v>56</v>
      </c>
      <c r="I44" s="24" t="s">
        <v>40</v>
      </c>
      <c r="J44" s="19"/>
      <c r="K44" s="24" t="s">
        <v>34</v>
      </c>
      <c r="L44" s="24" t="s">
        <v>55</v>
      </c>
      <c r="M44" s="25" t="s">
        <v>214</v>
      </c>
      <c r="N44" s="19"/>
      <c r="O44" s="24" t="s">
        <v>73</v>
      </c>
      <c r="P44" s="24" t="s">
        <v>80</v>
      </c>
      <c r="Q44" s="24" t="s">
        <v>253</v>
      </c>
      <c r="R44" s="19"/>
      <c r="S44" s="19" t="str">
        <f>"480,0"</f>
        <v>480,0</v>
      </c>
      <c r="T44" s="19" t="str">
        <f>"323,2725"</f>
        <v>323,2725</v>
      </c>
      <c r="U44" s="18"/>
    </row>
    <row r="45" spans="1:21">
      <c r="A45" s="21" t="s">
        <v>28</v>
      </c>
      <c r="B45" s="20" t="s">
        <v>233</v>
      </c>
      <c r="C45" s="20" t="s">
        <v>833</v>
      </c>
      <c r="D45" s="20" t="s">
        <v>235</v>
      </c>
      <c r="E45" s="20" t="s">
        <v>1046</v>
      </c>
      <c r="F45" s="20" t="s">
        <v>947</v>
      </c>
      <c r="G45" s="27" t="s">
        <v>17</v>
      </c>
      <c r="H45" s="27" t="s">
        <v>18</v>
      </c>
      <c r="I45" s="27" t="s">
        <v>68</v>
      </c>
      <c r="J45" s="21"/>
      <c r="K45" s="27" t="s">
        <v>15</v>
      </c>
      <c r="L45" s="26" t="s">
        <v>92</v>
      </c>
      <c r="M45" s="27" t="s">
        <v>92</v>
      </c>
      <c r="N45" s="21"/>
      <c r="O45" s="27" t="s">
        <v>12</v>
      </c>
      <c r="P45" s="27" t="s">
        <v>18</v>
      </c>
      <c r="Q45" s="26" t="s">
        <v>68</v>
      </c>
      <c r="R45" s="21"/>
      <c r="S45" s="21" t="str">
        <f>"655,0"</f>
        <v>655,0</v>
      </c>
      <c r="T45" s="21" t="str">
        <f>"535,0591"</f>
        <v>535,0591</v>
      </c>
      <c r="U45" s="20" t="s">
        <v>236</v>
      </c>
    </row>
    <row r="46" spans="1:21">
      <c r="B46" s="5" t="s">
        <v>29</v>
      </c>
    </row>
    <row r="47" spans="1:21" ht="16">
      <c r="A47" s="52" t="s">
        <v>97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1">
      <c r="A48" s="17" t="s">
        <v>28</v>
      </c>
      <c r="B48" s="16" t="s">
        <v>254</v>
      </c>
      <c r="C48" s="16" t="s">
        <v>255</v>
      </c>
      <c r="D48" s="16" t="s">
        <v>256</v>
      </c>
      <c r="E48" s="16" t="s">
        <v>1043</v>
      </c>
      <c r="F48" s="16" t="s">
        <v>948</v>
      </c>
      <c r="G48" s="22" t="s">
        <v>92</v>
      </c>
      <c r="H48" s="23" t="s">
        <v>120</v>
      </c>
      <c r="I48" s="23" t="s">
        <v>120</v>
      </c>
      <c r="J48" s="17"/>
      <c r="K48" s="22" t="s">
        <v>204</v>
      </c>
      <c r="L48" s="22" t="s">
        <v>47</v>
      </c>
      <c r="M48" s="23" t="s">
        <v>48</v>
      </c>
      <c r="N48" s="17"/>
      <c r="O48" s="22" t="s">
        <v>16</v>
      </c>
      <c r="P48" s="22" t="s">
        <v>138</v>
      </c>
      <c r="Q48" s="22" t="s">
        <v>74</v>
      </c>
      <c r="R48" s="17"/>
      <c r="S48" s="17" t="str">
        <f>"455,0"</f>
        <v>455,0</v>
      </c>
      <c r="T48" s="17" t="str">
        <f>"286,4225"</f>
        <v>286,4225</v>
      </c>
      <c r="U48" s="16" t="s">
        <v>900</v>
      </c>
    </row>
    <row r="49" spans="1:21">
      <c r="A49" s="19" t="s">
        <v>28</v>
      </c>
      <c r="B49" s="18" t="s">
        <v>257</v>
      </c>
      <c r="C49" s="18" t="s">
        <v>258</v>
      </c>
      <c r="D49" s="18" t="s">
        <v>259</v>
      </c>
      <c r="E49" s="18" t="s">
        <v>1042</v>
      </c>
      <c r="F49" s="18" t="s">
        <v>947</v>
      </c>
      <c r="G49" s="24" t="s">
        <v>64</v>
      </c>
      <c r="H49" s="24" t="s">
        <v>17</v>
      </c>
      <c r="I49" s="25" t="s">
        <v>13</v>
      </c>
      <c r="J49" s="19"/>
      <c r="K49" s="24" t="s">
        <v>120</v>
      </c>
      <c r="L49" s="24" t="s">
        <v>74</v>
      </c>
      <c r="M49" s="25" t="s">
        <v>80</v>
      </c>
      <c r="N49" s="19"/>
      <c r="O49" s="24" t="s">
        <v>13</v>
      </c>
      <c r="P49" s="24" t="s">
        <v>78</v>
      </c>
      <c r="Q49" s="25" t="s">
        <v>58</v>
      </c>
      <c r="R49" s="19"/>
      <c r="S49" s="19" t="str">
        <f>"675,0"</f>
        <v>675,0</v>
      </c>
      <c r="T49" s="19" t="str">
        <f>"413,5050"</f>
        <v>413,5050</v>
      </c>
      <c r="U49" s="18"/>
    </row>
    <row r="50" spans="1:21">
      <c r="A50" s="19" t="s">
        <v>152</v>
      </c>
      <c r="B50" s="18" t="s">
        <v>260</v>
      </c>
      <c r="C50" s="18" t="s">
        <v>261</v>
      </c>
      <c r="D50" s="18" t="s">
        <v>262</v>
      </c>
      <c r="E50" s="18" t="s">
        <v>1042</v>
      </c>
      <c r="F50" s="18" t="s">
        <v>956</v>
      </c>
      <c r="G50" s="24" t="s">
        <v>126</v>
      </c>
      <c r="H50" s="24" t="s">
        <v>82</v>
      </c>
      <c r="I50" s="25" t="s">
        <v>87</v>
      </c>
      <c r="J50" s="19"/>
      <c r="K50" s="24" t="s">
        <v>224</v>
      </c>
      <c r="L50" s="25" t="s">
        <v>73</v>
      </c>
      <c r="M50" s="25" t="s">
        <v>73</v>
      </c>
      <c r="N50" s="19"/>
      <c r="O50" s="24" t="s">
        <v>13</v>
      </c>
      <c r="P50" s="24" t="s">
        <v>14</v>
      </c>
      <c r="Q50" s="24" t="s">
        <v>78</v>
      </c>
      <c r="R50" s="19"/>
      <c r="S50" s="19" t="str">
        <f>"630,0"</f>
        <v>630,0</v>
      </c>
      <c r="T50" s="19" t="str">
        <f>"383,5440"</f>
        <v>383,5440</v>
      </c>
      <c r="U50" s="18" t="s">
        <v>263</v>
      </c>
    </row>
    <row r="51" spans="1:21">
      <c r="A51" s="21" t="s">
        <v>153</v>
      </c>
      <c r="B51" s="20" t="s">
        <v>264</v>
      </c>
      <c r="C51" s="20" t="s">
        <v>265</v>
      </c>
      <c r="D51" s="20" t="s">
        <v>266</v>
      </c>
      <c r="E51" s="20" t="s">
        <v>1042</v>
      </c>
      <c r="F51" s="20" t="s">
        <v>957</v>
      </c>
      <c r="G51" s="26" t="s">
        <v>66</v>
      </c>
      <c r="H51" s="27" t="s">
        <v>17</v>
      </c>
      <c r="I51" s="26" t="s">
        <v>12</v>
      </c>
      <c r="J51" s="21"/>
      <c r="K51" s="27" t="s">
        <v>40</v>
      </c>
      <c r="L51" s="26" t="s">
        <v>137</v>
      </c>
      <c r="M51" s="26" t="s">
        <v>92</v>
      </c>
      <c r="N51" s="21"/>
      <c r="O51" s="27" t="s">
        <v>17</v>
      </c>
      <c r="P51" s="27" t="s">
        <v>13</v>
      </c>
      <c r="Q51" s="26" t="s">
        <v>68</v>
      </c>
      <c r="R51" s="21"/>
      <c r="S51" s="21" t="str">
        <f>"615,0"</f>
        <v>615,0</v>
      </c>
      <c r="T51" s="21" t="str">
        <f>"376,9335"</f>
        <v>376,9335</v>
      </c>
      <c r="U51" s="20"/>
    </row>
    <row r="52" spans="1:21">
      <c r="B52" s="5" t="s">
        <v>29</v>
      </c>
    </row>
    <row r="53" spans="1:21" ht="16">
      <c r="A53" s="52" t="s">
        <v>9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</row>
    <row r="54" spans="1:21">
      <c r="A54" s="17" t="s">
        <v>28</v>
      </c>
      <c r="B54" s="16" t="s">
        <v>267</v>
      </c>
      <c r="C54" s="16" t="s">
        <v>268</v>
      </c>
      <c r="D54" s="16" t="s">
        <v>269</v>
      </c>
      <c r="E54" s="16" t="s">
        <v>1042</v>
      </c>
      <c r="F54" s="16" t="s">
        <v>947</v>
      </c>
      <c r="G54" s="22" t="s">
        <v>138</v>
      </c>
      <c r="H54" s="23" t="s">
        <v>80</v>
      </c>
      <c r="I54" s="22" t="s">
        <v>126</v>
      </c>
      <c r="J54" s="17"/>
      <c r="K54" s="22" t="s">
        <v>36</v>
      </c>
      <c r="L54" s="22" t="s">
        <v>40</v>
      </c>
      <c r="M54" s="22" t="s">
        <v>15</v>
      </c>
      <c r="N54" s="17"/>
      <c r="O54" s="22" t="s">
        <v>81</v>
      </c>
      <c r="P54" s="22" t="s">
        <v>87</v>
      </c>
      <c r="Q54" s="22" t="s">
        <v>132</v>
      </c>
      <c r="R54" s="17"/>
      <c r="S54" s="17" t="str">
        <f>"567,5"</f>
        <v>567,5</v>
      </c>
      <c r="T54" s="17" t="str">
        <f>"335,3925"</f>
        <v>335,3925</v>
      </c>
      <c r="U54" s="16"/>
    </row>
    <row r="55" spans="1:21">
      <c r="A55" s="21" t="s">
        <v>28</v>
      </c>
      <c r="B55" s="20" t="s">
        <v>270</v>
      </c>
      <c r="C55" s="20" t="s">
        <v>834</v>
      </c>
      <c r="D55" s="20" t="s">
        <v>271</v>
      </c>
      <c r="E55" s="20" t="s">
        <v>1045</v>
      </c>
      <c r="F55" s="20" t="s">
        <v>948</v>
      </c>
      <c r="G55" s="27" t="s">
        <v>272</v>
      </c>
      <c r="H55" s="27" t="s">
        <v>15</v>
      </c>
      <c r="I55" s="27" t="s">
        <v>92</v>
      </c>
      <c r="J55" s="21"/>
      <c r="K55" s="27" t="s">
        <v>36</v>
      </c>
      <c r="L55" s="27" t="s">
        <v>272</v>
      </c>
      <c r="M55" s="27" t="s">
        <v>15</v>
      </c>
      <c r="N55" s="21"/>
      <c r="O55" s="27" t="s">
        <v>74</v>
      </c>
      <c r="P55" s="27" t="s">
        <v>126</v>
      </c>
      <c r="Q55" s="26" t="s">
        <v>82</v>
      </c>
      <c r="R55" s="21"/>
      <c r="S55" s="21" t="str">
        <f>"500,0"</f>
        <v>500,0</v>
      </c>
      <c r="T55" s="21" t="str">
        <f>"294,3500"</f>
        <v>294,3500</v>
      </c>
      <c r="U55" s="20"/>
    </row>
    <row r="56" spans="1:21">
      <c r="B56" s="5" t="s">
        <v>29</v>
      </c>
    </row>
    <row r="57" spans="1:21" ht="16">
      <c r="A57" s="52" t="s">
        <v>273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</row>
    <row r="58" spans="1:21">
      <c r="A58" s="17" t="s">
        <v>28</v>
      </c>
      <c r="B58" s="16" t="s">
        <v>274</v>
      </c>
      <c r="C58" s="16" t="s">
        <v>275</v>
      </c>
      <c r="D58" s="16" t="s">
        <v>276</v>
      </c>
      <c r="E58" s="16" t="s">
        <v>1042</v>
      </c>
      <c r="F58" s="16" t="s">
        <v>954</v>
      </c>
      <c r="G58" s="22" t="s">
        <v>120</v>
      </c>
      <c r="H58" s="22" t="s">
        <v>80</v>
      </c>
      <c r="I58" s="22" t="s">
        <v>81</v>
      </c>
      <c r="J58" s="17"/>
      <c r="K58" s="22" t="s">
        <v>46</v>
      </c>
      <c r="L58" s="22" t="s">
        <v>48</v>
      </c>
      <c r="M58" s="23" t="s">
        <v>35</v>
      </c>
      <c r="N58" s="17"/>
      <c r="O58" s="22" t="s">
        <v>73</v>
      </c>
      <c r="P58" s="22" t="s">
        <v>81</v>
      </c>
      <c r="Q58" s="22" t="s">
        <v>87</v>
      </c>
      <c r="R58" s="17"/>
      <c r="S58" s="17" t="str">
        <f>"535,0"</f>
        <v>535,0</v>
      </c>
      <c r="T58" s="17" t="str">
        <f>"311,3165"</f>
        <v>311,3165</v>
      </c>
      <c r="U58" s="16" t="s">
        <v>277</v>
      </c>
    </row>
    <row r="59" spans="1:21">
      <c r="A59" s="21" t="s">
        <v>28</v>
      </c>
      <c r="B59" s="20" t="s">
        <v>278</v>
      </c>
      <c r="C59" s="20" t="s">
        <v>835</v>
      </c>
      <c r="D59" s="20" t="s">
        <v>279</v>
      </c>
      <c r="E59" s="20" t="s">
        <v>1045</v>
      </c>
      <c r="F59" s="20" t="s">
        <v>947</v>
      </c>
      <c r="G59" s="27" t="s">
        <v>120</v>
      </c>
      <c r="H59" s="27" t="s">
        <v>80</v>
      </c>
      <c r="I59" s="26" t="s">
        <v>81</v>
      </c>
      <c r="J59" s="21"/>
      <c r="K59" s="27" t="s">
        <v>214</v>
      </c>
      <c r="L59" s="27" t="s">
        <v>272</v>
      </c>
      <c r="M59" s="26" t="s">
        <v>40</v>
      </c>
      <c r="N59" s="21"/>
      <c r="O59" s="27" t="s">
        <v>120</v>
      </c>
      <c r="P59" s="26" t="s">
        <v>80</v>
      </c>
      <c r="Q59" s="27" t="s">
        <v>81</v>
      </c>
      <c r="R59" s="21"/>
      <c r="S59" s="21" t="str">
        <f>"532,5"</f>
        <v>532,5</v>
      </c>
      <c r="T59" s="21" t="str">
        <f>"312,7959"</f>
        <v>312,7959</v>
      </c>
      <c r="U59" s="20" t="s">
        <v>208</v>
      </c>
    </row>
    <row r="60" spans="1:21">
      <c r="B60" s="5" t="s">
        <v>29</v>
      </c>
    </row>
    <row r="63" spans="1:21" ht="18">
      <c r="B63" s="9" t="s">
        <v>19</v>
      </c>
      <c r="C63" s="9"/>
    </row>
    <row r="64" spans="1:21" ht="16">
      <c r="B64" s="10" t="s">
        <v>20</v>
      </c>
      <c r="C64" s="10"/>
    </row>
    <row r="65" spans="1:6" ht="14">
      <c r="B65" s="11"/>
      <c r="C65" s="12" t="s">
        <v>143</v>
      </c>
    </row>
    <row r="66" spans="1:6" ht="14">
      <c r="A66" s="1"/>
      <c r="B66" s="13" t="s">
        <v>22</v>
      </c>
      <c r="C66" s="13" t="s">
        <v>23</v>
      </c>
      <c r="D66" s="13" t="s">
        <v>901</v>
      </c>
      <c r="E66" s="13" t="s">
        <v>25</v>
      </c>
      <c r="F66" s="13" t="s">
        <v>26</v>
      </c>
    </row>
    <row r="67" spans="1:6">
      <c r="A67" s="6"/>
      <c r="B67" s="5" t="s">
        <v>233</v>
      </c>
      <c r="C67" s="5" t="s">
        <v>143</v>
      </c>
      <c r="D67" s="6" t="s">
        <v>283</v>
      </c>
      <c r="E67" s="6" t="s">
        <v>284</v>
      </c>
      <c r="F67" s="6" t="s">
        <v>285</v>
      </c>
    </row>
    <row r="68" spans="1:6">
      <c r="A68" s="6"/>
      <c r="B68" s="5" t="s">
        <v>237</v>
      </c>
      <c r="C68" s="5" t="s">
        <v>143</v>
      </c>
      <c r="D68" s="6" t="s">
        <v>283</v>
      </c>
      <c r="E68" s="6" t="s">
        <v>286</v>
      </c>
      <c r="F68" s="6" t="s">
        <v>287</v>
      </c>
    </row>
    <row r="69" spans="1:6">
      <c r="A69" s="6"/>
      <c r="B69" s="5" t="s">
        <v>257</v>
      </c>
      <c r="C69" s="5" t="s">
        <v>143</v>
      </c>
      <c r="D69" s="6" t="s">
        <v>144</v>
      </c>
      <c r="E69" s="6" t="s">
        <v>288</v>
      </c>
      <c r="F69" s="6" t="s">
        <v>289</v>
      </c>
    </row>
    <row r="70" spans="1:6">
      <c r="B70" s="5" t="s">
        <v>29</v>
      </c>
    </row>
  </sheetData>
  <mergeCells count="26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R5"/>
    <mergeCell ref="B3:B4"/>
    <mergeCell ref="A57:R57"/>
    <mergeCell ref="A8:R8"/>
    <mergeCell ref="A11:R11"/>
    <mergeCell ref="A15:R15"/>
    <mergeCell ref="A19:R19"/>
    <mergeCell ref="A23:R23"/>
    <mergeCell ref="A26:R26"/>
    <mergeCell ref="A29:R29"/>
    <mergeCell ref="A33:R33"/>
    <mergeCell ref="A37:R37"/>
    <mergeCell ref="A47:R47"/>
    <mergeCell ref="A53:R5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M7"/>
  <sheetViews>
    <sheetView workbookViewId="0">
      <selection activeCell="E6" sqref="E6"/>
    </sheetView>
  </sheetViews>
  <sheetFormatPr baseColWidth="10" defaultColWidth="9.1640625" defaultRowHeight="13"/>
  <cols>
    <col min="1" max="1" width="7.5" style="5" bestFit="1" customWidth="1"/>
    <col min="2" max="2" width="23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53" t="s">
        <v>921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6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7"/>
    </row>
    <row r="5" spans="1:13" ht="16">
      <c r="A5" s="48" t="s">
        <v>97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596</v>
      </c>
      <c r="C6" s="7" t="s">
        <v>842</v>
      </c>
      <c r="D6" s="7" t="s">
        <v>597</v>
      </c>
      <c r="E6" s="7" t="s">
        <v>1046</v>
      </c>
      <c r="F6" s="7" t="s">
        <v>960</v>
      </c>
      <c r="G6" s="15" t="s">
        <v>74</v>
      </c>
      <c r="H6" s="15" t="s">
        <v>126</v>
      </c>
      <c r="I6" s="15" t="s">
        <v>82</v>
      </c>
      <c r="J6" s="8"/>
      <c r="K6" s="8" t="str">
        <f>"205,0"</f>
        <v>205,0</v>
      </c>
      <c r="L6" s="8" t="str">
        <f>"171,9724"</f>
        <v>171,9724</v>
      </c>
      <c r="M6" s="7" t="s">
        <v>598</v>
      </c>
    </row>
    <row r="7" spans="1:13">
      <c r="B7" s="5" t="s">
        <v>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53" t="s">
        <v>922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6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7"/>
    </row>
    <row r="5" spans="1:13" ht="16">
      <c r="A5" s="48" t="s">
        <v>42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683</v>
      </c>
      <c r="C6" s="7" t="s">
        <v>684</v>
      </c>
      <c r="D6" s="7" t="s">
        <v>685</v>
      </c>
      <c r="E6" s="7" t="s">
        <v>1042</v>
      </c>
      <c r="F6" s="7" t="s">
        <v>986</v>
      </c>
      <c r="G6" s="15" t="s">
        <v>81</v>
      </c>
      <c r="H6" s="14" t="s">
        <v>17</v>
      </c>
      <c r="I6" s="14" t="s">
        <v>17</v>
      </c>
      <c r="J6" s="8"/>
      <c r="K6" s="8" t="str">
        <f>"200,0"</f>
        <v>200,0</v>
      </c>
      <c r="L6" s="8" t="str">
        <f>"129,5000"</f>
        <v>129,5000</v>
      </c>
      <c r="M6" s="7"/>
    </row>
    <row r="7" spans="1:13">
      <c r="B7" s="5" t="s">
        <v>29</v>
      </c>
    </row>
    <row r="8" spans="1:13" ht="16">
      <c r="A8" s="52" t="s">
        <v>354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28</v>
      </c>
      <c r="B9" s="7" t="s">
        <v>355</v>
      </c>
      <c r="C9" s="7" t="s">
        <v>356</v>
      </c>
      <c r="D9" s="7" t="s">
        <v>357</v>
      </c>
      <c r="E9" s="7" t="s">
        <v>1042</v>
      </c>
      <c r="F9" s="7" t="s">
        <v>947</v>
      </c>
      <c r="G9" s="15" t="s">
        <v>57</v>
      </c>
      <c r="H9" s="15" t="s">
        <v>111</v>
      </c>
      <c r="I9" s="15" t="s">
        <v>118</v>
      </c>
      <c r="J9" s="8"/>
      <c r="K9" s="8" t="str">
        <f>"290,0"</f>
        <v>290,0</v>
      </c>
      <c r="L9" s="8" t="str">
        <f>"164,8360"</f>
        <v>164,8360</v>
      </c>
      <c r="M9" s="7"/>
    </row>
    <row r="10" spans="1:13">
      <c r="B10" s="5" t="s">
        <v>29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31" bestFit="1" customWidth="1"/>
    <col min="12" max="12" width="8.5" style="6" bestFit="1" customWidth="1"/>
    <col min="13" max="13" width="23.83203125" style="5" customWidth="1"/>
    <col min="14" max="16384" width="9.1640625" style="3"/>
  </cols>
  <sheetData>
    <row r="1" spans="1:13" s="2" customFormat="1" ht="29" customHeight="1">
      <c r="A1" s="53" t="s">
        <v>923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6</v>
      </c>
      <c r="H3" s="65"/>
      <c r="I3" s="65"/>
      <c r="J3" s="65"/>
      <c r="K3" s="68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9"/>
      <c r="L4" s="64"/>
      <c r="M4" s="67"/>
    </row>
    <row r="5" spans="1:13" ht="16">
      <c r="A5" s="48" t="s">
        <v>97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307</v>
      </c>
      <c r="C6" s="7" t="s">
        <v>308</v>
      </c>
      <c r="D6" s="7" t="s">
        <v>309</v>
      </c>
      <c r="E6" s="7" t="s">
        <v>1042</v>
      </c>
      <c r="F6" s="7" t="s">
        <v>977</v>
      </c>
      <c r="G6" s="14" t="s">
        <v>78</v>
      </c>
      <c r="H6" s="15" t="s">
        <v>78</v>
      </c>
      <c r="I6" s="15" t="s">
        <v>111</v>
      </c>
      <c r="J6" s="8"/>
      <c r="K6" s="32" t="str">
        <f>"280,0"</f>
        <v>280,0</v>
      </c>
      <c r="L6" s="8" t="str">
        <f>"172,9560"</f>
        <v>172,9560</v>
      </c>
      <c r="M6" s="7" t="s">
        <v>88</v>
      </c>
    </row>
    <row r="7" spans="1:13">
      <c r="B7" s="5" t="s">
        <v>29</v>
      </c>
    </row>
    <row r="8" spans="1:13" ht="16">
      <c r="A8" s="52" t="s">
        <v>273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151</v>
      </c>
      <c r="B9" s="7" t="s">
        <v>681</v>
      </c>
      <c r="C9" s="7" t="s">
        <v>843</v>
      </c>
      <c r="D9" s="7" t="s">
        <v>682</v>
      </c>
      <c r="E9" s="7" t="s">
        <v>1045</v>
      </c>
      <c r="F9" s="7" t="s">
        <v>948</v>
      </c>
      <c r="G9" s="14" t="s">
        <v>112</v>
      </c>
      <c r="H9" s="14" t="s">
        <v>113</v>
      </c>
      <c r="I9" s="14" t="s">
        <v>113</v>
      </c>
      <c r="J9" s="8"/>
      <c r="K9" s="32">
        <v>0</v>
      </c>
      <c r="L9" s="8" t="str">
        <f>"0,0000"</f>
        <v>0,0000</v>
      </c>
      <c r="M9" s="7"/>
    </row>
    <row r="10" spans="1:13">
      <c r="B10" s="5" t="s">
        <v>29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/>
  <dimension ref="A1:M100"/>
  <sheetViews>
    <sheetView topLeftCell="A56" workbookViewId="0">
      <selection activeCell="J75" sqref="J75"/>
    </sheetView>
  </sheetViews>
  <sheetFormatPr baseColWidth="10" defaultColWidth="9.1640625" defaultRowHeight="13"/>
  <cols>
    <col min="1" max="1" width="7.5" style="6" bestFit="1" customWidth="1"/>
    <col min="2" max="2" width="20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0" width="5.5" style="6" customWidth="1"/>
    <col min="11" max="11" width="10.5" style="31" bestFit="1" customWidth="1"/>
    <col min="12" max="12" width="8.5" style="6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53" t="s">
        <v>924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8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9"/>
      <c r="L4" s="64"/>
      <c r="M4" s="67"/>
    </row>
    <row r="5" spans="1:13" ht="16">
      <c r="A5" s="48" t="s">
        <v>156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157</v>
      </c>
      <c r="C6" s="7" t="s">
        <v>158</v>
      </c>
      <c r="D6" s="7" t="s">
        <v>159</v>
      </c>
      <c r="E6" s="7" t="s">
        <v>1042</v>
      </c>
      <c r="F6" s="7" t="s">
        <v>945</v>
      </c>
      <c r="G6" s="14" t="s">
        <v>162</v>
      </c>
      <c r="H6" s="15" t="s">
        <v>162</v>
      </c>
      <c r="I6" s="14" t="s">
        <v>163</v>
      </c>
      <c r="J6" s="8"/>
      <c r="K6" s="32" t="str">
        <f>"62,5"</f>
        <v>62,5</v>
      </c>
      <c r="L6" s="8" t="str">
        <f>"89,8812"</f>
        <v>89,8812</v>
      </c>
      <c r="M6" s="7" t="s">
        <v>166</v>
      </c>
    </row>
    <row r="7" spans="1:13">
      <c r="B7" s="5" t="s">
        <v>29</v>
      </c>
    </row>
    <row r="8" spans="1:13" ht="16">
      <c r="A8" s="52" t="s">
        <v>426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7" t="s">
        <v>28</v>
      </c>
      <c r="B9" s="16" t="s">
        <v>427</v>
      </c>
      <c r="C9" s="16" t="s">
        <v>845</v>
      </c>
      <c r="D9" s="16" t="s">
        <v>428</v>
      </c>
      <c r="E9" s="16" t="s">
        <v>1044</v>
      </c>
      <c r="F9" s="16" t="s">
        <v>429</v>
      </c>
      <c r="G9" s="22" t="s">
        <v>188</v>
      </c>
      <c r="H9" s="23" t="s">
        <v>189</v>
      </c>
      <c r="I9" s="23" t="s">
        <v>189</v>
      </c>
      <c r="J9" s="17"/>
      <c r="K9" s="33" t="str">
        <f>"50,0"</f>
        <v>50,0</v>
      </c>
      <c r="L9" s="17" t="str">
        <f>"66,3250"</f>
        <v>66,3250</v>
      </c>
      <c r="M9" s="16" t="s">
        <v>430</v>
      </c>
    </row>
    <row r="10" spans="1:13">
      <c r="A10" s="21" t="s">
        <v>28</v>
      </c>
      <c r="B10" s="20" t="s">
        <v>431</v>
      </c>
      <c r="C10" s="20" t="s">
        <v>432</v>
      </c>
      <c r="D10" s="20" t="s">
        <v>433</v>
      </c>
      <c r="E10" s="20" t="s">
        <v>1042</v>
      </c>
      <c r="F10" s="20" t="s">
        <v>947</v>
      </c>
      <c r="G10" s="27" t="s">
        <v>172</v>
      </c>
      <c r="H10" s="27" t="s">
        <v>160</v>
      </c>
      <c r="I10" s="26" t="s">
        <v>161</v>
      </c>
      <c r="J10" s="21"/>
      <c r="K10" s="35" t="str">
        <f>"75,0"</f>
        <v>75,0</v>
      </c>
      <c r="L10" s="21" t="str">
        <f>"101,0250"</f>
        <v>101,0250</v>
      </c>
      <c r="M10" s="20" t="s">
        <v>434</v>
      </c>
    </row>
    <row r="11" spans="1:13">
      <c r="B11" s="5" t="s">
        <v>29</v>
      </c>
    </row>
    <row r="12" spans="1:13" ht="16">
      <c r="A12" s="52" t="s">
        <v>167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8" t="s">
        <v>28</v>
      </c>
      <c r="B13" s="7" t="s">
        <v>435</v>
      </c>
      <c r="C13" s="7" t="s">
        <v>436</v>
      </c>
      <c r="D13" s="7" t="s">
        <v>437</v>
      </c>
      <c r="E13" s="7" t="s">
        <v>1042</v>
      </c>
      <c r="F13" s="7" t="s">
        <v>987</v>
      </c>
      <c r="G13" s="15" t="s">
        <v>337</v>
      </c>
      <c r="H13" s="15" t="s">
        <v>188</v>
      </c>
      <c r="I13" s="14" t="s">
        <v>195</v>
      </c>
      <c r="J13" s="8"/>
      <c r="K13" s="32" t="str">
        <f>"50,0"</f>
        <v>50,0</v>
      </c>
      <c r="L13" s="8" t="str">
        <f>"62,6100"</f>
        <v>62,6100</v>
      </c>
      <c r="M13" s="7" t="s">
        <v>907</v>
      </c>
    </row>
    <row r="14" spans="1:13">
      <c r="B14" s="5" t="s">
        <v>29</v>
      </c>
    </row>
    <row r="15" spans="1:13" ht="16">
      <c r="A15" s="52" t="s">
        <v>177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3">
      <c r="A16" s="17" t="s">
        <v>28</v>
      </c>
      <c r="B16" s="16" t="s">
        <v>178</v>
      </c>
      <c r="C16" s="16" t="s">
        <v>179</v>
      </c>
      <c r="D16" s="16" t="s">
        <v>180</v>
      </c>
      <c r="E16" s="16" t="s">
        <v>1042</v>
      </c>
      <c r="F16" s="16" t="s">
        <v>947</v>
      </c>
      <c r="G16" s="22" t="s">
        <v>160</v>
      </c>
      <c r="H16" s="22" t="s">
        <v>49</v>
      </c>
      <c r="I16" s="23" t="s">
        <v>37</v>
      </c>
      <c r="J16" s="17"/>
      <c r="K16" s="33" t="str">
        <f>"80,0"</f>
        <v>80,0</v>
      </c>
      <c r="L16" s="17" t="str">
        <f>"95,7360"</f>
        <v>95,7360</v>
      </c>
      <c r="M16" s="16" t="s">
        <v>183</v>
      </c>
    </row>
    <row r="17" spans="1:13">
      <c r="A17" s="19" t="s">
        <v>152</v>
      </c>
      <c r="B17" s="18" t="s">
        <v>439</v>
      </c>
      <c r="C17" s="18" t="s">
        <v>440</v>
      </c>
      <c r="D17" s="18" t="s">
        <v>441</v>
      </c>
      <c r="E17" s="16" t="s">
        <v>1042</v>
      </c>
      <c r="F17" s="18" t="s">
        <v>988</v>
      </c>
      <c r="G17" s="24" t="s">
        <v>176</v>
      </c>
      <c r="H17" s="24" t="s">
        <v>162</v>
      </c>
      <c r="I17" s="24" t="s">
        <v>163</v>
      </c>
      <c r="J17" s="19"/>
      <c r="K17" s="34" t="str">
        <f>"65,0"</f>
        <v>65,0</v>
      </c>
      <c r="L17" s="19" t="str">
        <f>"77,6750"</f>
        <v>77,6750</v>
      </c>
      <c r="M17" s="18" t="s">
        <v>442</v>
      </c>
    </row>
    <row r="18" spans="1:13">
      <c r="A18" s="19" t="s">
        <v>153</v>
      </c>
      <c r="B18" s="18" t="s">
        <v>443</v>
      </c>
      <c r="C18" s="18" t="s">
        <v>444</v>
      </c>
      <c r="D18" s="18" t="s">
        <v>445</v>
      </c>
      <c r="E18" s="16" t="s">
        <v>1042</v>
      </c>
      <c r="F18" s="18" t="s">
        <v>989</v>
      </c>
      <c r="G18" s="24" t="s">
        <v>189</v>
      </c>
      <c r="H18" s="24" t="s">
        <v>162</v>
      </c>
      <c r="I18" s="25" t="s">
        <v>163</v>
      </c>
      <c r="J18" s="19"/>
      <c r="K18" s="34" t="str">
        <f>"62,5"</f>
        <v>62,5</v>
      </c>
      <c r="L18" s="19" t="str">
        <f>"76,6625"</f>
        <v>76,6625</v>
      </c>
      <c r="M18" s="18"/>
    </row>
    <row r="19" spans="1:13">
      <c r="A19" s="21" t="s">
        <v>151</v>
      </c>
      <c r="B19" s="20" t="s">
        <v>446</v>
      </c>
      <c r="C19" s="20" t="s">
        <v>447</v>
      </c>
      <c r="D19" s="20" t="s">
        <v>448</v>
      </c>
      <c r="E19" s="16" t="s">
        <v>1042</v>
      </c>
      <c r="F19" s="20" t="s">
        <v>947</v>
      </c>
      <c r="G19" s="26" t="s">
        <v>162</v>
      </c>
      <c r="H19" s="26" t="s">
        <v>162</v>
      </c>
      <c r="I19" s="26" t="s">
        <v>162</v>
      </c>
      <c r="J19" s="21"/>
      <c r="K19" s="35">
        <v>0</v>
      </c>
      <c r="L19" s="21" t="str">
        <f>"0,0000"</f>
        <v>0,0000</v>
      </c>
      <c r="M19" s="20" t="s">
        <v>449</v>
      </c>
    </row>
    <row r="20" spans="1:13">
      <c r="B20" s="5" t="s">
        <v>29</v>
      </c>
    </row>
    <row r="21" spans="1:13" ht="16">
      <c r="A21" s="52" t="s">
        <v>30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3">
      <c r="A22" s="8" t="s">
        <v>28</v>
      </c>
      <c r="B22" s="7" t="s">
        <v>450</v>
      </c>
      <c r="C22" s="7" t="s">
        <v>451</v>
      </c>
      <c r="D22" s="7" t="s">
        <v>452</v>
      </c>
      <c r="E22" s="7" t="s">
        <v>1042</v>
      </c>
      <c r="F22" s="7" t="s">
        <v>990</v>
      </c>
      <c r="G22" s="15" t="s">
        <v>187</v>
      </c>
      <c r="H22" s="15" t="s">
        <v>161</v>
      </c>
      <c r="I22" s="14" t="s">
        <v>194</v>
      </c>
      <c r="J22" s="8"/>
      <c r="K22" s="32" t="str">
        <f>"77,5"</f>
        <v>77,5</v>
      </c>
      <c r="L22" s="8" t="str">
        <f>"82,2508"</f>
        <v>82,2508</v>
      </c>
      <c r="M22" s="7" t="s">
        <v>453</v>
      </c>
    </row>
    <row r="23" spans="1:13">
      <c r="B23" s="5" t="s">
        <v>29</v>
      </c>
    </row>
    <row r="24" spans="1:13" ht="16">
      <c r="A24" s="52" t="s">
        <v>200</v>
      </c>
      <c r="B24" s="52"/>
      <c r="C24" s="52"/>
      <c r="D24" s="52"/>
      <c r="E24" s="52"/>
      <c r="F24" s="52"/>
      <c r="G24" s="52"/>
      <c r="H24" s="52"/>
      <c r="I24" s="52"/>
      <c r="J24" s="52"/>
    </row>
    <row r="25" spans="1:13">
      <c r="A25" s="8" t="s">
        <v>28</v>
      </c>
      <c r="B25" s="7" t="s">
        <v>454</v>
      </c>
      <c r="C25" s="7" t="s">
        <v>455</v>
      </c>
      <c r="D25" s="7" t="s">
        <v>456</v>
      </c>
      <c r="E25" s="7" t="s">
        <v>1042</v>
      </c>
      <c r="F25" s="7" t="s">
        <v>954</v>
      </c>
      <c r="G25" s="15" t="s">
        <v>188</v>
      </c>
      <c r="H25" s="15" t="s">
        <v>189</v>
      </c>
      <c r="I25" s="14" t="s">
        <v>190</v>
      </c>
      <c r="J25" s="8"/>
      <c r="K25" s="32" t="str">
        <f>"55,0"</f>
        <v>55,0</v>
      </c>
      <c r="L25" s="8" t="str">
        <f>"54,0870"</f>
        <v>54,0870</v>
      </c>
      <c r="M25" s="7" t="s">
        <v>277</v>
      </c>
    </row>
    <row r="26" spans="1:13">
      <c r="B26" s="5" t="s">
        <v>29</v>
      </c>
    </row>
    <row r="27" spans="1:13" ht="16">
      <c r="A27" s="52" t="s">
        <v>42</v>
      </c>
      <c r="B27" s="52"/>
      <c r="C27" s="52"/>
      <c r="D27" s="52"/>
      <c r="E27" s="52"/>
      <c r="F27" s="52"/>
      <c r="G27" s="52"/>
      <c r="H27" s="52"/>
      <c r="I27" s="52"/>
      <c r="J27" s="52"/>
    </row>
    <row r="28" spans="1:13">
      <c r="A28" s="8" t="s">
        <v>28</v>
      </c>
      <c r="B28" s="7" t="s">
        <v>457</v>
      </c>
      <c r="C28" s="7" t="s">
        <v>458</v>
      </c>
      <c r="D28" s="7" t="s">
        <v>459</v>
      </c>
      <c r="E28" s="7" t="s">
        <v>1042</v>
      </c>
      <c r="F28" s="7" t="s">
        <v>954</v>
      </c>
      <c r="G28" s="15" t="s">
        <v>188</v>
      </c>
      <c r="H28" s="15" t="s">
        <v>189</v>
      </c>
      <c r="I28" s="14" t="s">
        <v>190</v>
      </c>
      <c r="J28" s="8"/>
      <c r="K28" s="32" t="str">
        <f>"55,0"</f>
        <v>55,0</v>
      </c>
      <c r="L28" s="8" t="str">
        <f>"48,2295"</f>
        <v>48,2295</v>
      </c>
      <c r="M28" s="7" t="s">
        <v>277</v>
      </c>
    </row>
    <row r="29" spans="1:13">
      <c r="B29" s="5" t="s">
        <v>29</v>
      </c>
    </row>
    <row r="30" spans="1:13" ht="16">
      <c r="A30" s="52" t="s">
        <v>177</v>
      </c>
      <c r="B30" s="52"/>
      <c r="C30" s="52"/>
      <c r="D30" s="52"/>
      <c r="E30" s="52"/>
      <c r="F30" s="52"/>
      <c r="G30" s="52"/>
      <c r="H30" s="52"/>
      <c r="I30" s="52"/>
      <c r="J30" s="52"/>
    </row>
    <row r="31" spans="1:13">
      <c r="A31" s="8" t="s">
        <v>28</v>
      </c>
      <c r="B31" s="7" t="s">
        <v>460</v>
      </c>
      <c r="C31" s="7" t="s">
        <v>846</v>
      </c>
      <c r="D31" s="7" t="s">
        <v>461</v>
      </c>
      <c r="E31" s="7" t="s">
        <v>1044</v>
      </c>
      <c r="F31" s="7" t="s">
        <v>462</v>
      </c>
      <c r="G31" s="15" t="s">
        <v>165</v>
      </c>
      <c r="H31" s="15" t="s">
        <v>204</v>
      </c>
      <c r="I31" s="15" t="s">
        <v>182</v>
      </c>
      <c r="J31" s="8"/>
      <c r="K31" s="32" t="str">
        <f>"112,5"</f>
        <v>112,5</v>
      </c>
      <c r="L31" s="8" t="str">
        <f>"106,9875"</f>
        <v>106,9875</v>
      </c>
      <c r="M31" s="7" t="s">
        <v>906</v>
      </c>
    </row>
    <row r="32" spans="1:13">
      <c r="B32" s="5" t="s">
        <v>29</v>
      </c>
    </row>
    <row r="33" spans="1:13" ht="16">
      <c r="A33" s="52" t="s">
        <v>30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13">
      <c r="A34" s="8" t="s">
        <v>28</v>
      </c>
      <c r="B34" s="7" t="s">
        <v>463</v>
      </c>
      <c r="C34" s="7" t="s">
        <v>464</v>
      </c>
      <c r="D34" s="7" t="s">
        <v>364</v>
      </c>
      <c r="E34" s="7" t="s">
        <v>1043</v>
      </c>
      <c r="F34" s="7" t="s">
        <v>991</v>
      </c>
      <c r="G34" s="15" t="s">
        <v>38</v>
      </c>
      <c r="H34" s="14" t="s">
        <v>196</v>
      </c>
      <c r="I34" s="14" t="s">
        <v>196</v>
      </c>
      <c r="J34" s="8"/>
      <c r="K34" s="32" t="str">
        <f>"87,5"</f>
        <v>87,5</v>
      </c>
      <c r="L34" s="8" t="str">
        <f>"67,4625"</f>
        <v>67,4625</v>
      </c>
      <c r="M34" s="7" t="s">
        <v>465</v>
      </c>
    </row>
    <row r="35" spans="1:13">
      <c r="B35" s="5" t="s">
        <v>29</v>
      </c>
    </row>
    <row r="36" spans="1:13" ht="16">
      <c r="A36" s="52" t="s">
        <v>200</v>
      </c>
      <c r="B36" s="52"/>
      <c r="C36" s="52"/>
      <c r="D36" s="52"/>
      <c r="E36" s="52"/>
      <c r="F36" s="52"/>
      <c r="G36" s="52"/>
      <c r="H36" s="52"/>
      <c r="I36" s="52"/>
      <c r="J36" s="52"/>
    </row>
    <row r="37" spans="1:13">
      <c r="A37" s="17" t="s">
        <v>28</v>
      </c>
      <c r="B37" s="16" t="s">
        <v>466</v>
      </c>
      <c r="C37" s="16" t="s">
        <v>847</v>
      </c>
      <c r="D37" s="16" t="s">
        <v>467</v>
      </c>
      <c r="E37" s="16" t="s">
        <v>1044</v>
      </c>
      <c r="F37" s="16" t="s">
        <v>992</v>
      </c>
      <c r="G37" s="23" t="s">
        <v>46</v>
      </c>
      <c r="H37" s="22" t="s">
        <v>468</v>
      </c>
      <c r="I37" s="23" t="s">
        <v>222</v>
      </c>
      <c r="J37" s="17"/>
      <c r="K37" s="33" t="str">
        <f>"117,5"</f>
        <v>117,5</v>
      </c>
      <c r="L37" s="17" t="str">
        <f>"88,0545"</f>
        <v>88,0545</v>
      </c>
      <c r="M37" s="16"/>
    </row>
    <row r="38" spans="1:13">
      <c r="A38" s="19" t="s">
        <v>28</v>
      </c>
      <c r="B38" s="18" t="s">
        <v>469</v>
      </c>
      <c r="C38" s="18" t="s">
        <v>470</v>
      </c>
      <c r="D38" s="18" t="s">
        <v>471</v>
      </c>
      <c r="E38" s="18" t="s">
        <v>1042</v>
      </c>
      <c r="F38" s="18" t="s">
        <v>947</v>
      </c>
      <c r="G38" s="24" t="s">
        <v>34</v>
      </c>
      <c r="H38" s="24" t="s">
        <v>35</v>
      </c>
      <c r="I38" s="24" t="s">
        <v>36</v>
      </c>
      <c r="J38" s="19"/>
      <c r="K38" s="34" t="str">
        <f>"135,0"</f>
        <v>135,0</v>
      </c>
      <c r="L38" s="19" t="str">
        <f>"97,4835"</f>
        <v>97,4835</v>
      </c>
      <c r="M38" s="18"/>
    </row>
    <row r="39" spans="1:13">
      <c r="A39" s="19" t="s">
        <v>152</v>
      </c>
      <c r="B39" s="18" t="s">
        <v>472</v>
      </c>
      <c r="C39" s="18" t="s">
        <v>473</v>
      </c>
      <c r="D39" s="18" t="s">
        <v>474</v>
      </c>
      <c r="E39" s="18" t="s">
        <v>1042</v>
      </c>
      <c r="F39" s="18" t="s">
        <v>993</v>
      </c>
      <c r="G39" s="24" t="s">
        <v>48</v>
      </c>
      <c r="H39" s="25" t="s">
        <v>34</v>
      </c>
      <c r="I39" s="24" t="s">
        <v>34</v>
      </c>
      <c r="J39" s="19"/>
      <c r="K39" s="34" t="str">
        <f>"125,0"</f>
        <v>125,0</v>
      </c>
      <c r="L39" s="19" t="str">
        <f>"89,6625"</f>
        <v>89,6625</v>
      </c>
      <c r="M39" s="18"/>
    </row>
    <row r="40" spans="1:13">
      <c r="A40" s="19" t="s">
        <v>153</v>
      </c>
      <c r="B40" s="18" t="s">
        <v>475</v>
      </c>
      <c r="C40" s="18" t="s">
        <v>476</v>
      </c>
      <c r="D40" s="18" t="s">
        <v>477</v>
      </c>
      <c r="E40" s="18" t="s">
        <v>1042</v>
      </c>
      <c r="F40" s="18" t="s">
        <v>981</v>
      </c>
      <c r="G40" s="24" t="s">
        <v>47</v>
      </c>
      <c r="H40" s="25" t="s">
        <v>48</v>
      </c>
      <c r="I40" s="24" t="s">
        <v>48</v>
      </c>
      <c r="J40" s="19"/>
      <c r="K40" s="34" t="str">
        <f>"120,0"</f>
        <v>120,0</v>
      </c>
      <c r="L40" s="19" t="str">
        <f>"87,5160"</f>
        <v>87,5160</v>
      </c>
      <c r="M40" s="18"/>
    </row>
    <row r="41" spans="1:13">
      <c r="A41" s="19" t="s">
        <v>28</v>
      </c>
      <c r="B41" s="18" t="s">
        <v>469</v>
      </c>
      <c r="C41" s="18" t="s">
        <v>848</v>
      </c>
      <c r="D41" s="18" t="s">
        <v>471</v>
      </c>
      <c r="E41" s="18" t="s">
        <v>1048</v>
      </c>
      <c r="F41" s="18" t="s">
        <v>947</v>
      </c>
      <c r="G41" s="24" t="s">
        <v>34</v>
      </c>
      <c r="H41" s="24" t="s">
        <v>35</v>
      </c>
      <c r="I41" s="24" t="s">
        <v>36</v>
      </c>
      <c r="J41" s="19"/>
      <c r="K41" s="34" t="str">
        <f>"135,0"</f>
        <v>135,0</v>
      </c>
      <c r="L41" s="19" t="str">
        <f>"110,3513"</f>
        <v>110,3513</v>
      </c>
      <c r="M41" s="18"/>
    </row>
    <row r="42" spans="1:13">
      <c r="A42" s="21" t="s">
        <v>28</v>
      </c>
      <c r="B42" s="20" t="s">
        <v>478</v>
      </c>
      <c r="C42" s="20" t="s">
        <v>849</v>
      </c>
      <c r="D42" s="20" t="s">
        <v>474</v>
      </c>
      <c r="E42" s="20" t="s">
        <v>1047</v>
      </c>
      <c r="F42" s="20" t="s">
        <v>994</v>
      </c>
      <c r="G42" s="27" t="s">
        <v>34</v>
      </c>
      <c r="H42" s="27" t="s">
        <v>35</v>
      </c>
      <c r="I42" s="26" t="s">
        <v>36</v>
      </c>
      <c r="J42" s="21"/>
      <c r="K42" s="35" t="str">
        <f>"130,0"</f>
        <v>130,0</v>
      </c>
      <c r="L42" s="21" t="str">
        <f>"107,2363"</f>
        <v>107,2363</v>
      </c>
      <c r="M42" s="20"/>
    </row>
    <row r="43" spans="1:13">
      <c r="B43" s="5" t="s">
        <v>29</v>
      </c>
    </row>
    <row r="44" spans="1:13" ht="16">
      <c r="A44" s="52" t="s">
        <v>51</v>
      </c>
      <c r="B44" s="52"/>
      <c r="C44" s="52"/>
      <c r="D44" s="52"/>
      <c r="E44" s="52"/>
      <c r="F44" s="52"/>
      <c r="G44" s="52"/>
      <c r="H44" s="52"/>
      <c r="I44" s="52"/>
      <c r="J44" s="52"/>
    </row>
    <row r="45" spans="1:13">
      <c r="A45" s="17" t="s">
        <v>28</v>
      </c>
      <c r="B45" s="16" t="s">
        <v>479</v>
      </c>
      <c r="C45" s="16" t="s">
        <v>850</v>
      </c>
      <c r="D45" s="16" t="s">
        <v>480</v>
      </c>
      <c r="E45" s="16" t="s">
        <v>1044</v>
      </c>
      <c r="F45" s="16" t="s">
        <v>963</v>
      </c>
      <c r="G45" s="22" t="s">
        <v>40</v>
      </c>
      <c r="H45" s="23" t="s">
        <v>67</v>
      </c>
      <c r="I45" s="22" t="s">
        <v>67</v>
      </c>
      <c r="J45" s="17"/>
      <c r="K45" s="33" t="str">
        <f>"147,5"</f>
        <v>147,5</v>
      </c>
      <c r="L45" s="17" t="str">
        <f>"100,4623"</f>
        <v>100,4623</v>
      </c>
      <c r="M45" s="16" t="s">
        <v>481</v>
      </c>
    </row>
    <row r="46" spans="1:13">
      <c r="A46" s="19" t="s">
        <v>28</v>
      </c>
      <c r="B46" s="18" t="s">
        <v>482</v>
      </c>
      <c r="C46" s="18" t="s">
        <v>483</v>
      </c>
      <c r="D46" s="18" t="s">
        <v>484</v>
      </c>
      <c r="E46" s="18" t="s">
        <v>1042</v>
      </c>
      <c r="F46" s="18" t="s">
        <v>995</v>
      </c>
      <c r="G46" s="24" t="s">
        <v>74</v>
      </c>
      <c r="H46" s="24" t="s">
        <v>485</v>
      </c>
      <c r="I46" s="25" t="s">
        <v>486</v>
      </c>
      <c r="J46" s="19"/>
      <c r="K46" s="34" t="str">
        <f>"192,5"</f>
        <v>192,5</v>
      </c>
      <c r="L46" s="19" t="str">
        <f>"135,3082"</f>
        <v>135,3082</v>
      </c>
      <c r="M46" s="18" t="s">
        <v>908</v>
      </c>
    </row>
    <row r="47" spans="1:13">
      <c r="A47" s="19" t="s">
        <v>152</v>
      </c>
      <c r="B47" s="18" t="s">
        <v>487</v>
      </c>
      <c r="C47" s="18" t="s">
        <v>488</v>
      </c>
      <c r="D47" s="18" t="s">
        <v>489</v>
      </c>
      <c r="E47" s="18" t="s">
        <v>1042</v>
      </c>
      <c r="F47" s="18" t="s">
        <v>996</v>
      </c>
      <c r="G47" s="24" t="s">
        <v>214</v>
      </c>
      <c r="H47" s="24" t="s">
        <v>40</v>
      </c>
      <c r="I47" s="25" t="s">
        <v>67</v>
      </c>
      <c r="J47" s="19"/>
      <c r="K47" s="34" t="str">
        <f>"145,0"</f>
        <v>145,0</v>
      </c>
      <c r="L47" s="19" t="str">
        <f>"98,8320"</f>
        <v>98,8320</v>
      </c>
      <c r="M47" s="18"/>
    </row>
    <row r="48" spans="1:13">
      <c r="A48" s="19" t="s">
        <v>153</v>
      </c>
      <c r="B48" s="18" t="s">
        <v>490</v>
      </c>
      <c r="C48" s="18" t="s">
        <v>491</v>
      </c>
      <c r="D48" s="18" t="s">
        <v>492</v>
      </c>
      <c r="E48" s="18" t="s">
        <v>1042</v>
      </c>
      <c r="F48" s="18" t="s">
        <v>947</v>
      </c>
      <c r="G48" s="25" t="s">
        <v>55</v>
      </c>
      <c r="H48" s="24" t="s">
        <v>214</v>
      </c>
      <c r="I48" s="24" t="s">
        <v>40</v>
      </c>
      <c r="J48" s="19"/>
      <c r="K48" s="34" t="str">
        <f>"145,0"</f>
        <v>145,0</v>
      </c>
      <c r="L48" s="19" t="str">
        <f>"97,6430"</f>
        <v>97,6430</v>
      </c>
      <c r="M48" s="18"/>
    </row>
    <row r="49" spans="1:13">
      <c r="A49" s="19" t="s">
        <v>154</v>
      </c>
      <c r="B49" s="18" t="s">
        <v>493</v>
      </c>
      <c r="C49" s="18" t="s">
        <v>494</v>
      </c>
      <c r="D49" s="18" t="s">
        <v>345</v>
      </c>
      <c r="E49" s="18" t="s">
        <v>1042</v>
      </c>
      <c r="F49" s="18" t="s">
        <v>987</v>
      </c>
      <c r="G49" s="24" t="s">
        <v>34</v>
      </c>
      <c r="H49" s="24" t="s">
        <v>222</v>
      </c>
      <c r="I49" s="24" t="s">
        <v>35</v>
      </c>
      <c r="J49" s="19"/>
      <c r="K49" s="34" t="str">
        <f>"130,0"</f>
        <v>130,0</v>
      </c>
      <c r="L49" s="19" t="str">
        <f>"87,6720"</f>
        <v>87,6720</v>
      </c>
      <c r="M49" s="18" t="s">
        <v>907</v>
      </c>
    </row>
    <row r="50" spans="1:13">
      <c r="A50" s="21" t="s">
        <v>151</v>
      </c>
      <c r="B50" s="20" t="s">
        <v>495</v>
      </c>
      <c r="C50" s="20" t="s">
        <v>496</v>
      </c>
      <c r="D50" s="20" t="s">
        <v>497</v>
      </c>
      <c r="E50" s="18" t="s">
        <v>1042</v>
      </c>
      <c r="F50" s="20" t="s">
        <v>997</v>
      </c>
      <c r="G50" s="26" t="s">
        <v>56</v>
      </c>
      <c r="H50" s="26" t="s">
        <v>56</v>
      </c>
      <c r="I50" s="26" t="s">
        <v>56</v>
      </c>
      <c r="J50" s="21"/>
      <c r="K50" s="35">
        <v>0</v>
      </c>
      <c r="L50" s="21" t="str">
        <f>"0,0000"</f>
        <v>0,0000</v>
      </c>
      <c r="M50" s="20"/>
    </row>
    <row r="51" spans="1:13">
      <c r="B51" s="5" t="s">
        <v>29</v>
      </c>
    </row>
    <row r="52" spans="1:13" ht="16">
      <c r="A52" s="52" t="s">
        <v>42</v>
      </c>
      <c r="B52" s="52"/>
      <c r="C52" s="52"/>
      <c r="D52" s="52"/>
      <c r="E52" s="52"/>
      <c r="F52" s="52"/>
      <c r="G52" s="52"/>
      <c r="H52" s="52"/>
      <c r="I52" s="52"/>
      <c r="J52" s="52"/>
    </row>
    <row r="53" spans="1:13">
      <c r="A53" s="17" t="s">
        <v>28</v>
      </c>
      <c r="B53" s="16" t="s">
        <v>498</v>
      </c>
      <c r="C53" s="16" t="s">
        <v>499</v>
      </c>
      <c r="D53" s="16" t="s">
        <v>500</v>
      </c>
      <c r="E53" s="16" t="s">
        <v>1042</v>
      </c>
      <c r="F53" s="16" t="s">
        <v>998</v>
      </c>
      <c r="G53" s="22" t="s">
        <v>80</v>
      </c>
      <c r="H53" s="22" t="s">
        <v>126</v>
      </c>
      <c r="I53" s="17"/>
      <c r="J53" s="17"/>
      <c r="K53" s="33" t="str">
        <f>"195,0"</f>
        <v>195,0</v>
      </c>
      <c r="L53" s="17" t="str">
        <f>"124,7610"</f>
        <v>124,7610</v>
      </c>
      <c r="M53" s="16" t="s">
        <v>501</v>
      </c>
    </row>
    <row r="54" spans="1:13">
      <c r="A54" s="19" t="s">
        <v>152</v>
      </c>
      <c r="B54" s="18" t="s">
        <v>502</v>
      </c>
      <c r="C54" s="18" t="s">
        <v>503</v>
      </c>
      <c r="D54" s="18" t="s">
        <v>235</v>
      </c>
      <c r="E54" s="16" t="s">
        <v>1042</v>
      </c>
      <c r="F54" s="18" t="s">
        <v>947</v>
      </c>
      <c r="G54" s="24" t="s">
        <v>133</v>
      </c>
      <c r="H54" s="25" t="s">
        <v>485</v>
      </c>
      <c r="I54" s="25" t="s">
        <v>485</v>
      </c>
      <c r="J54" s="19"/>
      <c r="K54" s="34" t="str">
        <f>"187,5"</f>
        <v>187,5</v>
      </c>
      <c r="L54" s="19" t="str">
        <f>"120,3188"</f>
        <v>120,3188</v>
      </c>
      <c r="M54" s="18" t="s">
        <v>504</v>
      </c>
    </row>
    <row r="55" spans="1:13">
      <c r="A55" s="19" t="s">
        <v>153</v>
      </c>
      <c r="B55" s="18" t="s">
        <v>505</v>
      </c>
      <c r="C55" s="18" t="s">
        <v>506</v>
      </c>
      <c r="D55" s="18" t="s">
        <v>507</v>
      </c>
      <c r="E55" s="16" t="s">
        <v>1042</v>
      </c>
      <c r="F55" s="18" t="s">
        <v>999</v>
      </c>
      <c r="G55" s="24" t="s">
        <v>16</v>
      </c>
      <c r="H55" s="24" t="s">
        <v>120</v>
      </c>
      <c r="I55" s="24" t="s">
        <v>138</v>
      </c>
      <c r="J55" s="19"/>
      <c r="K55" s="34" t="str">
        <f>"175,0"</f>
        <v>175,0</v>
      </c>
      <c r="L55" s="19" t="str">
        <f>"112,8225"</f>
        <v>112,8225</v>
      </c>
      <c r="M55" s="18" t="s">
        <v>508</v>
      </c>
    </row>
    <row r="56" spans="1:13">
      <c r="A56" s="19" t="s">
        <v>154</v>
      </c>
      <c r="B56" s="18" t="s">
        <v>509</v>
      </c>
      <c r="C56" s="18" t="s">
        <v>510</v>
      </c>
      <c r="D56" s="18" t="s">
        <v>77</v>
      </c>
      <c r="E56" s="16" t="s">
        <v>1042</v>
      </c>
      <c r="F56" s="18" t="s">
        <v>960</v>
      </c>
      <c r="G56" s="24" t="s">
        <v>222</v>
      </c>
      <c r="H56" s="25" t="s">
        <v>55</v>
      </c>
      <c r="I56" s="25" t="s">
        <v>55</v>
      </c>
      <c r="J56" s="19"/>
      <c r="K56" s="34" t="str">
        <f>"127,5"</f>
        <v>127,5</v>
      </c>
      <c r="L56" s="19" t="str">
        <f>"81,6765"</f>
        <v>81,6765</v>
      </c>
      <c r="M56" s="18" t="s">
        <v>511</v>
      </c>
    </row>
    <row r="57" spans="1:13">
      <c r="A57" s="21" t="s">
        <v>28</v>
      </c>
      <c r="B57" s="20" t="s">
        <v>512</v>
      </c>
      <c r="C57" s="20" t="s">
        <v>851</v>
      </c>
      <c r="D57" s="20" t="s">
        <v>252</v>
      </c>
      <c r="E57" s="20" t="s">
        <v>1048</v>
      </c>
      <c r="F57" s="20" t="s">
        <v>999</v>
      </c>
      <c r="G57" s="27" t="s">
        <v>36</v>
      </c>
      <c r="H57" s="27" t="s">
        <v>40</v>
      </c>
      <c r="I57" s="27" t="s">
        <v>15</v>
      </c>
      <c r="J57" s="21"/>
      <c r="K57" s="35" t="str">
        <f>"150,0"</f>
        <v>150,0</v>
      </c>
      <c r="L57" s="21" t="str">
        <f>"109,5380"</f>
        <v>109,5380</v>
      </c>
      <c r="M57" s="20"/>
    </row>
    <row r="58" spans="1:13">
      <c r="B58" s="5" t="s">
        <v>29</v>
      </c>
    </row>
    <row r="59" spans="1:13" ht="16">
      <c r="A59" s="52" t="s">
        <v>97</v>
      </c>
      <c r="B59" s="52"/>
      <c r="C59" s="52"/>
      <c r="D59" s="52"/>
      <c r="E59" s="52"/>
      <c r="F59" s="52"/>
      <c r="G59" s="52"/>
      <c r="H59" s="52"/>
      <c r="I59" s="52"/>
      <c r="J59" s="52"/>
    </row>
    <row r="60" spans="1:13">
      <c r="A60" s="17" t="s">
        <v>28</v>
      </c>
      <c r="B60" s="16" t="s">
        <v>513</v>
      </c>
      <c r="C60" s="16" t="s">
        <v>514</v>
      </c>
      <c r="D60" s="16" t="s">
        <v>515</v>
      </c>
      <c r="E60" s="16" t="s">
        <v>1042</v>
      </c>
      <c r="F60" s="16" t="s">
        <v>1000</v>
      </c>
      <c r="G60" s="22" t="s">
        <v>80</v>
      </c>
      <c r="H60" s="22" t="s">
        <v>81</v>
      </c>
      <c r="I60" s="23" t="s">
        <v>82</v>
      </c>
      <c r="J60" s="17"/>
      <c r="K60" s="33" t="str">
        <f>"200,0"</f>
        <v>200,0</v>
      </c>
      <c r="L60" s="17" t="str">
        <f>"122,6800"</f>
        <v>122,6800</v>
      </c>
      <c r="M60" s="16" t="s">
        <v>516</v>
      </c>
    </row>
    <row r="61" spans="1:13">
      <c r="A61" s="19" t="s">
        <v>152</v>
      </c>
      <c r="B61" s="18" t="s">
        <v>517</v>
      </c>
      <c r="C61" s="18" t="s">
        <v>518</v>
      </c>
      <c r="D61" s="18" t="s">
        <v>519</v>
      </c>
      <c r="E61" s="18" t="s">
        <v>1042</v>
      </c>
      <c r="F61" s="18" t="s">
        <v>947</v>
      </c>
      <c r="G61" s="24" t="s">
        <v>138</v>
      </c>
      <c r="H61" s="25" t="s">
        <v>73</v>
      </c>
      <c r="I61" s="25" t="s">
        <v>73</v>
      </c>
      <c r="J61" s="19"/>
      <c r="K61" s="34" t="str">
        <f>"175,0"</f>
        <v>175,0</v>
      </c>
      <c r="L61" s="19" t="str">
        <f>"107,1525"</f>
        <v>107,1525</v>
      </c>
      <c r="M61" s="18"/>
    </row>
    <row r="62" spans="1:13">
      <c r="A62" s="19" t="s">
        <v>153</v>
      </c>
      <c r="B62" s="18" t="s">
        <v>520</v>
      </c>
      <c r="C62" s="18" t="s">
        <v>521</v>
      </c>
      <c r="D62" s="18" t="s">
        <v>522</v>
      </c>
      <c r="E62" s="18" t="s">
        <v>1042</v>
      </c>
      <c r="F62" s="18" t="s">
        <v>1001</v>
      </c>
      <c r="G62" s="24" t="s">
        <v>55</v>
      </c>
      <c r="H62" s="25" t="s">
        <v>56</v>
      </c>
      <c r="I62" s="24" t="s">
        <v>56</v>
      </c>
      <c r="J62" s="19"/>
      <c r="K62" s="34" t="str">
        <f>"140,0"</f>
        <v>140,0</v>
      </c>
      <c r="L62" s="19" t="str">
        <f>"86,0160"</f>
        <v>86,0160</v>
      </c>
      <c r="M62" s="18" t="s">
        <v>523</v>
      </c>
    </row>
    <row r="63" spans="1:13">
      <c r="A63" s="19" t="s">
        <v>28</v>
      </c>
      <c r="B63" s="18" t="s">
        <v>524</v>
      </c>
      <c r="C63" s="18" t="s">
        <v>852</v>
      </c>
      <c r="D63" s="18" t="s">
        <v>525</v>
      </c>
      <c r="E63" s="18" t="s">
        <v>1045</v>
      </c>
      <c r="F63" s="18" t="s">
        <v>1002</v>
      </c>
      <c r="G63" s="24" t="s">
        <v>92</v>
      </c>
      <c r="H63" s="24" t="s">
        <v>93</v>
      </c>
      <c r="I63" s="25" t="s">
        <v>224</v>
      </c>
      <c r="J63" s="19"/>
      <c r="K63" s="34" t="str">
        <f>"162,5"</f>
        <v>162,5</v>
      </c>
      <c r="L63" s="19" t="str">
        <f>"101,6275"</f>
        <v>101,6275</v>
      </c>
      <c r="M63" s="18"/>
    </row>
    <row r="64" spans="1:13">
      <c r="A64" s="21" t="s">
        <v>28</v>
      </c>
      <c r="B64" s="20" t="s">
        <v>526</v>
      </c>
      <c r="C64" s="20" t="s">
        <v>853</v>
      </c>
      <c r="D64" s="20" t="s">
        <v>527</v>
      </c>
      <c r="E64" s="20" t="s">
        <v>1048</v>
      </c>
      <c r="F64" s="20" t="s">
        <v>947</v>
      </c>
      <c r="G64" s="27" t="s">
        <v>40</v>
      </c>
      <c r="H64" s="27" t="s">
        <v>15</v>
      </c>
      <c r="I64" s="26" t="s">
        <v>92</v>
      </c>
      <c r="J64" s="21"/>
      <c r="K64" s="35" t="str">
        <f>"150,0"</f>
        <v>150,0</v>
      </c>
      <c r="L64" s="21" t="str">
        <f>"102,7999"</f>
        <v>102,7999</v>
      </c>
      <c r="M64" s="20" t="s">
        <v>528</v>
      </c>
    </row>
    <row r="65" spans="1:13">
      <c r="B65" s="5" t="s">
        <v>29</v>
      </c>
    </row>
    <row r="66" spans="1:13" ht="16">
      <c r="A66" s="52" t="s">
        <v>9</v>
      </c>
      <c r="B66" s="52"/>
      <c r="C66" s="52"/>
      <c r="D66" s="52"/>
      <c r="E66" s="52"/>
      <c r="F66" s="52"/>
      <c r="G66" s="52"/>
      <c r="H66" s="52"/>
      <c r="I66" s="52"/>
      <c r="J66" s="52"/>
    </row>
    <row r="67" spans="1:13">
      <c r="A67" s="17" t="s">
        <v>28</v>
      </c>
      <c r="B67" s="16" t="s">
        <v>529</v>
      </c>
      <c r="C67" s="16" t="s">
        <v>530</v>
      </c>
      <c r="D67" s="16" t="s">
        <v>531</v>
      </c>
      <c r="E67" s="16" t="s">
        <v>1042</v>
      </c>
      <c r="F67" s="16" t="s">
        <v>1003</v>
      </c>
      <c r="G67" s="22" t="s">
        <v>532</v>
      </c>
      <c r="H67" s="23" t="s">
        <v>66</v>
      </c>
      <c r="I67" s="23" t="s">
        <v>66</v>
      </c>
      <c r="J67" s="17"/>
      <c r="K67" s="33" t="str">
        <f>"212,5"</f>
        <v>212,5</v>
      </c>
      <c r="L67" s="17" t="str">
        <f>"125,1200"</f>
        <v>125,1200</v>
      </c>
      <c r="M67" s="16"/>
    </row>
    <row r="68" spans="1:13">
      <c r="A68" s="21" t="s">
        <v>28</v>
      </c>
      <c r="B68" s="20" t="s">
        <v>533</v>
      </c>
      <c r="C68" s="20" t="s">
        <v>854</v>
      </c>
      <c r="D68" s="20" t="s">
        <v>271</v>
      </c>
      <c r="E68" s="20" t="s">
        <v>1049</v>
      </c>
      <c r="F68" s="20" t="s">
        <v>1004</v>
      </c>
      <c r="G68" s="27" t="s">
        <v>35</v>
      </c>
      <c r="H68" s="27" t="s">
        <v>214</v>
      </c>
      <c r="I68" s="27" t="s">
        <v>272</v>
      </c>
      <c r="J68" s="21"/>
      <c r="K68" s="35" t="str">
        <f>"142,5"</f>
        <v>142,5</v>
      </c>
      <c r="L68" s="21" t="str">
        <f>"118,2845"</f>
        <v>118,2845</v>
      </c>
      <c r="M68" s="20"/>
    </row>
    <row r="69" spans="1:13">
      <c r="B69" s="5" t="s">
        <v>29</v>
      </c>
    </row>
    <row r="70" spans="1:13" ht="16">
      <c r="A70" s="52" t="s">
        <v>273</v>
      </c>
      <c r="B70" s="52"/>
      <c r="C70" s="52"/>
      <c r="D70" s="52"/>
      <c r="E70" s="52"/>
      <c r="F70" s="52"/>
      <c r="G70" s="52"/>
      <c r="H70" s="52"/>
      <c r="I70" s="52"/>
      <c r="J70" s="52"/>
    </row>
    <row r="71" spans="1:13">
      <c r="A71" s="17" t="s">
        <v>28</v>
      </c>
      <c r="B71" s="16" t="s">
        <v>534</v>
      </c>
      <c r="C71" s="16" t="s">
        <v>535</v>
      </c>
      <c r="D71" s="16" t="s">
        <v>536</v>
      </c>
      <c r="E71" s="16" t="s">
        <v>1042</v>
      </c>
      <c r="F71" s="16" t="s">
        <v>1005</v>
      </c>
      <c r="G71" s="22" t="s">
        <v>65</v>
      </c>
      <c r="H71" s="22" t="s">
        <v>17</v>
      </c>
      <c r="I71" s="23" t="s">
        <v>12</v>
      </c>
      <c r="J71" s="17"/>
      <c r="K71" s="33" t="str">
        <f>"230,0"</f>
        <v>230,0</v>
      </c>
      <c r="L71" s="17" t="str">
        <f>"133,1240"</f>
        <v>133,1240</v>
      </c>
      <c r="M71" s="16"/>
    </row>
    <row r="72" spans="1:13">
      <c r="A72" s="21" t="s">
        <v>28</v>
      </c>
      <c r="B72" s="20" t="s">
        <v>537</v>
      </c>
      <c r="C72" s="20" t="s">
        <v>855</v>
      </c>
      <c r="D72" s="20" t="s">
        <v>538</v>
      </c>
      <c r="E72" s="20" t="s">
        <v>1047</v>
      </c>
      <c r="F72" s="20" t="s">
        <v>462</v>
      </c>
      <c r="G72" s="27" t="s">
        <v>15</v>
      </c>
      <c r="H72" s="27" t="s">
        <v>16</v>
      </c>
      <c r="I72" s="26" t="s">
        <v>224</v>
      </c>
      <c r="J72" s="21"/>
      <c r="K72" s="35" t="str">
        <f>"160,0"</f>
        <v>160,0</v>
      </c>
      <c r="L72" s="21" t="str">
        <f>"106,4842"</f>
        <v>106,4842</v>
      </c>
      <c r="M72" s="20" t="s">
        <v>909</v>
      </c>
    </row>
    <row r="73" spans="1:13">
      <c r="B73" s="5" t="s">
        <v>29</v>
      </c>
    </row>
    <row r="74" spans="1:13" ht="16">
      <c r="A74" s="52" t="s">
        <v>354</v>
      </c>
      <c r="B74" s="52"/>
      <c r="C74" s="52"/>
      <c r="D74" s="52"/>
      <c r="E74" s="52"/>
      <c r="F74" s="52"/>
      <c r="G74" s="52"/>
      <c r="H74" s="52"/>
      <c r="I74" s="52"/>
      <c r="J74" s="52"/>
    </row>
    <row r="75" spans="1:13">
      <c r="A75" s="17" t="s">
        <v>28</v>
      </c>
      <c r="B75" s="16" t="s">
        <v>539</v>
      </c>
      <c r="C75" s="16" t="s">
        <v>856</v>
      </c>
      <c r="D75" s="16" t="s">
        <v>540</v>
      </c>
      <c r="E75" s="16" t="s">
        <v>1045</v>
      </c>
      <c r="F75" s="16" t="s">
        <v>462</v>
      </c>
      <c r="G75" s="23" t="s">
        <v>56</v>
      </c>
      <c r="H75" s="23" t="s">
        <v>15</v>
      </c>
      <c r="I75" s="22" t="s">
        <v>15</v>
      </c>
      <c r="J75" s="17"/>
      <c r="K75" s="33" t="str">
        <f>"150,0"</f>
        <v>150,0</v>
      </c>
      <c r="L75" s="17" t="str">
        <f>"96,5483"</f>
        <v>96,5483</v>
      </c>
      <c r="M75" s="16"/>
    </row>
    <row r="76" spans="1:13">
      <c r="A76" s="21" t="s">
        <v>28</v>
      </c>
      <c r="B76" s="20" t="s">
        <v>541</v>
      </c>
      <c r="C76" s="20" t="s">
        <v>857</v>
      </c>
      <c r="D76" s="20" t="s">
        <v>542</v>
      </c>
      <c r="E76" s="20" t="s">
        <v>1048</v>
      </c>
      <c r="F76" s="20" t="s">
        <v>947</v>
      </c>
      <c r="G76" s="27" t="s">
        <v>120</v>
      </c>
      <c r="H76" s="27" t="s">
        <v>543</v>
      </c>
      <c r="I76" s="27" t="s">
        <v>382</v>
      </c>
      <c r="J76" s="27" t="s">
        <v>544</v>
      </c>
      <c r="K76" s="35" t="str">
        <f>"182,5"</f>
        <v>182,5</v>
      </c>
      <c r="L76" s="21" t="str">
        <f>"130,9370"</f>
        <v>130,9370</v>
      </c>
      <c r="M76" s="20"/>
    </row>
    <row r="77" spans="1:13">
      <c r="B77" s="5" t="s">
        <v>29</v>
      </c>
    </row>
    <row r="80" spans="1:13" ht="18">
      <c r="B80" s="9" t="s">
        <v>19</v>
      </c>
      <c r="C80" s="9"/>
    </row>
    <row r="81" spans="1:6" ht="16">
      <c r="B81" s="10" t="s">
        <v>142</v>
      </c>
      <c r="C81" s="10"/>
    </row>
    <row r="82" spans="1:6" ht="14">
      <c r="B82" s="11"/>
      <c r="C82" s="12" t="s">
        <v>143</v>
      </c>
    </row>
    <row r="83" spans="1:6" ht="14">
      <c r="A83" s="1"/>
      <c r="B83" s="13" t="s">
        <v>22</v>
      </c>
      <c r="C83" s="13" t="s">
        <v>23</v>
      </c>
      <c r="D83" s="13" t="s">
        <v>901</v>
      </c>
      <c r="E83" s="13" t="s">
        <v>417</v>
      </c>
      <c r="F83" s="13" t="s">
        <v>26</v>
      </c>
    </row>
    <row r="84" spans="1:6">
      <c r="B84" s="5" t="s">
        <v>431</v>
      </c>
      <c r="C84" s="5" t="s">
        <v>143</v>
      </c>
      <c r="D84" s="6" t="s">
        <v>545</v>
      </c>
      <c r="E84" s="6" t="s">
        <v>160</v>
      </c>
      <c r="F84" s="6" t="s">
        <v>546</v>
      </c>
    </row>
    <row r="85" spans="1:6">
      <c r="B85" s="5" t="s">
        <v>178</v>
      </c>
      <c r="C85" s="5" t="s">
        <v>143</v>
      </c>
      <c r="D85" s="6" t="s">
        <v>280</v>
      </c>
      <c r="E85" s="6" t="s">
        <v>49</v>
      </c>
      <c r="F85" s="6" t="s">
        <v>547</v>
      </c>
    </row>
    <row r="86" spans="1:6">
      <c r="B86" s="5" t="s">
        <v>157</v>
      </c>
      <c r="C86" s="5" t="s">
        <v>143</v>
      </c>
      <c r="D86" s="6" t="s">
        <v>281</v>
      </c>
      <c r="E86" s="6" t="s">
        <v>162</v>
      </c>
      <c r="F86" s="6" t="s">
        <v>548</v>
      </c>
    </row>
    <row r="88" spans="1:6" ht="16">
      <c r="B88" s="10" t="s">
        <v>20</v>
      </c>
      <c r="C88" s="10"/>
    </row>
    <row r="89" spans="1:6" ht="14">
      <c r="B89" s="11"/>
      <c r="C89" s="12" t="s">
        <v>143</v>
      </c>
    </row>
    <row r="90" spans="1:6" ht="14">
      <c r="A90" s="1"/>
      <c r="B90" s="13" t="s">
        <v>22</v>
      </c>
      <c r="C90" s="13" t="s">
        <v>23</v>
      </c>
      <c r="D90" s="13" t="s">
        <v>901</v>
      </c>
      <c r="E90" s="13" t="s">
        <v>417</v>
      </c>
      <c r="F90" s="13" t="s">
        <v>26</v>
      </c>
    </row>
    <row r="91" spans="1:6">
      <c r="B91" s="5" t="s">
        <v>482</v>
      </c>
      <c r="C91" s="5" t="s">
        <v>143</v>
      </c>
      <c r="D91" s="6" t="s">
        <v>332</v>
      </c>
      <c r="E91" s="6" t="s">
        <v>485</v>
      </c>
      <c r="F91" s="6" t="s">
        <v>549</v>
      </c>
    </row>
    <row r="92" spans="1:6">
      <c r="B92" s="5" t="s">
        <v>534</v>
      </c>
      <c r="C92" s="5" t="s">
        <v>143</v>
      </c>
      <c r="D92" s="6" t="s">
        <v>290</v>
      </c>
      <c r="E92" s="6" t="s">
        <v>17</v>
      </c>
      <c r="F92" s="6" t="s">
        <v>550</v>
      </c>
    </row>
    <row r="93" spans="1:6">
      <c r="B93" s="5" t="s">
        <v>529</v>
      </c>
      <c r="C93" s="5" t="s">
        <v>143</v>
      </c>
      <c r="D93" s="6" t="s">
        <v>27</v>
      </c>
      <c r="E93" s="6" t="s">
        <v>532</v>
      </c>
      <c r="F93" s="6" t="s">
        <v>551</v>
      </c>
    </row>
    <row r="95" spans="1:6" ht="14">
      <c r="B95" s="11"/>
      <c r="C95" s="12" t="s">
        <v>21</v>
      </c>
    </row>
    <row r="96" spans="1:6" ht="14">
      <c r="A96" s="1"/>
      <c r="B96" s="13" t="s">
        <v>22</v>
      </c>
      <c r="C96" s="13" t="s">
        <v>23</v>
      </c>
      <c r="D96" s="13" t="s">
        <v>901</v>
      </c>
      <c r="E96" s="13" t="s">
        <v>417</v>
      </c>
      <c r="F96" s="13" t="s">
        <v>26</v>
      </c>
    </row>
    <row r="97" spans="2:6">
      <c r="B97" s="5" t="s">
        <v>541</v>
      </c>
      <c r="C97" s="5" t="s">
        <v>858</v>
      </c>
      <c r="D97" s="6" t="s">
        <v>421</v>
      </c>
      <c r="E97" s="6" t="s">
        <v>382</v>
      </c>
      <c r="F97" s="6" t="s">
        <v>552</v>
      </c>
    </row>
    <row r="98" spans="2:6">
      <c r="B98" s="5" t="s">
        <v>533</v>
      </c>
      <c r="C98" s="5" t="s">
        <v>859</v>
      </c>
      <c r="D98" s="6" t="s">
        <v>27</v>
      </c>
      <c r="E98" s="6" t="s">
        <v>272</v>
      </c>
      <c r="F98" s="6" t="s">
        <v>553</v>
      </c>
    </row>
    <row r="99" spans="2:6">
      <c r="B99" s="5" t="s">
        <v>469</v>
      </c>
      <c r="C99" s="5" t="s">
        <v>860</v>
      </c>
      <c r="D99" s="6" t="s">
        <v>282</v>
      </c>
      <c r="E99" s="6" t="s">
        <v>36</v>
      </c>
      <c r="F99" s="6" t="s">
        <v>554</v>
      </c>
    </row>
    <row r="100" spans="2:6">
      <c r="B100" s="5" t="s">
        <v>29</v>
      </c>
    </row>
  </sheetData>
  <mergeCells count="27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66:J66"/>
    <mergeCell ref="A70:J70"/>
    <mergeCell ref="A74:J74"/>
    <mergeCell ref="B3:B4"/>
    <mergeCell ref="A30:J30"/>
    <mergeCell ref="A33:J33"/>
    <mergeCell ref="A36:J36"/>
    <mergeCell ref="A44:J44"/>
    <mergeCell ref="A52:J52"/>
    <mergeCell ref="A59:J59"/>
    <mergeCell ref="A8:J8"/>
    <mergeCell ref="A12:J12"/>
    <mergeCell ref="A15:J15"/>
    <mergeCell ref="A21:J21"/>
    <mergeCell ref="A24:J24"/>
    <mergeCell ref="A27:J2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/>
  <dimension ref="A1:M69"/>
  <sheetViews>
    <sheetView topLeftCell="A18" workbookViewId="0">
      <selection activeCell="R58" sqref="R58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2" style="5" customWidth="1"/>
    <col min="6" max="6" width="21.6640625" style="5" bestFit="1" customWidth="1"/>
    <col min="7" max="9" width="5.5" style="6" customWidth="1"/>
    <col min="10" max="10" width="4.83203125" style="6" customWidth="1"/>
    <col min="11" max="11" width="10.5" style="31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53" t="s">
        <v>925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8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9"/>
      <c r="L4" s="64"/>
      <c r="M4" s="67"/>
    </row>
    <row r="5" spans="1:13" ht="16">
      <c r="A5" s="48" t="s">
        <v>177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358</v>
      </c>
      <c r="C6" s="7" t="s">
        <v>359</v>
      </c>
      <c r="D6" s="7" t="s">
        <v>360</v>
      </c>
      <c r="E6" s="7" t="s">
        <v>1043</v>
      </c>
      <c r="F6" s="7" t="s">
        <v>969</v>
      </c>
      <c r="G6" s="15" t="s">
        <v>162</v>
      </c>
      <c r="H6" s="15" t="s">
        <v>163</v>
      </c>
      <c r="I6" s="15" t="s">
        <v>171</v>
      </c>
      <c r="J6" s="8"/>
      <c r="K6" s="32" t="str">
        <f>"67,5"</f>
        <v>67,5</v>
      </c>
      <c r="L6" s="8" t="str">
        <f>"80,3250"</f>
        <v>80,3250</v>
      </c>
      <c r="M6" s="7" t="s">
        <v>361</v>
      </c>
    </row>
    <row r="7" spans="1:13">
      <c r="B7" s="5" t="s">
        <v>29</v>
      </c>
    </row>
    <row r="8" spans="1:13" ht="16">
      <c r="A8" s="52" t="s">
        <v>30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28</v>
      </c>
      <c r="B9" s="7" t="s">
        <v>362</v>
      </c>
      <c r="C9" s="7" t="s">
        <v>363</v>
      </c>
      <c r="D9" s="7" t="s">
        <v>364</v>
      </c>
      <c r="E9" s="7" t="s">
        <v>1042</v>
      </c>
      <c r="F9" s="7" t="s">
        <v>969</v>
      </c>
      <c r="G9" s="15" t="s">
        <v>67</v>
      </c>
      <c r="H9" s="14" t="s">
        <v>137</v>
      </c>
      <c r="I9" s="14" t="s">
        <v>137</v>
      </c>
      <c r="J9" s="8"/>
      <c r="K9" s="32" t="str">
        <f>"147,5"</f>
        <v>147,5</v>
      </c>
      <c r="L9" s="8" t="str">
        <f>"150,5385"</f>
        <v>150,5385</v>
      </c>
      <c r="M9" s="7" t="s">
        <v>41</v>
      </c>
    </row>
    <row r="10" spans="1:13">
      <c r="B10" s="5" t="s">
        <v>29</v>
      </c>
    </row>
    <row r="11" spans="1:13" ht="16">
      <c r="A11" s="52" t="s">
        <v>177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8" t="s">
        <v>28</v>
      </c>
      <c r="B12" s="7" t="s">
        <v>365</v>
      </c>
      <c r="C12" s="7" t="s">
        <v>366</v>
      </c>
      <c r="D12" s="7" t="s">
        <v>180</v>
      </c>
      <c r="E12" s="7" t="s">
        <v>1042</v>
      </c>
      <c r="F12" s="7" t="s">
        <v>1006</v>
      </c>
      <c r="G12" s="15" t="s">
        <v>224</v>
      </c>
      <c r="H12" s="15" t="s">
        <v>300</v>
      </c>
      <c r="I12" s="15" t="s">
        <v>138</v>
      </c>
      <c r="J12" s="8"/>
      <c r="K12" s="32" t="str">
        <f>"175,0"</f>
        <v>175,0</v>
      </c>
      <c r="L12" s="8" t="str">
        <f>"162,7500"</f>
        <v>162,7500</v>
      </c>
      <c r="M12" s="7" t="s">
        <v>367</v>
      </c>
    </row>
    <row r="13" spans="1:13">
      <c r="B13" s="5" t="s">
        <v>29</v>
      </c>
    </row>
    <row r="14" spans="1:13" ht="16">
      <c r="A14" s="52" t="s">
        <v>30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>
      <c r="A15" s="8" t="s">
        <v>28</v>
      </c>
      <c r="B15" s="7" t="s">
        <v>368</v>
      </c>
      <c r="C15" s="7" t="s">
        <v>369</v>
      </c>
      <c r="D15" s="7" t="s">
        <v>370</v>
      </c>
      <c r="E15" s="7" t="s">
        <v>1042</v>
      </c>
      <c r="F15" s="7" t="s">
        <v>1007</v>
      </c>
      <c r="G15" s="14" t="s">
        <v>48</v>
      </c>
      <c r="H15" s="15" t="s">
        <v>48</v>
      </c>
      <c r="I15" s="14" t="s">
        <v>35</v>
      </c>
      <c r="J15" s="8"/>
      <c r="K15" s="32" t="str">
        <f>"120,0"</f>
        <v>120,0</v>
      </c>
      <c r="L15" s="8" t="str">
        <f>"93,6480"</f>
        <v>93,6480</v>
      </c>
      <c r="M15" s="7"/>
    </row>
    <row r="16" spans="1:13">
      <c r="B16" s="5" t="s">
        <v>29</v>
      </c>
    </row>
    <row r="17" spans="1:13" ht="16">
      <c r="A17" s="52" t="s">
        <v>200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3">
      <c r="A18" s="8" t="s">
        <v>28</v>
      </c>
      <c r="B18" s="7" t="s">
        <v>371</v>
      </c>
      <c r="C18" s="7" t="s">
        <v>372</v>
      </c>
      <c r="D18" s="7" t="s">
        <v>373</v>
      </c>
      <c r="E18" s="7" t="s">
        <v>1042</v>
      </c>
      <c r="F18" s="7" t="s">
        <v>967</v>
      </c>
      <c r="G18" s="14" t="s">
        <v>56</v>
      </c>
      <c r="H18" s="15" t="s">
        <v>56</v>
      </c>
      <c r="I18" s="14" t="s">
        <v>15</v>
      </c>
      <c r="J18" s="8"/>
      <c r="K18" s="32" t="str">
        <f>"140,0"</f>
        <v>140,0</v>
      </c>
      <c r="L18" s="8" t="str">
        <f>"102,2000"</f>
        <v>102,2000</v>
      </c>
      <c r="M18" s="7"/>
    </row>
    <row r="19" spans="1:13">
      <c r="B19" s="5" t="s">
        <v>29</v>
      </c>
    </row>
    <row r="20" spans="1:13" ht="16">
      <c r="A20" s="52" t="s">
        <v>51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3">
      <c r="A21" s="8" t="s">
        <v>28</v>
      </c>
      <c r="B21" s="7" t="s">
        <v>374</v>
      </c>
      <c r="C21" s="7" t="s">
        <v>861</v>
      </c>
      <c r="D21" s="7" t="s">
        <v>299</v>
      </c>
      <c r="E21" s="7" t="s">
        <v>1047</v>
      </c>
      <c r="F21" s="7" t="s">
        <v>1008</v>
      </c>
      <c r="G21" s="15" t="s">
        <v>55</v>
      </c>
      <c r="H21" s="15" t="s">
        <v>214</v>
      </c>
      <c r="I21" s="14" t="s">
        <v>56</v>
      </c>
      <c r="J21" s="8"/>
      <c r="K21" s="32" t="str">
        <f>"137,5"</f>
        <v>137,5</v>
      </c>
      <c r="L21" s="8" t="str">
        <f>"113,1126"</f>
        <v>113,1126</v>
      </c>
      <c r="M21" s="7" t="s">
        <v>375</v>
      </c>
    </row>
    <row r="22" spans="1:13">
      <c r="B22" s="5" t="s">
        <v>29</v>
      </c>
    </row>
    <row r="23" spans="1:13" ht="16">
      <c r="A23" s="52" t="s">
        <v>42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13">
      <c r="A24" s="17" t="s">
        <v>28</v>
      </c>
      <c r="B24" s="16" t="s">
        <v>376</v>
      </c>
      <c r="C24" s="16" t="s">
        <v>862</v>
      </c>
      <c r="D24" s="16" t="s">
        <v>241</v>
      </c>
      <c r="E24" s="16" t="s">
        <v>1044</v>
      </c>
      <c r="F24" s="16" t="s">
        <v>1009</v>
      </c>
      <c r="G24" s="22" t="s">
        <v>224</v>
      </c>
      <c r="H24" s="22" t="s">
        <v>138</v>
      </c>
      <c r="I24" s="23" t="s">
        <v>73</v>
      </c>
      <c r="J24" s="17"/>
      <c r="K24" s="33" t="str">
        <f>"175,0"</f>
        <v>175,0</v>
      </c>
      <c r="L24" s="17" t="str">
        <f>"111,8425"</f>
        <v>111,8425</v>
      </c>
      <c r="M24" s="16"/>
    </row>
    <row r="25" spans="1:13">
      <c r="A25" s="19" t="s">
        <v>152</v>
      </c>
      <c r="B25" s="18" t="s">
        <v>377</v>
      </c>
      <c r="C25" s="18" t="s">
        <v>863</v>
      </c>
      <c r="D25" s="18" t="s">
        <v>378</v>
      </c>
      <c r="E25" s="18" t="s">
        <v>1044</v>
      </c>
      <c r="F25" s="18" t="s">
        <v>959</v>
      </c>
      <c r="G25" s="24" t="s">
        <v>16</v>
      </c>
      <c r="H25" s="25" t="s">
        <v>119</v>
      </c>
      <c r="I25" s="25" t="s">
        <v>119</v>
      </c>
      <c r="J25" s="19"/>
      <c r="K25" s="34" t="str">
        <f>"160,0"</f>
        <v>160,0</v>
      </c>
      <c r="L25" s="19" t="str">
        <f>"102,4320"</f>
        <v>102,4320</v>
      </c>
      <c r="M25" s="18" t="s">
        <v>910</v>
      </c>
    </row>
    <row r="26" spans="1:13">
      <c r="A26" s="19" t="s">
        <v>28</v>
      </c>
      <c r="B26" s="18" t="s">
        <v>379</v>
      </c>
      <c r="C26" s="18" t="s">
        <v>380</v>
      </c>
      <c r="D26" s="18" t="s">
        <v>381</v>
      </c>
      <c r="E26" s="18" t="s">
        <v>1042</v>
      </c>
      <c r="F26" s="18" t="s">
        <v>1010</v>
      </c>
      <c r="G26" s="24" t="s">
        <v>120</v>
      </c>
      <c r="H26" s="24" t="s">
        <v>73</v>
      </c>
      <c r="I26" s="24" t="s">
        <v>382</v>
      </c>
      <c r="J26" s="19"/>
      <c r="K26" s="34" t="str">
        <f>"182,5"</f>
        <v>182,5</v>
      </c>
      <c r="L26" s="19" t="str">
        <f>"120,5595"</f>
        <v>120,5595</v>
      </c>
      <c r="M26" s="18"/>
    </row>
    <row r="27" spans="1:13">
      <c r="A27" s="19" t="s">
        <v>151</v>
      </c>
      <c r="B27" s="18" t="s">
        <v>383</v>
      </c>
      <c r="C27" s="18" t="s">
        <v>864</v>
      </c>
      <c r="D27" s="18" t="s">
        <v>91</v>
      </c>
      <c r="E27" s="18" t="s">
        <v>1045</v>
      </c>
      <c r="F27" s="18" t="s">
        <v>947</v>
      </c>
      <c r="G27" s="25" t="s">
        <v>224</v>
      </c>
      <c r="H27" s="25" t="s">
        <v>224</v>
      </c>
      <c r="I27" s="19"/>
      <c r="J27" s="19"/>
      <c r="K27" s="34">
        <v>0</v>
      </c>
      <c r="L27" s="19" t="str">
        <f>"0,0000"</f>
        <v>0,0000</v>
      </c>
      <c r="M27" s="18"/>
    </row>
    <row r="28" spans="1:13">
      <c r="A28" s="21" t="s">
        <v>28</v>
      </c>
      <c r="B28" s="20" t="s">
        <v>384</v>
      </c>
      <c r="C28" s="20" t="s">
        <v>865</v>
      </c>
      <c r="D28" s="20" t="s">
        <v>385</v>
      </c>
      <c r="E28" s="20" t="s">
        <v>1049</v>
      </c>
      <c r="F28" s="20" t="s">
        <v>1010</v>
      </c>
      <c r="G28" s="27" t="s">
        <v>15</v>
      </c>
      <c r="H28" s="27" t="s">
        <v>16</v>
      </c>
      <c r="I28" s="26" t="s">
        <v>93</v>
      </c>
      <c r="J28" s="21"/>
      <c r="K28" s="35" t="str">
        <f>"160,0"</f>
        <v>160,0</v>
      </c>
      <c r="L28" s="21" t="str">
        <f>"145,3526"</f>
        <v>145,3526</v>
      </c>
      <c r="M28" s="20"/>
    </row>
    <row r="29" spans="1:13">
      <c r="B29" s="5" t="s">
        <v>29</v>
      </c>
    </row>
    <row r="30" spans="1:13" ht="16">
      <c r="A30" s="52" t="s">
        <v>97</v>
      </c>
      <c r="B30" s="52"/>
      <c r="C30" s="52"/>
      <c r="D30" s="52"/>
      <c r="E30" s="52"/>
      <c r="F30" s="52"/>
      <c r="G30" s="52"/>
      <c r="H30" s="52"/>
      <c r="I30" s="52"/>
      <c r="J30" s="52"/>
    </row>
    <row r="31" spans="1:13">
      <c r="A31" s="17" t="s">
        <v>28</v>
      </c>
      <c r="B31" s="16" t="s">
        <v>386</v>
      </c>
      <c r="C31" s="16" t="s">
        <v>387</v>
      </c>
      <c r="D31" s="16" t="s">
        <v>388</v>
      </c>
      <c r="E31" s="16" t="s">
        <v>1042</v>
      </c>
      <c r="F31" s="16" t="s">
        <v>947</v>
      </c>
      <c r="G31" s="22" t="s">
        <v>134</v>
      </c>
      <c r="H31" s="22" t="s">
        <v>78</v>
      </c>
      <c r="I31" s="22" t="s">
        <v>57</v>
      </c>
      <c r="J31" s="17"/>
      <c r="K31" s="33" t="str">
        <f>"265,0"</f>
        <v>265,0</v>
      </c>
      <c r="L31" s="17" t="str">
        <f>"163,8495"</f>
        <v>163,8495</v>
      </c>
      <c r="M31" s="16" t="s">
        <v>389</v>
      </c>
    </row>
    <row r="32" spans="1:13">
      <c r="A32" s="19" t="s">
        <v>152</v>
      </c>
      <c r="B32" s="18" t="s">
        <v>390</v>
      </c>
      <c r="C32" s="18" t="s">
        <v>391</v>
      </c>
      <c r="D32" s="18" t="s">
        <v>392</v>
      </c>
      <c r="E32" s="18" t="s">
        <v>1042</v>
      </c>
      <c r="F32" s="18" t="s">
        <v>960</v>
      </c>
      <c r="G32" s="24" t="s">
        <v>126</v>
      </c>
      <c r="H32" s="24" t="s">
        <v>253</v>
      </c>
      <c r="I32" s="24" t="s">
        <v>131</v>
      </c>
      <c r="J32" s="19"/>
      <c r="K32" s="34" t="str">
        <f>"207,5"</f>
        <v>207,5</v>
      </c>
      <c r="L32" s="19" t="str">
        <f>"127,8408"</f>
        <v>127,8408</v>
      </c>
      <c r="M32" s="18" t="s">
        <v>911</v>
      </c>
    </row>
    <row r="33" spans="1:13">
      <c r="A33" s="19" t="s">
        <v>153</v>
      </c>
      <c r="B33" s="18" t="s">
        <v>123</v>
      </c>
      <c r="C33" s="18" t="s">
        <v>124</v>
      </c>
      <c r="D33" s="18" t="s">
        <v>125</v>
      </c>
      <c r="E33" s="18" t="s">
        <v>1042</v>
      </c>
      <c r="F33" s="18" t="s">
        <v>966</v>
      </c>
      <c r="G33" s="24" t="s">
        <v>126</v>
      </c>
      <c r="H33" s="25" t="s">
        <v>82</v>
      </c>
      <c r="I33" s="25" t="s">
        <v>82</v>
      </c>
      <c r="J33" s="19"/>
      <c r="K33" s="34" t="str">
        <f>"195,0"</f>
        <v>195,0</v>
      </c>
      <c r="L33" s="19" t="str">
        <f>"121,6995"</f>
        <v>121,6995</v>
      </c>
      <c r="M33" s="18" t="s">
        <v>127</v>
      </c>
    </row>
    <row r="34" spans="1:13">
      <c r="A34" s="19" t="s">
        <v>28</v>
      </c>
      <c r="B34" s="18" t="s">
        <v>393</v>
      </c>
      <c r="C34" s="18" t="s">
        <v>866</v>
      </c>
      <c r="D34" s="18" t="s">
        <v>394</v>
      </c>
      <c r="E34" s="18" t="s">
        <v>1048</v>
      </c>
      <c r="F34" s="18" t="s">
        <v>1011</v>
      </c>
      <c r="G34" s="24" t="s">
        <v>56</v>
      </c>
      <c r="H34" s="25" t="s">
        <v>40</v>
      </c>
      <c r="I34" s="25" t="s">
        <v>15</v>
      </c>
      <c r="J34" s="19"/>
      <c r="K34" s="34" t="str">
        <f>"140,0"</f>
        <v>140,0</v>
      </c>
      <c r="L34" s="19" t="str">
        <f>"96,5080"</f>
        <v>96,5080</v>
      </c>
      <c r="M34" s="18"/>
    </row>
    <row r="35" spans="1:13">
      <c r="A35" s="21" t="s">
        <v>28</v>
      </c>
      <c r="B35" s="20" t="s">
        <v>395</v>
      </c>
      <c r="C35" s="20" t="s">
        <v>867</v>
      </c>
      <c r="D35" s="20" t="s">
        <v>136</v>
      </c>
      <c r="E35" s="20" t="s">
        <v>1050</v>
      </c>
      <c r="F35" s="20" t="s">
        <v>1012</v>
      </c>
      <c r="G35" s="27" t="s">
        <v>39</v>
      </c>
      <c r="H35" s="27" t="s">
        <v>164</v>
      </c>
      <c r="I35" s="26" t="s">
        <v>196</v>
      </c>
      <c r="J35" s="21"/>
      <c r="K35" s="35" t="str">
        <f>"95,0"</f>
        <v>95,0</v>
      </c>
      <c r="L35" s="21" t="str">
        <f>"109,0946"</f>
        <v>109,0946</v>
      </c>
      <c r="M35" s="20"/>
    </row>
    <row r="36" spans="1:13">
      <c r="B36" s="5" t="s">
        <v>29</v>
      </c>
    </row>
    <row r="37" spans="1:13" ht="16">
      <c r="A37" s="52" t="s">
        <v>9</v>
      </c>
      <c r="B37" s="52"/>
      <c r="C37" s="52"/>
      <c r="D37" s="52"/>
      <c r="E37" s="52"/>
      <c r="F37" s="52"/>
      <c r="G37" s="52"/>
      <c r="H37" s="52"/>
      <c r="I37" s="52"/>
      <c r="J37" s="52"/>
    </row>
    <row r="38" spans="1:13">
      <c r="A38" s="17" t="s">
        <v>28</v>
      </c>
      <c r="B38" s="16" t="s">
        <v>396</v>
      </c>
      <c r="C38" s="16" t="s">
        <v>397</v>
      </c>
      <c r="D38" s="16" t="s">
        <v>398</v>
      </c>
      <c r="E38" s="16" t="s">
        <v>1042</v>
      </c>
      <c r="F38" s="36" t="s">
        <v>947</v>
      </c>
      <c r="G38" s="42" t="s">
        <v>64</v>
      </c>
      <c r="H38" s="22" t="s">
        <v>87</v>
      </c>
      <c r="I38" s="43" t="s">
        <v>65</v>
      </c>
      <c r="J38" s="39"/>
      <c r="K38" s="33" t="str">
        <f>"215,0"</f>
        <v>215,0</v>
      </c>
      <c r="L38" s="17" t="str">
        <f>"127,4090"</f>
        <v>127,4090</v>
      </c>
      <c r="M38" s="16"/>
    </row>
    <row r="39" spans="1:13">
      <c r="A39" s="19" t="s">
        <v>152</v>
      </c>
      <c r="B39" s="18" t="s">
        <v>399</v>
      </c>
      <c r="C39" s="18" t="s">
        <v>400</v>
      </c>
      <c r="D39" s="18" t="s">
        <v>401</v>
      </c>
      <c r="E39" s="18" t="s">
        <v>1042</v>
      </c>
      <c r="F39" s="37" t="s">
        <v>947</v>
      </c>
      <c r="G39" s="44" t="s">
        <v>126</v>
      </c>
      <c r="H39" s="24" t="s">
        <v>253</v>
      </c>
      <c r="I39" s="45" t="s">
        <v>64</v>
      </c>
      <c r="J39" s="40"/>
      <c r="K39" s="34" t="str">
        <f>"210,0"</f>
        <v>210,0</v>
      </c>
      <c r="L39" s="19" t="str">
        <f>"126,2310"</f>
        <v>126,2310</v>
      </c>
      <c r="M39" s="18"/>
    </row>
    <row r="40" spans="1:13">
      <c r="A40" s="19" t="s">
        <v>153</v>
      </c>
      <c r="B40" s="18" t="s">
        <v>402</v>
      </c>
      <c r="C40" s="18" t="s">
        <v>403</v>
      </c>
      <c r="D40" s="18" t="s">
        <v>404</v>
      </c>
      <c r="E40" s="18" t="s">
        <v>1042</v>
      </c>
      <c r="F40" s="37" t="s">
        <v>1007</v>
      </c>
      <c r="G40" s="44" t="s">
        <v>80</v>
      </c>
      <c r="H40" s="24" t="s">
        <v>81</v>
      </c>
      <c r="I40" s="45" t="s">
        <v>82</v>
      </c>
      <c r="J40" s="40"/>
      <c r="K40" s="34" t="str">
        <f>"205,0"</f>
        <v>205,0</v>
      </c>
      <c r="L40" s="19" t="str">
        <f>"122,5900"</f>
        <v>122,5900</v>
      </c>
      <c r="M40" s="18" t="s">
        <v>405</v>
      </c>
    </row>
    <row r="41" spans="1:13">
      <c r="A41" s="21" t="s">
        <v>28</v>
      </c>
      <c r="B41" s="20" t="s">
        <v>396</v>
      </c>
      <c r="C41" s="20" t="s">
        <v>868</v>
      </c>
      <c r="D41" s="20" t="s">
        <v>398</v>
      </c>
      <c r="E41" s="20" t="s">
        <v>1045</v>
      </c>
      <c r="F41" s="38" t="s">
        <v>947</v>
      </c>
      <c r="G41" s="46" t="s">
        <v>64</v>
      </c>
      <c r="H41" s="27" t="s">
        <v>87</v>
      </c>
      <c r="I41" s="47" t="s">
        <v>65</v>
      </c>
      <c r="J41" s="41"/>
      <c r="K41" s="35" t="str">
        <f>"215,0"</f>
        <v>215,0</v>
      </c>
      <c r="L41" s="21" t="str">
        <f>"128,0460"</f>
        <v>128,0460</v>
      </c>
      <c r="M41" s="20"/>
    </row>
    <row r="42" spans="1:13">
      <c r="B42" s="5" t="s">
        <v>29</v>
      </c>
    </row>
    <row r="43" spans="1:13" ht="16">
      <c r="A43" s="52" t="s">
        <v>273</v>
      </c>
      <c r="B43" s="52"/>
      <c r="C43" s="52"/>
      <c r="D43" s="52"/>
      <c r="E43" s="52"/>
      <c r="F43" s="52"/>
      <c r="G43" s="52"/>
      <c r="H43" s="52"/>
      <c r="I43" s="52"/>
      <c r="J43" s="52"/>
    </row>
    <row r="44" spans="1:13">
      <c r="A44" s="17" t="s">
        <v>28</v>
      </c>
      <c r="B44" s="16" t="s">
        <v>406</v>
      </c>
      <c r="C44" s="16" t="s">
        <v>407</v>
      </c>
      <c r="D44" s="16" t="s">
        <v>408</v>
      </c>
      <c r="E44" s="16" t="s">
        <v>1042</v>
      </c>
      <c r="F44" s="16" t="s">
        <v>1010</v>
      </c>
      <c r="G44" s="22" t="s">
        <v>126</v>
      </c>
      <c r="H44" s="22" t="s">
        <v>81</v>
      </c>
      <c r="I44" s="22" t="s">
        <v>82</v>
      </c>
      <c r="J44" s="17"/>
      <c r="K44" s="33" t="str">
        <f>"205,0"</f>
        <v>205,0</v>
      </c>
      <c r="L44" s="17" t="str">
        <f>"119,1255"</f>
        <v>119,1255</v>
      </c>
      <c r="M44" s="16"/>
    </row>
    <row r="45" spans="1:13">
      <c r="A45" s="19" t="s">
        <v>152</v>
      </c>
      <c r="B45" s="18" t="s">
        <v>409</v>
      </c>
      <c r="C45" s="18" t="s">
        <v>410</v>
      </c>
      <c r="D45" s="18" t="s">
        <v>411</v>
      </c>
      <c r="E45" s="18" t="s">
        <v>1042</v>
      </c>
      <c r="F45" s="18" t="s">
        <v>947</v>
      </c>
      <c r="G45" s="24" t="s">
        <v>73</v>
      </c>
      <c r="H45" s="24" t="s">
        <v>80</v>
      </c>
      <c r="I45" s="24" t="s">
        <v>126</v>
      </c>
      <c r="J45" s="19"/>
      <c r="K45" s="34" t="str">
        <f>"195,0"</f>
        <v>195,0</v>
      </c>
      <c r="L45" s="19" t="str">
        <f>"113,6070"</f>
        <v>113,6070</v>
      </c>
      <c r="M45" s="18"/>
    </row>
    <row r="46" spans="1:13">
      <c r="A46" s="19" t="s">
        <v>153</v>
      </c>
      <c r="B46" s="18" t="s">
        <v>412</v>
      </c>
      <c r="C46" s="18" t="s">
        <v>413</v>
      </c>
      <c r="D46" s="18" t="s">
        <v>414</v>
      </c>
      <c r="E46" s="18" t="s">
        <v>1042</v>
      </c>
      <c r="F46" s="18" t="s">
        <v>960</v>
      </c>
      <c r="G46" s="24" t="s">
        <v>382</v>
      </c>
      <c r="H46" s="25" t="s">
        <v>80</v>
      </c>
      <c r="I46" s="25" t="s">
        <v>80</v>
      </c>
      <c r="J46" s="19"/>
      <c r="K46" s="34" t="str">
        <f>"182,5"</f>
        <v>182,5</v>
      </c>
      <c r="L46" s="19" t="str">
        <f>"106,0143"</f>
        <v>106,0143</v>
      </c>
      <c r="M46" s="18"/>
    </row>
    <row r="47" spans="1:13">
      <c r="A47" s="19" t="s">
        <v>28</v>
      </c>
      <c r="B47" s="18" t="s">
        <v>409</v>
      </c>
      <c r="C47" s="18" t="s">
        <v>869</v>
      </c>
      <c r="D47" s="18" t="s">
        <v>411</v>
      </c>
      <c r="E47" s="18" t="s">
        <v>1045</v>
      </c>
      <c r="F47" s="18" t="s">
        <v>947</v>
      </c>
      <c r="G47" s="24" t="s">
        <v>73</v>
      </c>
      <c r="H47" s="24" t="s">
        <v>80</v>
      </c>
      <c r="I47" s="24" t="s">
        <v>126</v>
      </c>
      <c r="J47" s="19"/>
      <c r="K47" s="34" t="str">
        <f>"195,0"</f>
        <v>195,0</v>
      </c>
      <c r="L47" s="19" t="str">
        <f>"115,1975"</f>
        <v>115,1975</v>
      </c>
      <c r="M47" s="18"/>
    </row>
    <row r="48" spans="1:13">
      <c r="A48" s="19" t="s">
        <v>152</v>
      </c>
      <c r="B48" s="18" t="s">
        <v>412</v>
      </c>
      <c r="C48" s="18" t="s">
        <v>870</v>
      </c>
      <c r="D48" s="18" t="s">
        <v>414</v>
      </c>
      <c r="E48" s="18" t="s">
        <v>1045</v>
      </c>
      <c r="F48" s="18" t="s">
        <v>960</v>
      </c>
      <c r="G48" s="24" t="s">
        <v>382</v>
      </c>
      <c r="H48" s="25" t="s">
        <v>80</v>
      </c>
      <c r="I48" s="25" t="s">
        <v>80</v>
      </c>
      <c r="J48" s="19"/>
      <c r="K48" s="34" t="str">
        <f>"182,5"</f>
        <v>182,5</v>
      </c>
      <c r="L48" s="19" t="str">
        <f>"106,0143"</f>
        <v>106,0143</v>
      </c>
      <c r="M48" s="18"/>
    </row>
    <row r="49" spans="1:13">
      <c r="A49" s="21" t="s">
        <v>28</v>
      </c>
      <c r="B49" s="20" t="s">
        <v>406</v>
      </c>
      <c r="C49" s="20" t="s">
        <v>871</v>
      </c>
      <c r="D49" s="20" t="s">
        <v>408</v>
      </c>
      <c r="E49" s="20" t="s">
        <v>1048</v>
      </c>
      <c r="F49" s="20" t="s">
        <v>1010</v>
      </c>
      <c r="G49" s="27" t="s">
        <v>126</v>
      </c>
      <c r="H49" s="27" t="s">
        <v>81</v>
      </c>
      <c r="I49" s="27" t="s">
        <v>82</v>
      </c>
      <c r="J49" s="21"/>
      <c r="K49" s="35" t="str">
        <f>"205,0"</f>
        <v>205,0</v>
      </c>
      <c r="L49" s="21" t="str">
        <f>"132,7058"</f>
        <v>132,7058</v>
      </c>
      <c r="M49" s="20"/>
    </row>
    <row r="50" spans="1:13">
      <c r="B50" s="5" t="s">
        <v>29</v>
      </c>
    </row>
    <row r="51" spans="1:13" ht="16">
      <c r="A51" s="52" t="s">
        <v>354</v>
      </c>
      <c r="B51" s="52"/>
      <c r="C51" s="52"/>
      <c r="D51" s="52"/>
      <c r="E51" s="52"/>
      <c r="F51" s="52"/>
      <c r="G51" s="52"/>
      <c r="H51" s="52"/>
      <c r="I51" s="52"/>
      <c r="J51" s="52"/>
    </row>
    <row r="52" spans="1:13">
      <c r="A52" s="8" t="s">
        <v>28</v>
      </c>
      <c r="B52" s="7" t="s">
        <v>415</v>
      </c>
      <c r="C52" s="7" t="s">
        <v>872</v>
      </c>
      <c r="D52" s="7" t="s">
        <v>416</v>
      </c>
      <c r="E52" s="7" t="s">
        <v>1046</v>
      </c>
      <c r="F52" s="7" t="s">
        <v>1012</v>
      </c>
      <c r="G52" s="15" t="s">
        <v>81</v>
      </c>
      <c r="H52" s="15" t="s">
        <v>82</v>
      </c>
      <c r="I52" s="15" t="s">
        <v>64</v>
      </c>
      <c r="J52" s="8"/>
      <c r="K52" s="32" t="str">
        <f>"210,0"</f>
        <v>210,0</v>
      </c>
      <c r="L52" s="8" t="str">
        <f>"155,3006"</f>
        <v>155,3006</v>
      </c>
      <c r="M52" s="7"/>
    </row>
    <row r="53" spans="1:13">
      <c r="B53" s="5" t="s">
        <v>29</v>
      </c>
    </row>
    <row r="56" spans="1:13" ht="18">
      <c r="B56" s="9" t="s">
        <v>19</v>
      </c>
      <c r="C56" s="9"/>
    </row>
    <row r="57" spans="1:13" ht="16">
      <c r="B57" s="10" t="s">
        <v>20</v>
      </c>
      <c r="C57" s="10"/>
    </row>
    <row r="58" spans="1:13" ht="14">
      <c r="B58" s="11"/>
      <c r="C58" s="12" t="s">
        <v>143</v>
      </c>
    </row>
    <row r="59" spans="1:13" ht="14">
      <c r="A59" s="1"/>
      <c r="B59" s="13" t="s">
        <v>22</v>
      </c>
      <c r="C59" s="13" t="s">
        <v>23</v>
      </c>
      <c r="D59" s="13" t="s">
        <v>901</v>
      </c>
      <c r="E59" s="13" t="s">
        <v>417</v>
      </c>
      <c r="F59" s="13" t="s">
        <v>26</v>
      </c>
    </row>
    <row r="60" spans="1:13">
      <c r="A60" s="6"/>
      <c r="B60" s="5" t="s">
        <v>386</v>
      </c>
      <c r="C60" s="5" t="s">
        <v>143</v>
      </c>
      <c r="D60" s="6" t="s">
        <v>144</v>
      </c>
      <c r="E60" s="6" t="s">
        <v>57</v>
      </c>
      <c r="F60" s="6" t="s">
        <v>418</v>
      </c>
    </row>
    <row r="61" spans="1:13">
      <c r="A61" s="6"/>
      <c r="B61" s="5" t="s">
        <v>365</v>
      </c>
      <c r="C61" s="5" t="s">
        <v>143</v>
      </c>
      <c r="D61" s="6" t="s">
        <v>280</v>
      </c>
      <c r="E61" s="6" t="s">
        <v>138</v>
      </c>
      <c r="F61" s="6" t="s">
        <v>419</v>
      </c>
    </row>
    <row r="62" spans="1:13">
      <c r="A62" s="6"/>
      <c r="B62" s="5" t="s">
        <v>390</v>
      </c>
      <c r="C62" s="5" t="s">
        <v>143</v>
      </c>
      <c r="D62" s="6" t="s">
        <v>144</v>
      </c>
      <c r="E62" s="6" t="s">
        <v>131</v>
      </c>
      <c r="F62" s="6" t="s">
        <v>420</v>
      </c>
    </row>
    <row r="64" spans="1:13" ht="14">
      <c r="B64" s="11"/>
      <c r="C64" s="12" t="s">
        <v>21</v>
      </c>
    </row>
    <row r="65" spans="1:6" ht="14">
      <c r="A65" s="1"/>
      <c r="B65" s="13" t="s">
        <v>22</v>
      </c>
      <c r="C65" s="13" t="s">
        <v>23</v>
      </c>
      <c r="D65" s="13" t="s">
        <v>901</v>
      </c>
      <c r="E65" s="13" t="s">
        <v>417</v>
      </c>
      <c r="F65" s="13" t="s">
        <v>26</v>
      </c>
    </row>
    <row r="66" spans="1:6">
      <c r="A66" s="6"/>
      <c r="B66" s="5" t="s">
        <v>415</v>
      </c>
      <c r="C66" s="5" t="s">
        <v>858</v>
      </c>
      <c r="D66" s="6" t="s">
        <v>421</v>
      </c>
      <c r="E66" s="6" t="s">
        <v>64</v>
      </c>
      <c r="F66" s="6" t="s">
        <v>422</v>
      </c>
    </row>
    <row r="67" spans="1:6">
      <c r="A67" s="6"/>
      <c r="B67" s="5" t="s">
        <v>384</v>
      </c>
      <c r="C67" s="5" t="s">
        <v>859</v>
      </c>
      <c r="D67" s="6" t="s">
        <v>283</v>
      </c>
      <c r="E67" s="6" t="s">
        <v>16</v>
      </c>
      <c r="F67" s="6" t="s">
        <v>423</v>
      </c>
    </row>
    <row r="68" spans="1:6">
      <c r="A68" s="6"/>
      <c r="B68" s="5" t="s">
        <v>406</v>
      </c>
      <c r="C68" s="5" t="s">
        <v>860</v>
      </c>
      <c r="D68" s="6" t="s">
        <v>290</v>
      </c>
      <c r="E68" s="6" t="s">
        <v>82</v>
      </c>
      <c r="F68" s="6" t="s">
        <v>424</v>
      </c>
    </row>
    <row r="69" spans="1:6">
      <c r="B69" s="5" t="s">
        <v>29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0:J30"/>
    <mergeCell ref="A37:J37"/>
    <mergeCell ref="A43:J43"/>
    <mergeCell ref="A51:J51"/>
    <mergeCell ref="B3:B4"/>
    <mergeCell ref="A8:J8"/>
    <mergeCell ref="A11:J11"/>
    <mergeCell ref="A14:J14"/>
    <mergeCell ref="A17:J17"/>
    <mergeCell ref="A20:J20"/>
    <mergeCell ref="A23:J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15.5" style="5" bestFit="1" customWidth="1"/>
    <col min="5" max="5" width="9.1640625" style="5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10.6640625" style="6" customWidth="1"/>
    <col min="13" max="13" width="21.33203125" style="5" customWidth="1"/>
    <col min="14" max="16384" width="9.1640625" style="3"/>
  </cols>
  <sheetData>
    <row r="1" spans="1:13" s="2" customFormat="1" ht="29" customHeight="1">
      <c r="A1" s="53" t="s">
        <v>926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7"/>
    </row>
    <row r="5" spans="1:13" ht="16">
      <c r="A5" s="48" t="s">
        <v>200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151</v>
      </c>
      <c r="B6" s="7" t="s">
        <v>562</v>
      </c>
      <c r="C6" s="7" t="s">
        <v>563</v>
      </c>
      <c r="D6" s="7" t="s">
        <v>294</v>
      </c>
      <c r="E6" s="7" t="s">
        <v>1042</v>
      </c>
      <c r="F6" s="7" t="s">
        <v>947</v>
      </c>
      <c r="G6" s="14" t="s">
        <v>16</v>
      </c>
      <c r="H6" s="14" t="s">
        <v>16</v>
      </c>
      <c r="I6" s="14" t="s">
        <v>120</v>
      </c>
      <c r="J6" s="8"/>
      <c r="K6" s="32">
        <v>0</v>
      </c>
      <c r="L6" s="8" t="str">
        <f>"0,0000"</f>
        <v>0,0000</v>
      </c>
      <c r="M6" s="7" t="s">
        <v>564</v>
      </c>
    </row>
    <row r="7" spans="1:13">
      <c r="B7" s="5" t="s">
        <v>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/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1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33203125" style="5" customWidth="1"/>
    <col min="14" max="16384" width="9.1640625" style="3"/>
  </cols>
  <sheetData>
    <row r="1" spans="1:13" s="2" customFormat="1" ht="29" customHeight="1">
      <c r="A1" s="53" t="s">
        <v>927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7"/>
    </row>
    <row r="5" spans="1:13" ht="16">
      <c r="A5" s="48" t="s">
        <v>97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555</v>
      </c>
      <c r="C6" s="7" t="s">
        <v>556</v>
      </c>
      <c r="D6" s="7" t="s">
        <v>100</v>
      </c>
      <c r="E6" s="7" t="s">
        <v>1042</v>
      </c>
      <c r="F6" s="7" t="s">
        <v>947</v>
      </c>
      <c r="G6" s="15" t="s">
        <v>87</v>
      </c>
      <c r="H6" s="15" t="s">
        <v>65</v>
      </c>
      <c r="I6" s="15" t="s">
        <v>66</v>
      </c>
      <c r="J6" s="8"/>
      <c r="K6" s="8" t="str">
        <f>"225,0"</f>
        <v>225,0</v>
      </c>
      <c r="L6" s="8" t="str">
        <f>"136,9350"</f>
        <v>136,9350</v>
      </c>
      <c r="M6" s="7" t="s">
        <v>557</v>
      </c>
    </row>
    <row r="7" spans="1:13">
      <c r="B7" s="5" t="s">
        <v>29</v>
      </c>
    </row>
    <row r="8" spans="1:13" ht="16">
      <c r="A8" s="52" t="s">
        <v>273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28</v>
      </c>
      <c r="B9" s="7" t="s">
        <v>558</v>
      </c>
      <c r="C9" s="7" t="s">
        <v>559</v>
      </c>
      <c r="D9" s="7" t="s">
        <v>560</v>
      </c>
      <c r="E9" s="7" t="s">
        <v>1042</v>
      </c>
      <c r="F9" s="7" t="s">
        <v>1013</v>
      </c>
      <c r="G9" s="15" t="s">
        <v>112</v>
      </c>
      <c r="H9" s="14" t="s">
        <v>102</v>
      </c>
      <c r="I9" s="14" t="s">
        <v>102</v>
      </c>
      <c r="J9" s="8"/>
      <c r="K9" s="8" t="str">
        <f>"300,0"</f>
        <v>300,0</v>
      </c>
      <c r="L9" s="8" t="str">
        <f>"172,4700"</f>
        <v>172,4700</v>
      </c>
      <c r="M9" s="7" t="s">
        <v>561</v>
      </c>
    </row>
    <row r="10" spans="1:13">
      <c r="B10" s="5" t="s">
        <v>29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/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53" t="s">
        <v>928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7"/>
    </row>
    <row r="5" spans="1:13" ht="16">
      <c r="A5" s="48" t="s">
        <v>42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568</v>
      </c>
      <c r="C6" s="7" t="s">
        <v>569</v>
      </c>
      <c r="D6" s="7" t="s">
        <v>570</v>
      </c>
      <c r="E6" s="7" t="s">
        <v>1042</v>
      </c>
      <c r="F6" s="7" t="s">
        <v>947</v>
      </c>
      <c r="G6" s="15" t="s">
        <v>120</v>
      </c>
      <c r="H6" s="15" t="s">
        <v>73</v>
      </c>
      <c r="I6" s="14" t="s">
        <v>80</v>
      </c>
      <c r="J6" s="8"/>
      <c r="K6" s="8" t="str">
        <f>"180,0"</f>
        <v>180,0</v>
      </c>
      <c r="L6" s="8" t="str">
        <f>"117,5040"</f>
        <v>117,5040</v>
      </c>
      <c r="M6" s="7" t="s">
        <v>564</v>
      </c>
    </row>
    <row r="7" spans="1:13">
      <c r="B7" s="5" t="s">
        <v>29</v>
      </c>
    </row>
    <row r="8" spans="1:13">
      <c r="B8" s="5" t="s">
        <v>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53" t="s">
        <v>929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7"/>
    </row>
    <row r="5" spans="1:13" ht="16">
      <c r="A5" s="48" t="s">
        <v>273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7" t="s">
        <v>28</v>
      </c>
      <c r="B6" s="16" t="s">
        <v>565</v>
      </c>
      <c r="C6" s="16" t="s">
        <v>566</v>
      </c>
      <c r="D6" s="16" t="s">
        <v>567</v>
      </c>
      <c r="E6" s="16" t="s">
        <v>1042</v>
      </c>
      <c r="F6" s="16" t="s">
        <v>1013</v>
      </c>
      <c r="G6" s="23" t="s">
        <v>64</v>
      </c>
      <c r="H6" s="23" t="s">
        <v>65</v>
      </c>
      <c r="I6" s="22" t="s">
        <v>65</v>
      </c>
      <c r="J6" s="17"/>
      <c r="K6" s="17" t="str">
        <f>"220,0"</f>
        <v>220,0</v>
      </c>
      <c r="L6" s="17" t="str">
        <f>"126,6320"</f>
        <v>126,6320</v>
      </c>
      <c r="M6" s="16"/>
    </row>
    <row r="7" spans="1:13">
      <c r="A7" s="21" t="s">
        <v>28</v>
      </c>
      <c r="B7" s="20" t="s">
        <v>565</v>
      </c>
      <c r="C7" s="20" t="s">
        <v>844</v>
      </c>
      <c r="D7" s="20" t="s">
        <v>567</v>
      </c>
      <c r="E7" s="20" t="s">
        <v>1046</v>
      </c>
      <c r="F7" s="20" t="s">
        <v>1013</v>
      </c>
      <c r="G7" s="26" t="s">
        <v>64</v>
      </c>
      <c r="H7" s="26" t="s">
        <v>65</v>
      </c>
      <c r="I7" s="27" t="s">
        <v>65</v>
      </c>
      <c r="J7" s="21"/>
      <c r="K7" s="21" t="str">
        <f>"220,0"</f>
        <v>220,0</v>
      </c>
      <c r="L7" s="21" t="str">
        <f>"170,9532"</f>
        <v>170,9532</v>
      </c>
      <c r="M7" s="20"/>
    </row>
    <row r="8" spans="1:13">
      <c r="B8" s="5" t="s">
        <v>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8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53" t="s">
        <v>894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28">
        <v>1</v>
      </c>
      <c r="H4" s="28">
        <v>2</v>
      </c>
      <c r="I4" s="28">
        <v>3</v>
      </c>
      <c r="J4" s="28" t="s">
        <v>4</v>
      </c>
      <c r="K4" s="64"/>
      <c r="L4" s="64"/>
      <c r="M4" s="67"/>
    </row>
    <row r="5" spans="1:13" ht="16">
      <c r="A5" s="48" t="s">
        <v>9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7" t="s">
        <v>28</v>
      </c>
      <c r="B6" s="16" t="s">
        <v>727</v>
      </c>
      <c r="C6" s="16" t="s">
        <v>726</v>
      </c>
      <c r="D6" s="16" t="s">
        <v>725</v>
      </c>
      <c r="E6" s="16" t="s">
        <v>1042</v>
      </c>
      <c r="F6" s="16" t="s">
        <v>1014</v>
      </c>
      <c r="G6" s="22" t="s">
        <v>78</v>
      </c>
      <c r="H6" s="22" t="s">
        <v>668</v>
      </c>
      <c r="I6" s="23" t="s">
        <v>112</v>
      </c>
      <c r="J6" s="17"/>
      <c r="K6" s="17" t="str">
        <f>"282,5"</f>
        <v>282,5</v>
      </c>
      <c r="L6" s="17" t="str">
        <f>"158,9063"</f>
        <v>158,9063</v>
      </c>
      <c r="M6" s="16"/>
    </row>
    <row r="7" spans="1:13">
      <c r="A7" s="19" t="s">
        <v>152</v>
      </c>
      <c r="B7" s="18" t="s">
        <v>724</v>
      </c>
      <c r="C7" s="18" t="s">
        <v>723</v>
      </c>
      <c r="D7" s="18" t="s">
        <v>722</v>
      </c>
      <c r="E7" s="18" t="s">
        <v>1042</v>
      </c>
      <c r="F7" s="18" t="s">
        <v>947</v>
      </c>
      <c r="G7" s="24" t="s">
        <v>12</v>
      </c>
      <c r="H7" s="24" t="s">
        <v>18</v>
      </c>
      <c r="I7" s="25" t="s">
        <v>68</v>
      </c>
      <c r="J7" s="19"/>
      <c r="K7" s="19" t="str">
        <f>"245,0"</f>
        <v>245,0</v>
      </c>
      <c r="L7" s="19" t="str">
        <f>"137,9595"</f>
        <v>137,9595</v>
      </c>
      <c r="M7" s="18"/>
    </row>
    <row r="8" spans="1:13">
      <c r="A8" s="19" t="s">
        <v>153</v>
      </c>
      <c r="B8" s="18" t="s">
        <v>721</v>
      </c>
      <c r="C8" s="18" t="s">
        <v>720</v>
      </c>
      <c r="D8" s="18" t="s">
        <v>531</v>
      </c>
      <c r="E8" s="18" t="s">
        <v>1042</v>
      </c>
      <c r="F8" s="18" t="s">
        <v>1014</v>
      </c>
      <c r="G8" s="24" t="s">
        <v>17</v>
      </c>
      <c r="H8" s="25" t="s">
        <v>18</v>
      </c>
      <c r="I8" s="25" t="s">
        <v>719</v>
      </c>
      <c r="J8" s="19"/>
      <c r="K8" s="19" t="str">
        <f>"230,0"</f>
        <v>230,0</v>
      </c>
      <c r="L8" s="19" t="str">
        <f>"129,4325"</f>
        <v>129,4325</v>
      </c>
      <c r="M8" s="18" t="s">
        <v>718</v>
      </c>
    </row>
    <row r="9" spans="1:13">
      <c r="A9" s="21" t="s">
        <v>28</v>
      </c>
      <c r="B9" s="20" t="s">
        <v>717</v>
      </c>
      <c r="C9" s="20" t="s">
        <v>873</v>
      </c>
      <c r="D9" s="20" t="s">
        <v>322</v>
      </c>
      <c r="E9" s="20" t="s">
        <v>1048</v>
      </c>
      <c r="F9" s="20" t="s">
        <v>1008</v>
      </c>
      <c r="G9" s="27" t="s">
        <v>73</v>
      </c>
      <c r="H9" s="27" t="s">
        <v>80</v>
      </c>
      <c r="I9" s="27" t="s">
        <v>253</v>
      </c>
      <c r="J9" s="21"/>
      <c r="K9" s="21" t="str">
        <f>"202,5"</f>
        <v>202,5</v>
      </c>
      <c r="L9" s="21" t="str">
        <f>"147,7065"</f>
        <v>147,7065</v>
      </c>
      <c r="M9" s="20"/>
    </row>
    <row r="10" spans="1:13">
      <c r="B10" s="5" t="s">
        <v>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U42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1" bestFit="1" customWidth="1"/>
    <col min="20" max="20" width="8.5" style="6" bestFit="1" customWidth="1"/>
    <col min="21" max="21" width="20.1640625" style="5" customWidth="1"/>
    <col min="22" max="16384" width="9.1640625" style="3"/>
  </cols>
  <sheetData>
    <row r="1" spans="1:21" s="2" customFormat="1" ht="29" customHeight="1">
      <c r="A1" s="53" t="s">
        <v>913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6</v>
      </c>
      <c r="H3" s="65"/>
      <c r="I3" s="65"/>
      <c r="J3" s="65"/>
      <c r="K3" s="65" t="s">
        <v>7</v>
      </c>
      <c r="L3" s="65"/>
      <c r="M3" s="65"/>
      <c r="N3" s="65"/>
      <c r="O3" s="65" t="s">
        <v>8</v>
      </c>
      <c r="P3" s="65"/>
      <c r="Q3" s="65"/>
      <c r="R3" s="65"/>
      <c r="S3" s="68" t="s">
        <v>1</v>
      </c>
      <c r="T3" s="65" t="s">
        <v>3</v>
      </c>
      <c r="U3" s="66" t="s">
        <v>2</v>
      </c>
    </row>
    <row r="4" spans="1:21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9"/>
      <c r="T4" s="64"/>
      <c r="U4" s="67"/>
    </row>
    <row r="5" spans="1:21" ht="16">
      <c r="A5" s="48" t="s">
        <v>30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8" t="s">
        <v>28</v>
      </c>
      <c r="B6" s="7" t="s">
        <v>31</v>
      </c>
      <c r="C6" s="7" t="s">
        <v>32</v>
      </c>
      <c r="D6" s="7" t="s">
        <v>33</v>
      </c>
      <c r="E6" s="7" t="s">
        <v>1042</v>
      </c>
      <c r="F6" s="7" t="s">
        <v>958</v>
      </c>
      <c r="G6" s="15" t="s">
        <v>34</v>
      </c>
      <c r="H6" s="15" t="s">
        <v>35</v>
      </c>
      <c r="I6" s="15" t="s">
        <v>36</v>
      </c>
      <c r="J6" s="8"/>
      <c r="K6" s="15" t="s">
        <v>37</v>
      </c>
      <c r="L6" s="15" t="s">
        <v>38</v>
      </c>
      <c r="M6" s="14" t="s">
        <v>39</v>
      </c>
      <c r="N6" s="8"/>
      <c r="O6" s="15" t="s">
        <v>36</v>
      </c>
      <c r="P6" s="15" t="s">
        <v>40</v>
      </c>
      <c r="Q6" s="14" t="s">
        <v>15</v>
      </c>
      <c r="R6" s="8"/>
      <c r="S6" s="32" t="str">
        <f>"367,5"</f>
        <v>367,5</v>
      </c>
      <c r="T6" s="8" t="str">
        <f>"377,0918"</f>
        <v>377,0918</v>
      </c>
      <c r="U6" s="7" t="s">
        <v>41</v>
      </c>
    </row>
    <row r="7" spans="1:21">
      <c r="B7" s="5" t="s">
        <v>29</v>
      </c>
    </row>
    <row r="8" spans="1:21" ht="16">
      <c r="A8" s="52" t="s">
        <v>42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8" t="s">
        <v>151</v>
      </c>
      <c r="B9" s="7" t="s">
        <v>43</v>
      </c>
      <c r="C9" s="7" t="s">
        <v>44</v>
      </c>
      <c r="D9" s="7" t="s">
        <v>45</v>
      </c>
      <c r="E9" s="7" t="s">
        <v>1043</v>
      </c>
      <c r="F9" s="7" t="s">
        <v>959</v>
      </c>
      <c r="G9" s="15" t="s">
        <v>46</v>
      </c>
      <c r="H9" s="15" t="s">
        <v>47</v>
      </c>
      <c r="I9" s="15" t="s">
        <v>48</v>
      </c>
      <c r="J9" s="8"/>
      <c r="K9" s="14" t="s">
        <v>49</v>
      </c>
      <c r="L9" s="14" t="s">
        <v>49</v>
      </c>
      <c r="M9" s="14" t="s">
        <v>49</v>
      </c>
      <c r="N9" s="8"/>
      <c r="O9" s="14"/>
      <c r="P9" s="8"/>
      <c r="Q9" s="8"/>
      <c r="R9" s="8"/>
      <c r="S9" s="32">
        <v>0</v>
      </c>
      <c r="T9" s="8" t="str">
        <f>"0,0000"</f>
        <v>0,0000</v>
      </c>
      <c r="U9" s="7" t="s">
        <v>902</v>
      </c>
    </row>
    <row r="10" spans="1:21">
      <c r="B10" s="5" t="s">
        <v>29</v>
      </c>
    </row>
    <row r="11" spans="1:21" ht="16">
      <c r="A11" s="52" t="s">
        <v>51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>
      <c r="A12" s="17" t="s">
        <v>28</v>
      </c>
      <c r="B12" s="16" t="s">
        <v>52</v>
      </c>
      <c r="C12" s="16" t="s">
        <v>53</v>
      </c>
      <c r="D12" s="16" t="s">
        <v>54</v>
      </c>
      <c r="E12" s="16" t="s">
        <v>1042</v>
      </c>
      <c r="F12" s="16" t="s">
        <v>960</v>
      </c>
      <c r="G12" s="22" t="s">
        <v>12</v>
      </c>
      <c r="H12" s="22" t="s">
        <v>18</v>
      </c>
      <c r="I12" s="23" t="s">
        <v>14</v>
      </c>
      <c r="J12" s="17"/>
      <c r="K12" s="23" t="s">
        <v>55</v>
      </c>
      <c r="L12" s="22" t="s">
        <v>56</v>
      </c>
      <c r="M12" s="23" t="s">
        <v>40</v>
      </c>
      <c r="N12" s="17"/>
      <c r="O12" s="23" t="s">
        <v>14</v>
      </c>
      <c r="P12" s="22" t="s">
        <v>57</v>
      </c>
      <c r="Q12" s="22" t="s">
        <v>58</v>
      </c>
      <c r="R12" s="17"/>
      <c r="S12" s="33" t="str">
        <f>"655,0"</f>
        <v>655,0</v>
      </c>
      <c r="T12" s="17" t="str">
        <f>"440,4220"</f>
        <v>440,4220</v>
      </c>
      <c r="U12" s="16" t="s">
        <v>59</v>
      </c>
    </row>
    <row r="13" spans="1:21">
      <c r="A13" s="19" t="s">
        <v>152</v>
      </c>
      <c r="B13" s="18" t="s">
        <v>60</v>
      </c>
      <c r="C13" s="18" t="s">
        <v>61</v>
      </c>
      <c r="D13" s="18" t="s">
        <v>62</v>
      </c>
      <c r="E13" s="16" t="s">
        <v>1042</v>
      </c>
      <c r="F13" s="18" t="s">
        <v>63</v>
      </c>
      <c r="G13" s="24" t="s">
        <v>64</v>
      </c>
      <c r="H13" s="24" t="s">
        <v>65</v>
      </c>
      <c r="I13" s="25" t="s">
        <v>66</v>
      </c>
      <c r="J13" s="19"/>
      <c r="K13" s="24" t="s">
        <v>56</v>
      </c>
      <c r="L13" s="24" t="s">
        <v>40</v>
      </c>
      <c r="M13" s="24" t="s">
        <v>67</v>
      </c>
      <c r="N13" s="19"/>
      <c r="O13" s="24" t="s">
        <v>18</v>
      </c>
      <c r="P13" s="24" t="s">
        <v>68</v>
      </c>
      <c r="Q13" s="24" t="s">
        <v>57</v>
      </c>
      <c r="R13" s="19"/>
      <c r="S13" s="34" t="str">
        <f>"632,5"</f>
        <v>632,5</v>
      </c>
      <c r="T13" s="19" t="str">
        <f>"426,8742"</f>
        <v>426,8742</v>
      </c>
      <c r="U13" s="18" t="s">
        <v>69</v>
      </c>
    </row>
    <row r="14" spans="1:21">
      <c r="A14" s="21" t="s">
        <v>153</v>
      </c>
      <c r="B14" s="20" t="s">
        <v>70</v>
      </c>
      <c r="C14" s="20" t="s">
        <v>71</v>
      </c>
      <c r="D14" s="20" t="s">
        <v>72</v>
      </c>
      <c r="E14" s="16" t="s">
        <v>1042</v>
      </c>
      <c r="F14" s="20" t="s">
        <v>961</v>
      </c>
      <c r="G14" s="26" t="s">
        <v>73</v>
      </c>
      <c r="H14" s="26" t="s">
        <v>74</v>
      </c>
      <c r="I14" s="27" t="s">
        <v>74</v>
      </c>
      <c r="J14" s="21"/>
      <c r="K14" s="27" t="s">
        <v>48</v>
      </c>
      <c r="L14" s="27" t="s">
        <v>34</v>
      </c>
      <c r="M14" s="27" t="s">
        <v>35</v>
      </c>
      <c r="N14" s="21"/>
      <c r="O14" s="27" t="s">
        <v>64</v>
      </c>
      <c r="P14" s="27" t="s">
        <v>65</v>
      </c>
      <c r="Q14" s="27" t="s">
        <v>12</v>
      </c>
      <c r="R14" s="21"/>
      <c r="S14" s="35" t="str">
        <f>"550,0"</f>
        <v>550,0</v>
      </c>
      <c r="T14" s="21" t="str">
        <f>"381,6450"</f>
        <v>381,6450</v>
      </c>
      <c r="U14" s="20"/>
    </row>
    <row r="15" spans="1:21">
      <c r="B15" s="5" t="s">
        <v>29</v>
      </c>
    </row>
    <row r="16" spans="1:21" ht="16">
      <c r="A16" s="52" t="s">
        <v>42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21">
      <c r="A17" s="17" t="s">
        <v>28</v>
      </c>
      <c r="B17" s="16" t="s">
        <v>75</v>
      </c>
      <c r="C17" s="16" t="s">
        <v>76</v>
      </c>
      <c r="D17" s="16" t="s">
        <v>77</v>
      </c>
      <c r="E17" s="16" t="s">
        <v>1042</v>
      </c>
      <c r="F17" s="16" t="s">
        <v>962</v>
      </c>
      <c r="G17" s="22" t="s">
        <v>78</v>
      </c>
      <c r="H17" s="22" t="s">
        <v>58</v>
      </c>
      <c r="I17" s="23" t="s">
        <v>79</v>
      </c>
      <c r="J17" s="17"/>
      <c r="K17" s="22" t="s">
        <v>80</v>
      </c>
      <c r="L17" s="22" t="s">
        <v>81</v>
      </c>
      <c r="M17" s="23" t="s">
        <v>82</v>
      </c>
      <c r="N17" s="17"/>
      <c r="O17" s="23" t="s">
        <v>79</v>
      </c>
      <c r="P17" s="22" t="s">
        <v>79</v>
      </c>
      <c r="Q17" s="23" t="s">
        <v>83</v>
      </c>
      <c r="R17" s="17"/>
      <c r="S17" s="33" t="str">
        <f>"745,0"</f>
        <v>745,0</v>
      </c>
      <c r="T17" s="17" t="str">
        <f>"477,2470"</f>
        <v>477,2470</v>
      </c>
      <c r="U17" s="16" t="s">
        <v>41</v>
      </c>
    </row>
    <row r="18" spans="1:21">
      <c r="A18" s="19" t="s">
        <v>152</v>
      </c>
      <c r="B18" s="18" t="s">
        <v>84</v>
      </c>
      <c r="C18" s="18" t="s">
        <v>85</v>
      </c>
      <c r="D18" s="18" t="s">
        <v>86</v>
      </c>
      <c r="E18" s="16" t="s">
        <v>1042</v>
      </c>
      <c r="F18" s="18" t="s">
        <v>963</v>
      </c>
      <c r="G18" s="24" t="s">
        <v>73</v>
      </c>
      <c r="H18" s="24" t="s">
        <v>81</v>
      </c>
      <c r="I18" s="24" t="s">
        <v>87</v>
      </c>
      <c r="J18" s="19"/>
      <c r="K18" s="24" t="s">
        <v>36</v>
      </c>
      <c r="L18" s="24" t="s">
        <v>40</v>
      </c>
      <c r="M18" s="19"/>
      <c r="N18" s="19"/>
      <c r="O18" s="24" t="s">
        <v>17</v>
      </c>
      <c r="P18" s="24" t="s">
        <v>14</v>
      </c>
      <c r="Q18" s="25" t="s">
        <v>68</v>
      </c>
      <c r="R18" s="19"/>
      <c r="S18" s="34" t="str">
        <f>"610,0"</f>
        <v>610,0</v>
      </c>
      <c r="T18" s="19" t="str">
        <f>"392,8400"</f>
        <v>392,8400</v>
      </c>
      <c r="U18" s="18" t="s">
        <v>88</v>
      </c>
    </row>
    <row r="19" spans="1:21">
      <c r="A19" s="19" t="s">
        <v>153</v>
      </c>
      <c r="B19" s="18" t="s">
        <v>89</v>
      </c>
      <c r="C19" s="18" t="s">
        <v>90</v>
      </c>
      <c r="D19" s="18" t="s">
        <v>91</v>
      </c>
      <c r="E19" s="16" t="s">
        <v>1042</v>
      </c>
      <c r="F19" s="18" t="s">
        <v>964</v>
      </c>
      <c r="G19" s="24" t="s">
        <v>56</v>
      </c>
      <c r="H19" s="24" t="s">
        <v>15</v>
      </c>
      <c r="I19" s="25" t="s">
        <v>92</v>
      </c>
      <c r="J19" s="19"/>
      <c r="K19" s="24" t="s">
        <v>15</v>
      </c>
      <c r="L19" s="24" t="s">
        <v>16</v>
      </c>
      <c r="M19" s="25" t="s">
        <v>93</v>
      </c>
      <c r="N19" s="19"/>
      <c r="O19" s="24" t="s">
        <v>15</v>
      </c>
      <c r="P19" s="25" t="s">
        <v>92</v>
      </c>
      <c r="Q19" s="19"/>
      <c r="R19" s="19"/>
      <c r="S19" s="34" t="str">
        <f>"460,0"</f>
        <v>460,0</v>
      </c>
      <c r="T19" s="19" t="str">
        <f>"295,5040"</f>
        <v>295,5040</v>
      </c>
      <c r="U19" s="18"/>
    </row>
    <row r="20" spans="1:21">
      <c r="A20" s="21" t="s">
        <v>151</v>
      </c>
      <c r="B20" s="20" t="s">
        <v>94</v>
      </c>
      <c r="C20" s="20" t="s">
        <v>95</v>
      </c>
      <c r="D20" s="20" t="s">
        <v>77</v>
      </c>
      <c r="E20" s="16" t="s">
        <v>1042</v>
      </c>
      <c r="F20" s="20" t="s">
        <v>946</v>
      </c>
      <c r="G20" s="26" t="s">
        <v>66</v>
      </c>
      <c r="H20" s="26" t="s">
        <v>17</v>
      </c>
      <c r="I20" s="26" t="s">
        <v>13</v>
      </c>
      <c r="J20" s="21"/>
      <c r="K20" s="26"/>
      <c r="L20" s="21"/>
      <c r="M20" s="21"/>
      <c r="N20" s="21"/>
      <c r="O20" s="26"/>
      <c r="P20" s="21"/>
      <c r="Q20" s="21"/>
      <c r="R20" s="21"/>
      <c r="S20" s="35">
        <v>0</v>
      </c>
      <c r="T20" s="21" t="str">
        <f>"0,0000"</f>
        <v>0,0000</v>
      </c>
      <c r="U20" s="20" t="s">
        <v>96</v>
      </c>
    </row>
    <row r="21" spans="1:21">
      <c r="B21" s="5" t="s">
        <v>29</v>
      </c>
    </row>
    <row r="22" spans="1:21" ht="16">
      <c r="A22" s="52" t="s">
        <v>97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21">
      <c r="A23" s="17" t="s">
        <v>28</v>
      </c>
      <c r="B23" s="16" t="s">
        <v>98</v>
      </c>
      <c r="C23" s="16" t="s">
        <v>99</v>
      </c>
      <c r="D23" s="16" t="s">
        <v>100</v>
      </c>
      <c r="E23" s="16" t="s">
        <v>1042</v>
      </c>
      <c r="F23" s="16" t="s">
        <v>947</v>
      </c>
      <c r="G23" s="22" t="s">
        <v>101</v>
      </c>
      <c r="H23" s="23" t="s">
        <v>102</v>
      </c>
      <c r="I23" s="22" t="s">
        <v>103</v>
      </c>
      <c r="J23" s="17"/>
      <c r="K23" s="22" t="s">
        <v>87</v>
      </c>
      <c r="L23" s="22" t="s">
        <v>104</v>
      </c>
      <c r="M23" s="22" t="s">
        <v>105</v>
      </c>
      <c r="N23" s="17"/>
      <c r="O23" s="23" t="s">
        <v>106</v>
      </c>
      <c r="P23" s="22" t="s">
        <v>106</v>
      </c>
      <c r="Q23" s="23" t="s">
        <v>107</v>
      </c>
      <c r="R23" s="17"/>
      <c r="S23" s="33" t="str">
        <f>"972,5"</f>
        <v>972,5</v>
      </c>
      <c r="T23" s="17" t="str">
        <f>"591,8635"</f>
        <v>591,8635</v>
      </c>
      <c r="U23" s="16"/>
    </row>
    <row r="24" spans="1:21">
      <c r="A24" s="19" t="s">
        <v>152</v>
      </c>
      <c r="B24" s="18" t="s">
        <v>108</v>
      </c>
      <c r="C24" s="18" t="s">
        <v>109</v>
      </c>
      <c r="D24" s="18" t="s">
        <v>110</v>
      </c>
      <c r="E24" s="16" t="s">
        <v>1042</v>
      </c>
      <c r="F24" s="18" t="s">
        <v>960</v>
      </c>
      <c r="G24" s="24" t="s">
        <v>111</v>
      </c>
      <c r="H24" s="24" t="s">
        <v>112</v>
      </c>
      <c r="I24" s="25" t="s">
        <v>113</v>
      </c>
      <c r="J24" s="19"/>
      <c r="K24" s="25" t="s">
        <v>87</v>
      </c>
      <c r="L24" s="24" t="s">
        <v>87</v>
      </c>
      <c r="M24" s="19"/>
      <c r="N24" s="19"/>
      <c r="O24" s="25" t="s">
        <v>102</v>
      </c>
      <c r="P24" s="25" t="s">
        <v>114</v>
      </c>
      <c r="Q24" s="24" t="s">
        <v>114</v>
      </c>
      <c r="R24" s="19"/>
      <c r="S24" s="34" t="str">
        <f>"845,0"</f>
        <v>845,0</v>
      </c>
      <c r="T24" s="19" t="str">
        <f>"516,1260"</f>
        <v>516,1260</v>
      </c>
      <c r="U24" s="18"/>
    </row>
    <row r="25" spans="1:21">
      <c r="A25" s="19" t="s">
        <v>153</v>
      </c>
      <c r="B25" s="18" t="s">
        <v>115</v>
      </c>
      <c r="C25" s="18" t="s">
        <v>116</v>
      </c>
      <c r="D25" s="18" t="s">
        <v>117</v>
      </c>
      <c r="E25" s="16" t="s">
        <v>1042</v>
      </c>
      <c r="F25" s="18" t="s">
        <v>965</v>
      </c>
      <c r="G25" s="24" t="s">
        <v>58</v>
      </c>
      <c r="H25" s="24" t="s">
        <v>118</v>
      </c>
      <c r="I25" s="24" t="s">
        <v>112</v>
      </c>
      <c r="J25" s="19"/>
      <c r="K25" s="24" t="s">
        <v>16</v>
      </c>
      <c r="L25" s="24" t="s">
        <v>119</v>
      </c>
      <c r="M25" s="24" t="s">
        <v>120</v>
      </c>
      <c r="N25" s="19"/>
      <c r="O25" s="24" t="s">
        <v>113</v>
      </c>
      <c r="P25" s="24" t="s">
        <v>121</v>
      </c>
      <c r="Q25" s="25" t="s">
        <v>122</v>
      </c>
      <c r="R25" s="19"/>
      <c r="S25" s="34" t="str">
        <f>"797,5"</f>
        <v>797,5</v>
      </c>
      <c r="T25" s="19" t="str">
        <f>"489,3460"</f>
        <v>489,3460</v>
      </c>
      <c r="U25" s="18" t="s">
        <v>41</v>
      </c>
    </row>
    <row r="26" spans="1:21">
      <c r="A26" s="19" t="s">
        <v>154</v>
      </c>
      <c r="B26" s="18" t="s">
        <v>123</v>
      </c>
      <c r="C26" s="18" t="s">
        <v>124</v>
      </c>
      <c r="D26" s="18" t="s">
        <v>125</v>
      </c>
      <c r="E26" s="16" t="s">
        <v>1042</v>
      </c>
      <c r="F26" s="18" t="s">
        <v>966</v>
      </c>
      <c r="G26" s="24" t="s">
        <v>64</v>
      </c>
      <c r="H26" s="24" t="s">
        <v>66</v>
      </c>
      <c r="I26" s="24" t="s">
        <v>12</v>
      </c>
      <c r="J26" s="19"/>
      <c r="K26" s="24" t="s">
        <v>126</v>
      </c>
      <c r="L26" s="25" t="s">
        <v>82</v>
      </c>
      <c r="M26" s="25" t="s">
        <v>82</v>
      </c>
      <c r="N26" s="19"/>
      <c r="O26" s="24" t="s">
        <v>68</v>
      </c>
      <c r="P26" s="25" t="s">
        <v>58</v>
      </c>
      <c r="Q26" s="19"/>
      <c r="R26" s="19"/>
      <c r="S26" s="34" t="str">
        <f>"685,0"</f>
        <v>685,0</v>
      </c>
      <c r="T26" s="19" t="str">
        <f>"427,5085"</f>
        <v>427,5085</v>
      </c>
      <c r="U26" s="18" t="s">
        <v>127</v>
      </c>
    </row>
    <row r="27" spans="1:21">
      <c r="A27" s="19" t="s">
        <v>155</v>
      </c>
      <c r="B27" s="18" t="s">
        <v>128</v>
      </c>
      <c r="C27" s="18" t="s">
        <v>129</v>
      </c>
      <c r="D27" s="18" t="s">
        <v>130</v>
      </c>
      <c r="E27" s="16" t="s">
        <v>1042</v>
      </c>
      <c r="F27" s="18" t="s">
        <v>967</v>
      </c>
      <c r="G27" s="24" t="s">
        <v>131</v>
      </c>
      <c r="H27" s="24" t="s">
        <v>87</v>
      </c>
      <c r="I27" s="24" t="s">
        <v>132</v>
      </c>
      <c r="J27" s="19"/>
      <c r="K27" s="24" t="s">
        <v>120</v>
      </c>
      <c r="L27" s="24" t="s">
        <v>73</v>
      </c>
      <c r="M27" s="25" t="s">
        <v>133</v>
      </c>
      <c r="N27" s="19"/>
      <c r="O27" s="24" t="s">
        <v>66</v>
      </c>
      <c r="P27" s="24" t="s">
        <v>13</v>
      </c>
      <c r="Q27" s="24" t="s">
        <v>134</v>
      </c>
      <c r="R27" s="19"/>
      <c r="S27" s="34" t="str">
        <f>"655,0"</f>
        <v>655,0</v>
      </c>
      <c r="T27" s="19" t="str">
        <f>"401,5805"</f>
        <v>401,5805</v>
      </c>
      <c r="U27" s="18"/>
    </row>
    <row r="28" spans="1:21">
      <c r="A28" s="21" t="s">
        <v>28</v>
      </c>
      <c r="B28" s="20" t="s">
        <v>135</v>
      </c>
      <c r="C28" s="20" t="s">
        <v>836</v>
      </c>
      <c r="D28" s="20" t="s">
        <v>136</v>
      </c>
      <c r="E28" s="20" t="s">
        <v>1045</v>
      </c>
      <c r="F28" s="20" t="s">
        <v>968</v>
      </c>
      <c r="G28" s="26" t="s">
        <v>74</v>
      </c>
      <c r="H28" s="27" t="s">
        <v>74</v>
      </c>
      <c r="I28" s="27" t="s">
        <v>81</v>
      </c>
      <c r="J28" s="21"/>
      <c r="K28" s="27" t="s">
        <v>137</v>
      </c>
      <c r="L28" s="27" t="s">
        <v>16</v>
      </c>
      <c r="M28" s="27" t="s">
        <v>138</v>
      </c>
      <c r="N28" s="21"/>
      <c r="O28" s="26" t="s">
        <v>126</v>
      </c>
      <c r="P28" s="27" t="s">
        <v>82</v>
      </c>
      <c r="Q28" s="27" t="s">
        <v>87</v>
      </c>
      <c r="R28" s="21"/>
      <c r="S28" s="35" t="str">
        <f>"590,0"</f>
        <v>590,0</v>
      </c>
      <c r="T28" s="21" t="str">
        <f>"374,4654"</f>
        <v>374,4654</v>
      </c>
      <c r="U28" s="20"/>
    </row>
    <row r="29" spans="1:21">
      <c r="B29" s="5" t="s">
        <v>29</v>
      </c>
    </row>
    <row r="30" spans="1:21" ht="16">
      <c r="A30" s="52" t="s">
        <v>9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21">
      <c r="A31" s="8" t="s">
        <v>28</v>
      </c>
      <c r="B31" s="7" t="s">
        <v>139</v>
      </c>
      <c r="C31" s="7" t="s">
        <v>140</v>
      </c>
      <c r="D31" s="7" t="s">
        <v>141</v>
      </c>
      <c r="E31" s="7" t="s">
        <v>1042</v>
      </c>
      <c r="F31" s="7" t="s">
        <v>969</v>
      </c>
      <c r="G31" s="15" t="s">
        <v>66</v>
      </c>
      <c r="H31" s="15" t="s">
        <v>12</v>
      </c>
      <c r="I31" s="15" t="s">
        <v>18</v>
      </c>
      <c r="J31" s="8"/>
      <c r="K31" s="15" t="s">
        <v>15</v>
      </c>
      <c r="L31" s="15" t="s">
        <v>16</v>
      </c>
      <c r="M31" s="15" t="s">
        <v>119</v>
      </c>
      <c r="N31" s="8"/>
      <c r="O31" s="14" t="s">
        <v>13</v>
      </c>
      <c r="P31" s="15" t="s">
        <v>13</v>
      </c>
      <c r="Q31" s="15" t="s">
        <v>14</v>
      </c>
      <c r="R31" s="8"/>
      <c r="S31" s="32" t="str">
        <f>"662,5"</f>
        <v>662,5</v>
      </c>
      <c r="T31" s="8" t="str">
        <f>"399,0900"</f>
        <v>399,0900</v>
      </c>
      <c r="U31" s="7" t="s">
        <v>41</v>
      </c>
    </row>
    <row r="32" spans="1:21">
      <c r="B32" s="5" t="s">
        <v>29</v>
      </c>
    </row>
    <row r="35" spans="1:6" ht="18">
      <c r="B35" s="9" t="s">
        <v>19</v>
      </c>
      <c r="C35" s="9"/>
    </row>
    <row r="36" spans="1:6" ht="16">
      <c r="B36" s="10" t="s">
        <v>20</v>
      </c>
      <c r="C36" s="10"/>
    </row>
    <row r="37" spans="1:6" ht="14">
      <c r="B37" s="11"/>
      <c r="C37" s="12" t="s">
        <v>143</v>
      </c>
    </row>
    <row r="38" spans="1:6" ht="14">
      <c r="A38" s="1"/>
      <c r="B38" s="13" t="s">
        <v>22</v>
      </c>
      <c r="C38" s="13" t="s">
        <v>23</v>
      </c>
      <c r="D38" s="13" t="s">
        <v>901</v>
      </c>
      <c r="E38" s="13" t="s">
        <v>25</v>
      </c>
      <c r="F38" s="13" t="s">
        <v>26</v>
      </c>
    </row>
    <row r="39" spans="1:6">
      <c r="A39" s="6"/>
      <c r="B39" s="5" t="s">
        <v>98</v>
      </c>
      <c r="C39" s="5" t="s">
        <v>143</v>
      </c>
      <c r="D39" s="6" t="s">
        <v>144</v>
      </c>
      <c r="E39" s="6" t="s">
        <v>145</v>
      </c>
      <c r="F39" s="6" t="s">
        <v>146</v>
      </c>
    </row>
    <row r="40" spans="1:6">
      <c r="A40" s="6"/>
      <c r="B40" s="5" t="s">
        <v>108</v>
      </c>
      <c r="C40" s="5" t="s">
        <v>143</v>
      </c>
      <c r="D40" s="6" t="s">
        <v>144</v>
      </c>
      <c r="E40" s="6" t="s">
        <v>147</v>
      </c>
      <c r="F40" s="6" t="s">
        <v>148</v>
      </c>
    </row>
    <row r="41" spans="1:6">
      <c r="A41" s="6"/>
      <c r="B41" s="5" t="s">
        <v>115</v>
      </c>
      <c r="C41" s="5" t="s">
        <v>143</v>
      </c>
      <c r="D41" s="6" t="s">
        <v>144</v>
      </c>
      <c r="E41" s="6" t="s">
        <v>149</v>
      </c>
      <c r="F41" s="6" t="s">
        <v>150</v>
      </c>
    </row>
    <row r="42" spans="1:6">
      <c r="B42" s="5" t="s">
        <v>29</v>
      </c>
    </row>
  </sheetData>
  <mergeCells count="19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  <mergeCell ref="A30:R30"/>
    <mergeCell ref="A5:R5"/>
    <mergeCell ref="A8:R8"/>
    <mergeCell ref="A11:R11"/>
    <mergeCell ref="A16:R16"/>
    <mergeCell ref="A22:R2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>
    <pageSetUpPr fitToPage="1"/>
  </sheetPr>
  <dimension ref="A1:M24"/>
  <sheetViews>
    <sheetView workbookViewId="0">
      <selection activeCell="E24" sqref="E24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9" width="5.5" style="6" customWidth="1"/>
    <col min="10" max="10" width="4.83203125" style="6" customWidth="1"/>
    <col min="11" max="11" width="10.5" style="31" bestFit="1" customWidth="1"/>
    <col min="12" max="12" width="8.5" style="6" bestFit="1" customWidth="1"/>
    <col min="13" max="13" width="20.1640625" style="5" bestFit="1" customWidth="1"/>
    <col min="14" max="16384" width="9.1640625" style="3"/>
  </cols>
  <sheetData>
    <row r="1" spans="1:13" s="2" customFormat="1" ht="29" customHeight="1">
      <c r="A1" s="53" t="s">
        <v>895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8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28">
        <v>1</v>
      </c>
      <c r="H4" s="28">
        <v>2</v>
      </c>
      <c r="I4" s="28">
        <v>3</v>
      </c>
      <c r="J4" s="28" t="s">
        <v>4</v>
      </c>
      <c r="K4" s="69"/>
      <c r="L4" s="64"/>
      <c r="M4" s="67"/>
    </row>
    <row r="5" spans="1:13" ht="16">
      <c r="A5" s="48" t="s">
        <v>200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371</v>
      </c>
      <c r="C6" s="7" t="s">
        <v>372</v>
      </c>
      <c r="D6" s="7" t="s">
        <v>373</v>
      </c>
      <c r="E6" s="7" t="s">
        <v>1042</v>
      </c>
      <c r="F6" s="7" t="s">
        <v>967</v>
      </c>
      <c r="G6" s="15" t="s">
        <v>120</v>
      </c>
      <c r="H6" s="14" t="s">
        <v>80</v>
      </c>
      <c r="I6" s="14" t="s">
        <v>80</v>
      </c>
      <c r="J6" s="8"/>
      <c r="K6" s="32" t="str">
        <f>"170,0"</f>
        <v>170,0</v>
      </c>
      <c r="L6" s="8" t="str">
        <f>"120,0880"</f>
        <v>120,0880</v>
      </c>
      <c r="M6" s="7"/>
    </row>
    <row r="7" spans="1:13">
      <c r="B7" s="5" t="s">
        <v>29</v>
      </c>
    </row>
    <row r="8" spans="1:13" ht="16">
      <c r="A8" s="52" t="s">
        <v>42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7" t="s">
        <v>28</v>
      </c>
      <c r="B9" s="16" t="s">
        <v>750</v>
      </c>
      <c r="C9" s="16" t="s">
        <v>749</v>
      </c>
      <c r="D9" s="16" t="s">
        <v>748</v>
      </c>
      <c r="E9" s="16" t="s">
        <v>1042</v>
      </c>
      <c r="F9" s="16" t="s">
        <v>1009</v>
      </c>
      <c r="G9" s="22" t="s">
        <v>57</v>
      </c>
      <c r="H9" s="22" t="s">
        <v>111</v>
      </c>
      <c r="I9" s="23" t="s">
        <v>83</v>
      </c>
      <c r="J9" s="17"/>
      <c r="K9" s="33" t="str">
        <f>"280,0"</f>
        <v>280,0</v>
      </c>
      <c r="L9" s="17" t="str">
        <f>"172,0740"</f>
        <v>172,0740</v>
      </c>
      <c r="M9" s="16" t="s">
        <v>747</v>
      </c>
    </row>
    <row r="10" spans="1:13">
      <c r="A10" s="19" t="s">
        <v>152</v>
      </c>
      <c r="B10" s="18" t="s">
        <v>746</v>
      </c>
      <c r="C10" s="18" t="s">
        <v>745</v>
      </c>
      <c r="D10" s="18" t="s">
        <v>246</v>
      </c>
      <c r="E10" s="18" t="s">
        <v>1042</v>
      </c>
      <c r="F10" s="18" t="s">
        <v>947</v>
      </c>
      <c r="G10" s="25" t="s">
        <v>17</v>
      </c>
      <c r="H10" s="24" t="s">
        <v>17</v>
      </c>
      <c r="I10" s="25" t="s">
        <v>12</v>
      </c>
      <c r="J10" s="19"/>
      <c r="K10" s="34" t="str">
        <f>"230,0"</f>
        <v>230,0</v>
      </c>
      <c r="L10" s="19" t="str">
        <f>"141,8755"</f>
        <v>141,8755</v>
      </c>
      <c r="M10" s="18" t="s">
        <v>744</v>
      </c>
    </row>
    <row r="11" spans="1:13">
      <c r="A11" s="21" t="s">
        <v>151</v>
      </c>
      <c r="B11" s="20" t="s">
        <v>743</v>
      </c>
      <c r="C11" s="20" t="s">
        <v>742</v>
      </c>
      <c r="D11" s="20" t="s">
        <v>507</v>
      </c>
      <c r="E11" s="20" t="s">
        <v>1042</v>
      </c>
      <c r="F11" s="20" t="s">
        <v>1014</v>
      </c>
      <c r="G11" s="26" t="s">
        <v>82</v>
      </c>
      <c r="H11" s="26" t="s">
        <v>82</v>
      </c>
      <c r="I11" s="26" t="s">
        <v>82</v>
      </c>
      <c r="J11" s="21"/>
      <c r="K11" s="35">
        <v>0</v>
      </c>
      <c r="L11" s="21" t="str">
        <f>"0,0000"</f>
        <v>0,0000</v>
      </c>
      <c r="M11" s="20" t="s">
        <v>938</v>
      </c>
    </row>
    <row r="12" spans="1:13">
      <c r="B12" s="5" t="s">
        <v>29</v>
      </c>
    </row>
    <row r="13" spans="1:13" ht="16">
      <c r="A13" s="52" t="s">
        <v>9</v>
      </c>
      <c r="B13" s="52"/>
      <c r="C13" s="52"/>
      <c r="D13" s="52"/>
      <c r="E13" s="52"/>
      <c r="F13" s="52"/>
      <c r="G13" s="52"/>
      <c r="H13" s="52"/>
      <c r="I13" s="52"/>
      <c r="J13" s="52"/>
    </row>
    <row r="14" spans="1:13">
      <c r="A14" s="8" t="s">
        <v>28</v>
      </c>
      <c r="B14" s="7" t="s">
        <v>741</v>
      </c>
      <c r="C14" s="7" t="s">
        <v>874</v>
      </c>
      <c r="D14" s="7" t="s">
        <v>531</v>
      </c>
      <c r="E14" s="7" t="s">
        <v>1045</v>
      </c>
      <c r="F14" s="7" t="s">
        <v>1015</v>
      </c>
      <c r="G14" s="15" t="s">
        <v>14</v>
      </c>
      <c r="H14" s="15" t="s">
        <v>78</v>
      </c>
      <c r="I14" s="14" t="s">
        <v>58</v>
      </c>
      <c r="J14" s="8"/>
      <c r="K14" s="32" t="str">
        <f>"260,0"</f>
        <v>260,0</v>
      </c>
      <c r="L14" s="8" t="str">
        <f>"154,3623"</f>
        <v>154,3623</v>
      </c>
      <c r="M14" s="7"/>
    </row>
    <row r="15" spans="1:13">
      <c r="B15" s="5" t="s">
        <v>29</v>
      </c>
    </row>
    <row r="16" spans="1:13" ht="16">
      <c r="A16" s="52" t="s">
        <v>273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3">
      <c r="A17" s="17" t="s">
        <v>28</v>
      </c>
      <c r="B17" s="16" t="s">
        <v>740</v>
      </c>
      <c r="C17" s="16" t="s">
        <v>739</v>
      </c>
      <c r="D17" s="16" t="s">
        <v>738</v>
      </c>
      <c r="E17" s="16" t="s">
        <v>1042</v>
      </c>
      <c r="F17" s="16" t="s">
        <v>1016</v>
      </c>
      <c r="G17" s="22" t="s">
        <v>102</v>
      </c>
      <c r="H17" s="22" t="s">
        <v>114</v>
      </c>
      <c r="I17" s="22" t="s">
        <v>585</v>
      </c>
      <c r="J17" s="17"/>
      <c r="K17" s="33" t="str">
        <f>"340,0"</f>
        <v>340,0</v>
      </c>
      <c r="L17" s="17" t="str">
        <f>"188,0710"</f>
        <v>188,0710</v>
      </c>
      <c r="M17" s="16" t="s">
        <v>737</v>
      </c>
    </row>
    <row r="18" spans="1:13">
      <c r="A18" s="19" t="s">
        <v>152</v>
      </c>
      <c r="B18" s="18" t="s">
        <v>736</v>
      </c>
      <c r="C18" s="18" t="s">
        <v>735</v>
      </c>
      <c r="D18" s="18" t="s">
        <v>734</v>
      </c>
      <c r="E18" s="18" t="s">
        <v>1042</v>
      </c>
      <c r="F18" s="18" t="s">
        <v>1015</v>
      </c>
      <c r="G18" s="24" t="s">
        <v>111</v>
      </c>
      <c r="H18" s="24" t="s">
        <v>112</v>
      </c>
      <c r="I18" s="25" t="s">
        <v>113</v>
      </c>
      <c r="J18" s="19"/>
      <c r="K18" s="34" t="str">
        <f>"300,0"</f>
        <v>300,0</v>
      </c>
      <c r="L18" s="19" t="str">
        <f>"164,9100"</f>
        <v>164,9100</v>
      </c>
      <c r="M18" s="18"/>
    </row>
    <row r="19" spans="1:13">
      <c r="A19" s="19" t="s">
        <v>28</v>
      </c>
      <c r="B19" s="18" t="s">
        <v>733</v>
      </c>
      <c r="C19" s="18" t="s">
        <v>875</v>
      </c>
      <c r="D19" s="18" t="s">
        <v>732</v>
      </c>
      <c r="E19" s="18" t="s">
        <v>1045</v>
      </c>
      <c r="F19" s="18" t="s">
        <v>1017</v>
      </c>
      <c r="G19" s="24" t="s">
        <v>14</v>
      </c>
      <c r="H19" s="25" t="s">
        <v>78</v>
      </c>
      <c r="I19" s="24" t="s">
        <v>78</v>
      </c>
      <c r="J19" s="19"/>
      <c r="K19" s="34" t="str">
        <f>"260,0"</f>
        <v>260,0</v>
      </c>
      <c r="L19" s="19" t="str">
        <f>"157,6411"</f>
        <v>157,6411</v>
      </c>
      <c r="M19" s="18"/>
    </row>
    <row r="20" spans="1:13">
      <c r="A20" s="21" t="s">
        <v>152</v>
      </c>
      <c r="B20" s="20" t="s">
        <v>731</v>
      </c>
      <c r="C20" s="20" t="s">
        <v>876</v>
      </c>
      <c r="D20" s="20" t="s">
        <v>730</v>
      </c>
      <c r="E20" s="20" t="s">
        <v>1045</v>
      </c>
      <c r="F20" s="20" t="s">
        <v>1017</v>
      </c>
      <c r="G20" s="27" t="s">
        <v>17</v>
      </c>
      <c r="H20" s="27" t="s">
        <v>13</v>
      </c>
      <c r="I20" s="27" t="s">
        <v>68</v>
      </c>
      <c r="J20" s="21"/>
      <c r="K20" s="35" t="str">
        <f>"255,0"</f>
        <v>255,0</v>
      </c>
      <c r="L20" s="21" t="str">
        <f>"149,1266"</f>
        <v>149,1266</v>
      </c>
      <c r="M20" s="20" t="s">
        <v>729</v>
      </c>
    </row>
    <row r="21" spans="1:13">
      <c r="B21" s="5" t="s">
        <v>29</v>
      </c>
    </row>
    <row r="22" spans="1:13" ht="16">
      <c r="A22" s="52" t="s">
        <v>354</v>
      </c>
      <c r="B22" s="52"/>
      <c r="C22" s="52"/>
      <c r="D22" s="52"/>
      <c r="E22" s="52"/>
      <c r="F22" s="52"/>
      <c r="G22" s="52"/>
      <c r="H22" s="52"/>
      <c r="I22" s="52"/>
      <c r="J22" s="52"/>
    </row>
    <row r="23" spans="1:13">
      <c r="A23" s="8" t="s">
        <v>28</v>
      </c>
      <c r="B23" s="7" t="s">
        <v>415</v>
      </c>
      <c r="C23" s="7" t="s">
        <v>728</v>
      </c>
      <c r="D23" s="7" t="s">
        <v>416</v>
      </c>
      <c r="E23" s="7" t="s">
        <v>1042</v>
      </c>
      <c r="F23" s="7" t="s">
        <v>1012</v>
      </c>
      <c r="G23" s="15" t="s">
        <v>118</v>
      </c>
      <c r="H23" s="15" t="s">
        <v>112</v>
      </c>
      <c r="I23" s="14" t="s">
        <v>102</v>
      </c>
      <c r="J23" s="8"/>
      <c r="K23" s="32" t="str">
        <f>"300,0"</f>
        <v>300,0</v>
      </c>
      <c r="L23" s="8" t="str">
        <f>"159,6060"</f>
        <v>159,6060</v>
      </c>
      <c r="M23" s="7"/>
    </row>
    <row r="24" spans="1:13">
      <c r="B24" s="5" t="s">
        <v>29</v>
      </c>
    </row>
  </sheetData>
  <mergeCells count="16">
    <mergeCell ref="A5:J5"/>
    <mergeCell ref="A8:J8"/>
    <mergeCell ref="A13:J13"/>
    <mergeCell ref="A16:J16"/>
    <mergeCell ref="A22:J22"/>
    <mergeCell ref="K3:K4"/>
    <mergeCell ref="L3:L4"/>
    <mergeCell ref="A1:M2"/>
    <mergeCell ref="G3:J3"/>
    <mergeCell ref="A3:A4"/>
    <mergeCell ref="C3:C4"/>
    <mergeCell ref="D3:D4"/>
    <mergeCell ref="M3:M4"/>
    <mergeCell ref="F3:F4"/>
    <mergeCell ref="B3:B4"/>
    <mergeCell ref="E3:E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53" t="s">
        <v>896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28">
        <v>1</v>
      </c>
      <c r="H4" s="28">
        <v>2</v>
      </c>
      <c r="I4" s="28">
        <v>3</v>
      </c>
      <c r="J4" s="28" t="s">
        <v>4</v>
      </c>
      <c r="K4" s="64"/>
      <c r="L4" s="64"/>
      <c r="M4" s="67"/>
    </row>
    <row r="5" spans="1:13" ht="16">
      <c r="A5" s="48" t="s">
        <v>9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7" t="s">
        <v>28</v>
      </c>
      <c r="B6" s="16" t="s">
        <v>705</v>
      </c>
      <c r="C6" s="16" t="s">
        <v>704</v>
      </c>
      <c r="D6" s="16" t="s">
        <v>703</v>
      </c>
      <c r="E6" s="16" t="s">
        <v>1042</v>
      </c>
      <c r="F6" s="16" t="s">
        <v>1014</v>
      </c>
      <c r="G6" s="22" t="s">
        <v>702</v>
      </c>
      <c r="H6" s="22" t="s">
        <v>701</v>
      </c>
      <c r="I6" s="17"/>
      <c r="J6" s="17"/>
      <c r="K6" s="17" t="str">
        <f>"365,0"</f>
        <v>365,0</v>
      </c>
      <c r="L6" s="17" t="str">
        <f>"207,0645"</f>
        <v>207,0645</v>
      </c>
      <c r="M6" s="16"/>
    </row>
    <row r="7" spans="1:13">
      <c r="A7" s="21" t="s">
        <v>152</v>
      </c>
      <c r="B7" s="20" t="s">
        <v>700</v>
      </c>
      <c r="C7" s="20" t="s">
        <v>699</v>
      </c>
      <c r="D7" s="20" t="s">
        <v>698</v>
      </c>
      <c r="E7" s="20" t="s">
        <v>1042</v>
      </c>
      <c r="F7" s="20" t="s">
        <v>1018</v>
      </c>
      <c r="G7" s="27" t="s">
        <v>64</v>
      </c>
      <c r="H7" s="27" t="s">
        <v>65</v>
      </c>
      <c r="I7" s="26" t="s">
        <v>132</v>
      </c>
      <c r="J7" s="21"/>
      <c r="K7" s="21" t="str">
        <f>"220,0"</f>
        <v>220,0</v>
      </c>
      <c r="L7" s="21" t="str">
        <f>"125,1030"</f>
        <v>125,1030</v>
      </c>
      <c r="M7" s="20"/>
    </row>
    <row r="8" spans="1:13">
      <c r="B8" s="5" t="s">
        <v>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/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1640625" style="5" customWidth="1"/>
    <col min="14" max="16384" width="9.1640625" style="3"/>
  </cols>
  <sheetData>
    <row r="1" spans="1:13" s="2" customFormat="1" ht="29" customHeight="1">
      <c r="A1" s="53" t="s">
        <v>897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28">
        <v>1</v>
      </c>
      <c r="H4" s="28">
        <v>2</v>
      </c>
      <c r="I4" s="28">
        <v>3</v>
      </c>
      <c r="J4" s="28" t="s">
        <v>4</v>
      </c>
      <c r="K4" s="64"/>
      <c r="L4" s="64"/>
      <c r="M4" s="67"/>
    </row>
    <row r="5" spans="1:13" ht="16">
      <c r="A5" s="48" t="s">
        <v>97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7" t="s">
        <v>28</v>
      </c>
      <c r="B6" s="16" t="s">
        <v>709</v>
      </c>
      <c r="C6" s="16" t="s">
        <v>716</v>
      </c>
      <c r="D6" s="16" t="s">
        <v>708</v>
      </c>
      <c r="E6" s="16" t="s">
        <v>1042</v>
      </c>
      <c r="F6" s="16" t="s">
        <v>1019</v>
      </c>
      <c r="G6" s="22" t="s">
        <v>122</v>
      </c>
      <c r="H6" s="22" t="s">
        <v>707</v>
      </c>
      <c r="I6" s="22" t="s">
        <v>706</v>
      </c>
      <c r="J6" s="17"/>
      <c r="K6" s="17" t="str">
        <f>"357,5"</f>
        <v>357,5</v>
      </c>
      <c r="L6" s="17" t="str">
        <f>"209,7274"</f>
        <v>209,7274</v>
      </c>
      <c r="M6" s="16"/>
    </row>
    <row r="7" spans="1:13">
      <c r="A7" s="19" t="s">
        <v>152</v>
      </c>
      <c r="B7" s="18" t="s">
        <v>715</v>
      </c>
      <c r="C7" s="18" t="s">
        <v>714</v>
      </c>
      <c r="D7" s="18" t="s">
        <v>392</v>
      </c>
      <c r="E7" s="18" t="s">
        <v>1042</v>
      </c>
      <c r="F7" s="18" t="s">
        <v>1010</v>
      </c>
      <c r="G7" s="24" t="s">
        <v>585</v>
      </c>
      <c r="H7" s="24" t="s">
        <v>702</v>
      </c>
      <c r="I7" s="25" t="s">
        <v>701</v>
      </c>
      <c r="J7" s="19"/>
      <c r="K7" s="19" t="str">
        <f>"355,0"</f>
        <v>355,0</v>
      </c>
      <c r="L7" s="19" t="str">
        <f>"209,0418"</f>
        <v>209,0418</v>
      </c>
      <c r="M7" s="18"/>
    </row>
    <row r="8" spans="1:13">
      <c r="A8" s="19" t="s">
        <v>153</v>
      </c>
      <c r="B8" s="18" t="s">
        <v>713</v>
      </c>
      <c r="C8" s="18" t="s">
        <v>712</v>
      </c>
      <c r="D8" s="18" t="s">
        <v>711</v>
      </c>
      <c r="E8" s="18" t="s">
        <v>1042</v>
      </c>
      <c r="F8" s="18" t="s">
        <v>959</v>
      </c>
      <c r="G8" s="24" t="s">
        <v>112</v>
      </c>
      <c r="H8" s="24" t="s">
        <v>305</v>
      </c>
      <c r="I8" s="24" t="s">
        <v>122</v>
      </c>
      <c r="J8" s="19"/>
      <c r="K8" s="19" t="str">
        <f>"335,0"</f>
        <v>335,0</v>
      </c>
      <c r="L8" s="19" t="str">
        <f>"195,1542"</f>
        <v>195,1542</v>
      </c>
      <c r="M8" s="18" t="s">
        <v>710</v>
      </c>
    </row>
    <row r="9" spans="1:13">
      <c r="A9" s="21" t="s">
        <v>28</v>
      </c>
      <c r="B9" s="20" t="s">
        <v>709</v>
      </c>
      <c r="C9" s="20" t="s">
        <v>877</v>
      </c>
      <c r="D9" s="20" t="s">
        <v>708</v>
      </c>
      <c r="E9" s="20" t="s">
        <v>1045</v>
      </c>
      <c r="F9" s="20" t="s">
        <v>1020</v>
      </c>
      <c r="G9" s="27" t="s">
        <v>122</v>
      </c>
      <c r="H9" s="27" t="s">
        <v>707</v>
      </c>
      <c r="I9" s="27" t="s">
        <v>706</v>
      </c>
      <c r="J9" s="21"/>
      <c r="K9" s="21" t="str">
        <f>"357,5"</f>
        <v>357,5</v>
      </c>
      <c r="L9" s="21" t="str">
        <f>"211,8247"</f>
        <v>211,8247</v>
      </c>
      <c r="M9" s="20"/>
    </row>
    <row r="10" spans="1:13">
      <c r="B10" s="5" t="s">
        <v>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/>
  <dimension ref="A1:M51"/>
  <sheetViews>
    <sheetView topLeftCell="A18" workbookViewId="0">
      <selection activeCell="E42" sqref="E4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8.5" style="5" bestFit="1" customWidth="1"/>
    <col min="4" max="4" width="21.5" style="5" bestFit="1" customWidth="1"/>
    <col min="5" max="5" width="13" style="5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31" bestFit="1" customWidth="1"/>
    <col min="12" max="12" width="8.5" style="6" bestFit="1" customWidth="1"/>
    <col min="13" max="13" width="27.1640625" style="5" bestFit="1" customWidth="1"/>
    <col min="14" max="16384" width="9.1640625" style="3"/>
  </cols>
  <sheetData>
    <row r="1" spans="1:13" s="2" customFormat="1" ht="29" customHeight="1">
      <c r="A1" s="53" t="s">
        <v>930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8</v>
      </c>
      <c r="H3" s="65"/>
      <c r="I3" s="65"/>
      <c r="J3" s="65"/>
      <c r="K3" s="68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9"/>
      <c r="L4" s="64"/>
      <c r="M4" s="67"/>
    </row>
    <row r="5" spans="1:13" ht="16">
      <c r="A5" s="48" t="s">
        <v>426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621</v>
      </c>
      <c r="C6" s="7" t="s">
        <v>622</v>
      </c>
      <c r="D6" s="7" t="s">
        <v>623</v>
      </c>
      <c r="E6" s="7" t="s">
        <v>1042</v>
      </c>
      <c r="F6" s="7" t="s">
        <v>1021</v>
      </c>
      <c r="G6" s="15" t="s">
        <v>50</v>
      </c>
      <c r="H6" s="15" t="s">
        <v>182</v>
      </c>
      <c r="I6" s="15" t="s">
        <v>47</v>
      </c>
      <c r="J6" s="8"/>
      <c r="K6" s="32" t="str">
        <f>"115,0"</f>
        <v>115,0</v>
      </c>
      <c r="L6" s="8" t="str">
        <f>"156,3310"</f>
        <v>156,3310</v>
      </c>
      <c r="M6" s="7" t="s">
        <v>939</v>
      </c>
    </row>
    <row r="7" spans="1:13">
      <c r="B7" s="5" t="s">
        <v>29</v>
      </c>
    </row>
    <row r="8" spans="1:13" ht="16">
      <c r="A8" s="52" t="s">
        <v>333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28</v>
      </c>
      <c r="B9" s="7" t="s">
        <v>624</v>
      </c>
      <c r="C9" s="7" t="s">
        <v>625</v>
      </c>
      <c r="D9" s="7" t="s">
        <v>626</v>
      </c>
      <c r="E9" s="7" t="s">
        <v>1042</v>
      </c>
      <c r="F9" s="7" t="s">
        <v>1022</v>
      </c>
      <c r="G9" s="15" t="s">
        <v>164</v>
      </c>
      <c r="H9" s="15" t="s">
        <v>50</v>
      </c>
      <c r="I9" s="15" t="s">
        <v>204</v>
      </c>
      <c r="J9" s="8"/>
      <c r="K9" s="32" t="str">
        <f>"105,0"</f>
        <v>105,0</v>
      </c>
      <c r="L9" s="8" t="str">
        <f>"117,5160"</f>
        <v>117,5160</v>
      </c>
      <c r="M9" s="7"/>
    </row>
    <row r="10" spans="1:13">
      <c r="B10" s="5" t="s">
        <v>29</v>
      </c>
    </row>
    <row r="11" spans="1:13" ht="16">
      <c r="A11" s="52" t="s">
        <v>200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3">
      <c r="A12" s="8" t="s">
        <v>28</v>
      </c>
      <c r="B12" s="7" t="s">
        <v>210</v>
      </c>
      <c r="C12" s="7" t="s">
        <v>627</v>
      </c>
      <c r="D12" s="7" t="s">
        <v>628</v>
      </c>
      <c r="E12" s="7" t="s">
        <v>1042</v>
      </c>
      <c r="F12" s="7" t="s">
        <v>947</v>
      </c>
      <c r="G12" s="15" t="s">
        <v>48</v>
      </c>
      <c r="H12" s="15" t="s">
        <v>222</v>
      </c>
      <c r="I12" s="15" t="s">
        <v>55</v>
      </c>
      <c r="J12" s="8"/>
      <c r="K12" s="32" t="str">
        <f>"132,5"</f>
        <v>132,5</v>
      </c>
      <c r="L12" s="8" t="str">
        <f>"130,0488"</f>
        <v>130,0488</v>
      </c>
      <c r="M12" s="7"/>
    </row>
    <row r="13" spans="1:13">
      <c r="B13" s="5" t="s">
        <v>29</v>
      </c>
    </row>
    <row r="14" spans="1:13" ht="16">
      <c r="A14" s="52" t="s">
        <v>30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3">
      <c r="A15" s="8" t="s">
        <v>28</v>
      </c>
      <c r="B15" s="7" t="s">
        <v>629</v>
      </c>
      <c r="C15" s="7" t="s">
        <v>630</v>
      </c>
      <c r="D15" s="7" t="s">
        <v>631</v>
      </c>
      <c r="E15" s="7" t="s">
        <v>1043</v>
      </c>
      <c r="F15" s="7" t="s">
        <v>1005</v>
      </c>
      <c r="G15" s="15" t="s">
        <v>92</v>
      </c>
      <c r="H15" s="14" t="s">
        <v>120</v>
      </c>
      <c r="I15" s="15" t="s">
        <v>120</v>
      </c>
      <c r="J15" s="8"/>
      <c r="K15" s="32" t="str">
        <f>"170,0"</f>
        <v>170,0</v>
      </c>
      <c r="L15" s="8" t="str">
        <f>"132,1750"</f>
        <v>132,1750</v>
      </c>
      <c r="M15" s="7" t="s">
        <v>632</v>
      </c>
    </row>
    <row r="16" spans="1:13">
      <c r="B16" s="5" t="s">
        <v>29</v>
      </c>
    </row>
    <row r="17" spans="1:13" ht="16">
      <c r="A17" s="52" t="s">
        <v>200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3">
      <c r="A18" s="17" t="s">
        <v>28</v>
      </c>
      <c r="B18" s="16" t="s">
        <v>633</v>
      </c>
      <c r="C18" s="16" t="s">
        <v>634</v>
      </c>
      <c r="D18" s="16" t="s">
        <v>474</v>
      </c>
      <c r="E18" s="16" t="s">
        <v>1043</v>
      </c>
      <c r="F18" s="16" t="s">
        <v>1003</v>
      </c>
      <c r="G18" s="22" t="s">
        <v>66</v>
      </c>
      <c r="H18" s="22" t="s">
        <v>577</v>
      </c>
      <c r="I18" s="22" t="s">
        <v>352</v>
      </c>
      <c r="J18" s="17"/>
      <c r="K18" s="33" t="str">
        <f>"242,5"</f>
        <v>242,5</v>
      </c>
      <c r="L18" s="17" t="str">
        <f>"173,9452"</f>
        <v>173,9452</v>
      </c>
      <c r="M18" s="16" t="s">
        <v>751</v>
      </c>
    </row>
    <row r="19" spans="1:13">
      <c r="A19" s="19" t="s">
        <v>28</v>
      </c>
      <c r="B19" s="18" t="s">
        <v>635</v>
      </c>
      <c r="C19" s="18" t="s">
        <v>636</v>
      </c>
      <c r="D19" s="18" t="s">
        <v>637</v>
      </c>
      <c r="E19" s="18" t="s">
        <v>1042</v>
      </c>
      <c r="F19" s="18" t="s">
        <v>1023</v>
      </c>
      <c r="G19" s="25" t="s">
        <v>13</v>
      </c>
      <c r="H19" s="24" t="s">
        <v>13</v>
      </c>
      <c r="I19" s="24" t="s">
        <v>14</v>
      </c>
      <c r="J19" s="19"/>
      <c r="K19" s="34" t="str">
        <f>"250,0"</f>
        <v>250,0</v>
      </c>
      <c r="L19" s="19" t="str">
        <f>"181,6000"</f>
        <v>181,6000</v>
      </c>
      <c r="M19" s="18"/>
    </row>
    <row r="20" spans="1:13">
      <c r="A20" s="19" t="s">
        <v>152</v>
      </c>
      <c r="B20" s="18" t="s">
        <v>633</v>
      </c>
      <c r="C20" s="18" t="s">
        <v>638</v>
      </c>
      <c r="D20" s="18" t="s">
        <v>474</v>
      </c>
      <c r="E20" s="18" t="s">
        <v>1042</v>
      </c>
      <c r="F20" s="18" t="s">
        <v>1003</v>
      </c>
      <c r="G20" s="24" t="s">
        <v>66</v>
      </c>
      <c r="H20" s="24" t="s">
        <v>577</v>
      </c>
      <c r="I20" s="24" t="s">
        <v>352</v>
      </c>
      <c r="J20" s="19"/>
      <c r="K20" s="34" t="str">
        <f>"242,5"</f>
        <v>242,5</v>
      </c>
      <c r="L20" s="19" t="str">
        <f>"173,9452"</f>
        <v>173,9452</v>
      </c>
      <c r="M20" s="18" t="s">
        <v>751</v>
      </c>
    </row>
    <row r="21" spans="1:13">
      <c r="A21" s="19" t="s">
        <v>153</v>
      </c>
      <c r="B21" s="18" t="s">
        <v>578</v>
      </c>
      <c r="C21" s="18" t="s">
        <v>579</v>
      </c>
      <c r="D21" s="18" t="s">
        <v>471</v>
      </c>
      <c r="E21" s="18" t="s">
        <v>1042</v>
      </c>
      <c r="F21" s="18" t="s">
        <v>1024</v>
      </c>
      <c r="G21" s="24" t="s">
        <v>80</v>
      </c>
      <c r="H21" s="24" t="s">
        <v>81</v>
      </c>
      <c r="I21" s="24" t="s">
        <v>131</v>
      </c>
      <c r="J21" s="19"/>
      <c r="K21" s="34" t="str">
        <f>"207,5"</f>
        <v>207,5</v>
      </c>
      <c r="L21" s="19" t="str">
        <f>"149,8358"</f>
        <v>149,8358</v>
      </c>
      <c r="M21" s="18" t="s">
        <v>940</v>
      </c>
    </row>
    <row r="22" spans="1:13">
      <c r="A22" s="21" t="s">
        <v>154</v>
      </c>
      <c r="B22" s="20" t="s">
        <v>475</v>
      </c>
      <c r="C22" s="20" t="s">
        <v>476</v>
      </c>
      <c r="D22" s="20" t="s">
        <v>477</v>
      </c>
      <c r="E22" s="18" t="s">
        <v>1042</v>
      </c>
      <c r="F22" s="20" t="s">
        <v>981</v>
      </c>
      <c r="G22" s="27" t="s">
        <v>138</v>
      </c>
      <c r="H22" s="27" t="s">
        <v>382</v>
      </c>
      <c r="I22" s="27" t="s">
        <v>74</v>
      </c>
      <c r="J22" s="21"/>
      <c r="K22" s="35" t="str">
        <f>"185,0"</f>
        <v>185,0</v>
      </c>
      <c r="L22" s="21" t="str">
        <f>"134,9205"</f>
        <v>134,9205</v>
      </c>
      <c r="M22" s="20"/>
    </row>
    <row r="23" spans="1:13">
      <c r="B23" s="5" t="s">
        <v>29</v>
      </c>
    </row>
    <row r="24" spans="1:13" ht="16">
      <c r="A24" s="52" t="s">
        <v>51</v>
      </c>
      <c r="B24" s="52"/>
      <c r="C24" s="52"/>
      <c r="D24" s="52"/>
      <c r="E24" s="52"/>
      <c r="F24" s="52"/>
      <c r="G24" s="52"/>
      <c r="H24" s="52"/>
      <c r="I24" s="52"/>
      <c r="J24" s="52"/>
    </row>
    <row r="25" spans="1:13">
      <c r="A25" s="17" t="s">
        <v>28</v>
      </c>
      <c r="B25" s="16" t="s">
        <v>639</v>
      </c>
      <c r="C25" s="16" t="s">
        <v>640</v>
      </c>
      <c r="D25" s="16" t="s">
        <v>641</v>
      </c>
      <c r="E25" s="16" t="s">
        <v>1042</v>
      </c>
      <c r="F25" s="16" t="s">
        <v>992</v>
      </c>
      <c r="G25" s="22" t="s">
        <v>58</v>
      </c>
      <c r="H25" s="23" t="s">
        <v>111</v>
      </c>
      <c r="I25" s="23" t="s">
        <v>83</v>
      </c>
      <c r="J25" s="17"/>
      <c r="K25" s="33" t="str">
        <f>"270,0"</f>
        <v>270,0</v>
      </c>
      <c r="L25" s="17" t="str">
        <f>"181,0080"</f>
        <v>181,0080</v>
      </c>
      <c r="M25" s="16" t="s">
        <v>642</v>
      </c>
    </row>
    <row r="26" spans="1:13">
      <c r="A26" s="19" t="s">
        <v>152</v>
      </c>
      <c r="B26" s="18" t="s">
        <v>343</v>
      </c>
      <c r="C26" s="18" t="s">
        <v>344</v>
      </c>
      <c r="D26" s="18" t="s">
        <v>345</v>
      </c>
      <c r="E26" s="16" t="s">
        <v>1042</v>
      </c>
      <c r="F26" s="18" t="s">
        <v>972</v>
      </c>
      <c r="G26" s="24" t="s">
        <v>81</v>
      </c>
      <c r="H26" s="24" t="s">
        <v>64</v>
      </c>
      <c r="I26" s="24" t="s">
        <v>66</v>
      </c>
      <c r="J26" s="19"/>
      <c r="K26" s="34" t="str">
        <f>"225,0"</f>
        <v>225,0</v>
      </c>
      <c r="L26" s="19" t="str">
        <f>"151,7400"</f>
        <v>151,7400</v>
      </c>
      <c r="M26" s="18" t="s">
        <v>643</v>
      </c>
    </row>
    <row r="27" spans="1:13">
      <c r="A27" s="21" t="s">
        <v>151</v>
      </c>
      <c r="B27" s="20" t="s">
        <v>644</v>
      </c>
      <c r="C27" s="20" t="s">
        <v>645</v>
      </c>
      <c r="D27" s="20" t="s">
        <v>492</v>
      </c>
      <c r="E27" s="16" t="s">
        <v>1042</v>
      </c>
      <c r="F27" s="20" t="s">
        <v>947</v>
      </c>
      <c r="G27" s="26" t="s">
        <v>83</v>
      </c>
      <c r="H27" s="26" t="s">
        <v>83</v>
      </c>
      <c r="I27" s="21"/>
      <c r="J27" s="21"/>
      <c r="K27" s="35">
        <v>0</v>
      </c>
      <c r="L27" s="21" t="str">
        <f>"0,0000"</f>
        <v>0,0000</v>
      </c>
      <c r="M27" s="20" t="s">
        <v>646</v>
      </c>
    </row>
    <row r="28" spans="1:13">
      <c r="B28" s="5" t="s">
        <v>29</v>
      </c>
    </row>
    <row r="29" spans="1:13" ht="16">
      <c r="A29" s="52" t="s">
        <v>42</v>
      </c>
      <c r="B29" s="52"/>
      <c r="C29" s="52"/>
      <c r="D29" s="52"/>
      <c r="E29" s="52"/>
      <c r="F29" s="52"/>
      <c r="G29" s="52"/>
      <c r="H29" s="52"/>
      <c r="I29" s="52"/>
      <c r="J29" s="52"/>
    </row>
    <row r="30" spans="1:13">
      <c r="A30" s="17" t="s">
        <v>28</v>
      </c>
      <c r="B30" s="16" t="s">
        <v>647</v>
      </c>
      <c r="C30" s="16" t="s">
        <v>648</v>
      </c>
      <c r="D30" s="16" t="s">
        <v>500</v>
      </c>
      <c r="E30" s="16" t="s">
        <v>1042</v>
      </c>
      <c r="F30" s="16" t="s">
        <v>947</v>
      </c>
      <c r="G30" s="22" t="s">
        <v>81</v>
      </c>
      <c r="H30" s="22" t="s">
        <v>87</v>
      </c>
      <c r="I30" s="22" t="s">
        <v>17</v>
      </c>
      <c r="J30" s="17"/>
      <c r="K30" s="33" t="str">
        <f>"230,0"</f>
        <v>230,0</v>
      </c>
      <c r="L30" s="17" t="str">
        <f>"147,1540"</f>
        <v>147,1540</v>
      </c>
      <c r="M30" s="16"/>
    </row>
    <row r="31" spans="1:13">
      <c r="A31" s="19" t="s">
        <v>152</v>
      </c>
      <c r="B31" s="18" t="s">
        <v>649</v>
      </c>
      <c r="C31" s="18" t="s">
        <v>650</v>
      </c>
      <c r="D31" s="18" t="s">
        <v>651</v>
      </c>
      <c r="E31" s="16" t="s">
        <v>1042</v>
      </c>
      <c r="F31" s="18" t="s">
        <v>947</v>
      </c>
      <c r="G31" s="24" t="s">
        <v>253</v>
      </c>
      <c r="H31" s="24" t="s">
        <v>64</v>
      </c>
      <c r="I31" s="24" t="s">
        <v>229</v>
      </c>
      <c r="J31" s="19"/>
      <c r="K31" s="34" t="str">
        <f>"217,5"</f>
        <v>217,5</v>
      </c>
      <c r="L31" s="19" t="str">
        <f>"140,6573"</f>
        <v>140,6573</v>
      </c>
      <c r="M31" s="18" t="s">
        <v>652</v>
      </c>
    </row>
    <row r="32" spans="1:13">
      <c r="A32" s="21" t="s">
        <v>153</v>
      </c>
      <c r="B32" s="20" t="s">
        <v>653</v>
      </c>
      <c r="C32" s="20" t="s">
        <v>654</v>
      </c>
      <c r="D32" s="20" t="s">
        <v>655</v>
      </c>
      <c r="E32" s="16" t="s">
        <v>1042</v>
      </c>
      <c r="F32" s="20" t="s">
        <v>947</v>
      </c>
      <c r="G32" s="27" t="s">
        <v>82</v>
      </c>
      <c r="H32" s="26" t="s">
        <v>65</v>
      </c>
      <c r="I32" s="26" t="s">
        <v>65</v>
      </c>
      <c r="J32" s="21"/>
      <c r="K32" s="35" t="str">
        <f>"205,0"</f>
        <v>205,0</v>
      </c>
      <c r="L32" s="21" t="str">
        <f>"130,9540"</f>
        <v>130,9540</v>
      </c>
      <c r="M32" s="20"/>
    </row>
    <row r="33" spans="1:13">
      <c r="B33" s="5" t="s">
        <v>29</v>
      </c>
    </row>
    <row r="34" spans="1:13" ht="16">
      <c r="A34" s="52" t="s">
        <v>97</v>
      </c>
      <c r="B34" s="52"/>
      <c r="C34" s="52"/>
      <c r="D34" s="52"/>
      <c r="E34" s="52"/>
      <c r="F34" s="52"/>
      <c r="G34" s="52"/>
      <c r="H34" s="52"/>
      <c r="I34" s="52"/>
      <c r="J34" s="52"/>
    </row>
    <row r="35" spans="1:13">
      <c r="A35" s="17" t="s">
        <v>28</v>
      </c>
      <c r="B35" s="16" t="s">
        <v>656</v>
      </c>
      <c r="C35" s="16" t="s">
        <v>657</v>
      </c>
      <c r="D35" s="16" t="s">
        <v>658</v>
      </c>
      <c r="E35" s="16" t="s">
        <v>1042</v>
      </c>
      <c r="F35" s="16" t="s">
        <v>659</v>
      </c>
      <c r="G35" s="22" t="s">
        <v>111</v>
      </c>
      <c r="H35" s="23" t="s">
        <v>112</v>
      </c>
      <c r="I35" s="22" t="s">
        <v>112</v>
      </c>
      <c r="J35" s="17"/>
      <c r="K35" s="33" t="str">
        <f>"300,0"</f>
        <v>300,0</v>
      </c>
      <c r="L35" s="17" t="str">
        <f>"184,7400"</f>
        <v>184,7400</v>
      </c>
      <c r="M35" s="16" t="s">
        <v>660</v>
      </c>
    </row>
    <row r="36" spans="1:13">
      <c r="A36" s="21" t="s">
        <v>152</v>
      </c>
      <c r="B36" s="20" t="s">
        <v>661</v>
      </c>
      <c r="C36" s="20" t="s">
        <v>662</v>
      </c>
      <c r="D36" s="20" t="s">
        <v>663</v>
      </c>
      <c r="E36" s="16" t="s">
        <v>1042</v>
      </c>
      <c r="F36" s="20" t="s">
        <v>982</v>
      </c>
      <c r="G36" s="27" t="s">
        <v>65</v>
      </c>
      <c r="H36" s="27" t="s">
        <v>17</v>
      </c>
      <c r="I36" s="27" t="s">
        <v>13</v>
      </c>
      <c r="J36" s="21"/>
      <c r="K36" s="35" t="str">
        <f>"240,0"</f>
        <v>240,0</v>
      </c>
      <c r="L36" s="21" t="str">
        <f>"149,9280"</f>
        <v>149,9280</v>
      </c>
      <c r="M36" s="20" t="s">
        <v>664</v>
      </c>
    </row>
    <row r="37" spans="1:13">
      <c r="B37" s="5" t="s">
        <v>29</v>
      </c>
    </row>
    <row r="38" spans="1:13" ht="16">
      <c r="A38" s="52" t="s">
        <v>9</v>
      </c>
      <c r="B38" s="52"/>
      <c r="C38" s="52"/>
      <c r="D38" s="52"/>
      <c r="E38" s="52"/>
      <c r="F38" s="52"/>
      <c r="G38" s="52"/>
      <c r="H38" s="52"/>
      <c r="I38" s="52"/>
      <c r="J38" s="52"/>
    </row>
    <row r="39" spans="1:13">
      <c r="A39" s="17" t="s">
        <v>28</v>
      </c>
      <c r="B39" s="16" t="s">
        <v>665</v>
      </c>
      <c r="C39" s="16" t="s">
        <v>666</v>
      </c>
      <c r="D39" s="16" t="s">
        <v>667</v>
      </c>
      <c r="E39" s="16" t="s">
        <v>1042</v>
      </c>
      <c r="F39" s="16" t="s">
        <v>947</v>
      </c>
      <c r="G39" s="22" t="s">
        <v>79</v>
      </c>
      <c r="H39" s="22" t="s">
        <v>668</v>
      </c>
      <c r="I39" s="22" t="s">
        <v>669</v>
      </c>
      <c r="J39" s="17"/>
      <c r="K39" s="33" t="str">
        <f>"287,5"</f>
        <v>287,5</v>
      </c>
      <c r="L39" s="17" t="str">
        <f>"170,4875"</f>
        <v>170,4875</v>
      </c>
      <c r="M39" s="16" t="s">
        <v>183</v>
      </c>
    </row>
    <row r="40" spans="1:13">
      <c r="A40" s="19" t="s">
        <v>152</v>
      </c>
      <c r="B40" s="18" t="s">
        <v>670</v>
      </c>
      <c r="C40" s="18" t="s">
        <v>671</v>
      </c>
      <c r="D40" s="18" t="s">
        <v>672</v>
      </c>
      <c r="E40" s="16" t="s">
        <v>1042</v>
      </c>
      <c r="F40" s="18" t="s">
        <v>983</v>
      </c>
      <c r="G40" s="24" t="s">
        <v>14</v>
      </c>
      <c r="H40" s="24" t="s">
        <v>673</v>
      </c>
      <c r="I40" s="24" t="s">
        <v>58</v>
      </c>
      <c r="J40" s="19"/>
      <c r="K40" s="34" t="str">
        <f>"270,0"</f>
        <v>270,0</v>
      </c>
      <c r="L40" s="19" t="str">
        <f>"159,7320"</f>
        <v>159,7320</v>
      </c>
      <c r="M40" s="18" t="s">
        <v>905</v>
      </c>
    </row>
    <row r="41" spans="1:13">
      <c r="A41" s="21" t="s">
        <v>28</v>
      </c>
      <c r="B41" s="20" t="s">
        <v>665</v>
      </c>
      <c r="C41" s="20" t="s">
        <v>878</v>
      </c>
      <c r="D41" s="20" t="s">
        <v>667</v>
      </c>
      <c r="E41" s="20" t="s">
        <v>1045</v>
      </c>
      <c r="F41" s="20" t="s">
        <v>947</v>
      </c>
      <c r="G41" s="27" t="s">
        <v>79</v>
      </c>
      <c r="H41" s="27" t="s">
        <v>668</v>
      </c>
      <c r="I41" s="27" t="s">
        <v>669</v>
      </c>
      <c r="J41" s="21"/>
      <c r="K41" s="35" t="str">
        <f>"287,5"</f>
        <v>287,5</v>
      </c>
      <c r="L41" s="21" t="str">
        <f>"171,3399"</f>
        <v>171,3399</v>
      </c>
      <c r="M41" s="20" t="s">
        <v>183</v>
      </c>
    </row>
    <row r="42" spans="1:13">
      <c r="B42" s="5" t="s">
        <v>29</v>
      </c>
    </row>
    <row r="45" spans="1:13" ht="18">
      <c r="B45" s="9" t="s">
        <v>19</v>
      </c>
      <c r="C45" s="9"/>
    </row>
    <row r="46" spans="1:13" ht="16">
      <c r="B46" s="10" t="s">
        <v>20</v>
      </c>
      <c r="C46" s="10"/>
    </row>
    <row r="47" spans="1:13" ht="14">
      <c r="B47" s="11"/>
      <c r="C47" s="12" t="s">
        <v>143</v>
      </c>
    </row>
    <row r="48" spans="1:13" ht="14">
      <c r="A48" s="1"/>
      <c r="B48" s="13" t="s">
        <v>22</v>
      </c>
      <c r="C48" s="13" t="s">
        <v>23</v>
      </c>
      <c r="D48" s="13" t="s">
        <v>901</v>
      </c>
      <c r="E48" s="13" t="s">
        <v>417</v>
      </c>
      <c r="F48" s="13" t="s">
        <v>26</v>
      </c>
    </row>
    <row r="49" spans="1:6">
      <c r="A49" s="6"/>
      <c r="B49" s="5" t="s">
        <v>656</v>
      </c>
      <c r="C49" s="5" t="s">
        <v>143</v>
      </c>
      <c r="D49" s="6" t="s">
        <v>144</v>
      </c>
      <c r="E49" s="6" t="s">
        <v>112</v>
      </c>
      <c r="F49" s="6" t="s">
        <v>674</v>
      </c>
    </row>
    <row r="50" spans="1:6">
      <c r="A50" s="6"/>
      <c r="B50" s="5" t="s">
        <v>635</v>
      </c>
      <c r="C50" s="5" t="s">
        <v>143</v>
      </c>
      <c r="D50" s="6" t="s">
        <v>282</v>
      </c>
      <c r="E50" s="6" t="s">
        <v>14</v>
      </c>
      <c r="F50" s="6" t="s">
        <v>675</v>
      </c>
    </row>
    <row r="51" spans="1:6">
      <c r="A51" s="6"/>
      <c r="B51" s="5" t="s">
        <v>639</v>
      </c>
      <c r="C51" s="5" t="s">
        <v>143</v>
      </c>
      <c r="D51" s="6" t="s">
        <v>332</v>
      </c>
      <c r="E51" s="6" t="s">
        <v>58</v>
      </c>
      <c r="F51" s="6" t="s">
        <v>676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4:J34"/>
    <mergeCell ref="A38:J38"/>
    <mergeCell ref="B3:B4"/>
    <mergeCell ref="A8:J8"/>
    <mergeCell ref="A11:J11"/>
    <mergeCell ref="A14:J14"/>
    <mergeCell ref="A17:J17"/>
    <mergeCell ref="A24:J24"/>
    <mergeCell ref="A29:J2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/>
  <dimension ref="A1:M45"/>
  <sheetViews>
    <sheetView workbookViewId="0">
      <selection activeCell="E35" sqref="E35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53" t="s">
        <v>931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8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7"/>
    </row>
    <row r="5" spans="1:13" ht="16">
      <c r="A5" s="48" t="s">
        <v>426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571</v>
      </c>
      <c r="C6" s="7" t="s">
        <v>572</v>
      </c>
      <c r="D6" s="7" t="s">
        <v>433</v>
      </c>
      <c r="E6" s="7" t="s">
        <v>1043</v>
      </c>
      <c r="F6" s="7" t="s">
        <v>1025</v>
      </c>
      <c r="G6" s="15" t="s">
        <v>194</v>
      </c>
      <c r="H6" s="15" t="s">
        <v>39</v>
      </c>
      <c r="I6" s="15" t="s">
        <v>573</v>
      </c>
      <c r="J6" s="8"/>
      <c r="K6" s="8" t="str">
        <f>"92,5"</f>
        <v>92,5</v>
      </c>
      <c r="L6" s="8" t="str">
        <f>"124,5975"</f>
        <v>124,5975</v>
      </c>
      <c r="M6" s="7" t="s">
        <v>941</v>
      </c>
    </row>
    <row r="7" spans="1:13">
      <c r="B7" s="5" t="s">
        <v>29</v>
      </c>
    </row>
    <row r="8" spans="1:13" ht="16">
      <c r="A8" s="52" t="s">
        <v>200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7" t="s">
        <v>28</v>
      </c>
      <c r="B9" s="16" t="s">
        <v>574</v>
      </c>
      <c r="C9" s="16" t="s">
        <v>575</v>
      </c>
      <c r="D9" s="16" t="s">
        <v>576</v>
      </c>
      <c r="E9" s="16" t="s">
        <v>1042</v>
      </c>
      <c r="F9" s="16" t="s">
        <v>959</v>
      </c>
      <c r="G9" s="22" t="s">
        <v>65</v>
      </c>
      <c r="H9" s="22" t="s">
        <v>577</v>
      </c>
      <c r="I9" s="22" t="s">
        <v>310</v>
      </c>
      <c r="J9" s="17"/>
      <c r="K9" s="17" t="str">
        <f>"257,5"</f>
        <v>257,5</v>
      </c>
      <c r="L9" s="17" t="str">
        <f>"186,1210"</f>
        <v>186,1210</v>
      </c>
      <c r="M9" s="16"/>
    </row>
    <row r="10" spans="1:13">
      <c r="A10" s="21" t="s">
        <v>152</v>
      </c>
      <c r="B10" s="20" t="s">
        <v>578</v>
      </c>
      <c r="C10" s="20" t="s">
        <v>579</v>
      </c>
      <c r="D10" s="20" t="s">
        <v>471</v>
      </c>
      <c r="E10" s="20" t="s">
        <v>1042</v>
      </c>
      <c r="F10" s="20" t="s">
        <v>1024</v>
      </c>
      <c r="G10" s="27" t="s">
        <v>80</v>
      </c>
      <c r="H10" s="27" t="s">
        <v>81</v>
      </c>
      <c r="I10" s="27" t="s">
        <v>131</v>
      </c>
      <c r="J10" s="21"/>
      <c r="K10" s="21" t="str">
        <f>"207,5"</f>
        <v>207,5</v>
      </c>
      <c r="L10" s="21" t="str">
        <f>"149,8358"</f>
        <v>149,8358</v>
      </c>
      <c r="M10" s="20" t="s">
        <v>940</v>
      </c>
    </row>
    <row r="11" spans="1:13">
      <c r="B11" s="5" t="s">
        <v>29</v>
      </c>
    </row>
    <row r="12" spans="1:13" ht="16">
      <c r="A12" s="52" t="s">
        <v>51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8" t="s">
        <v>28</v>
      </c>
      <c r="B13" s="7" t="s">
        <v>580</v>
      </c>
      <c r="C13" s="7" t="s">
        <v>879</v>
      </c>
      <c r="D13" s="7" t="s">
        <v>581</v>
      </c>
      <c r="E13" s="7" t="s">
        <v>1044</v>
      </c>
      <c r="F13" s="7" t="s">
        <v>1026</v>
      </c>
      <c r="G13" s="15" t="s">
        <v>34</v>
      </c>
      <c r="H13" s="15" t="s">
        <v>56</v>
      </c>
      <c r="I13" s="14" t="s">
        <v>15</v>
      </c>
      <c r="J13" s="8"/>
      <c r="K13" s="8" t="str">
        <f>"140,0"</f>
        <v>140,0</v>
      </c>
      <c r="L13" s="8" t="str">
        <f>"98,8540"</f>
        <v>98,8540</v>
      </c>
      <c r="M13" s="7"/>
    </row>
    <row r="14" spans="1:13">
      <c r="B14" s="5" t="s">
        <v>29</v>
      </c>
    </row>
    <row r="15" spans="1:13" ht="16">
      <c r="A15" s="52" t="s">
        <v>42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3">
      <c r="A16" s="17" t="s">
        <v>28</v>
      </c>
      <c r="B16" s="16" t="s">
        <v>582</v>
      </c>
      <c r="C16" s="16" t="s">
        <v>583</v>
      </c>
      <c r="D16" s="16" t="s">
        <v>584</v>
      </c>
      <c r="E16" s="16" t="s">
        <v>1042</v>
      </c>
      <c r="F16" s="16" t="s">
        <v>1027</v>
      </c>
      <c r="G16" s="22" t="s">
        <v>113</v>
      </c>
      <c r="H16" s="23" t="s">
        <v>585</v>
      </c>
      <c r="I16" s="17"/>
      <c r="J16" s="17"/>
      <c r="K16" s="17" t="str">
        <f>"310,0"</f>
        <v>310,0</v>
      </c>
      <c r="L16" s="17" t="str">
        <f>"198,8030"</f>
        <v>198,8030</v>
      </c>
      <c r="M16" s="16"/>
    </row>
    <row r="17" spans="1:13">
      <c r="A17" s="19" t="s">
        <v>152</v>
      </c>
      <c r="B17" s="18" t="s">
        <v>586</v>
      </c>
      <c r="C17" s="18" t="s">
        <v>587</v>
      </c>
      <c r="D17" s="18" t="s">
        <v>500</v>
      </c>
      <c r="E17" s="18" t="s">
        <v>1042</v>
      </c>
      <c r="F17" s="18" t="s">
        <v>1024</v>
      </c>
      <c r="G17" s="24" t="s">
        <v>111</v>
      </c>
      <c r="H17" s="24" t="s">
        <v>83</v>
      </c>
      <c r="I17" s="24" t="s">
        <v>112</v>
      </c>
      <c r="J17" s="19"/>
      <c r="K17" s="19" t="str">
        <f>"300,0"</f>
        <v>300,0</v>
      </c>
      <c r="L17" s="19" t="str">
        <f>"191,9400"</f>
        <v>191,9400</v>
      </c>
      <c r="M17" s="18"/>
    </row>
    <row r="18" spans="1:13">
      <c r="A18" s="19" t="s">
        <v>153</v>
      </c>
      <c r="B18" s="18" t="s">
        <v>588</v>
      </c>
      <c r="C18" s="18" t="s">
        <v>589</v>
      </c>
      <c r="D18" s="18" t="s">
        <v>241</v>
      </c>
      <c r="E18" s="18" t="s">
        <v>1042</v>
      </c>
      <c r="F18" s="18" t="s">
        <v>590</v>
      </c>
      <c r="G18" s="24" t="s">
        <v>118</v>
      </c>
      <c r="H18" s="25" t="s">
        <v>112</v>
      </c>
      <c r="I18" s="25" t="s">
        <v>112</v>
      </c>
      <c r="J18" s="19"/>
      <c r="K18" s="19" t="str">
        <f>"290,0"</f>
        <v>290,0</v>
      </c>
      <c r="L18" s="19" t="str">
        <f>"185,3390"</f>
        <v>185,3390</v>
      </c>
      <c r="M18" s="18"/>
    </row>
    <row r="19" spans="1:13">
      <c r="A19" s="21" t="s">
        <v>28</v>
      </c>
      <c r="B19" s="20" t="s">
        <v>586</v>
      </c>
      <c r="C19" s="20" t="s">
        <v>880</v>
      </c>
      <c r="D19" s="20" t="s">
        <v>500</v>
      </c>
      <c r="E19" s="20" t="s">
        <v>1047</v>
      </c>
      <c r="F19" s="20" t="s">
        <v>1024</v>
      </c>
      <c r="G19" s="27" t="s">
        <v>111</v>
      </c>
      <c r="H19" s="27" t="s">
        <v>83</v>
      </c>
      <c r="I19" s="27" t="s">
        <v>112</v>
      </c>
      <c r="J19" s="21"/>
      <c r="K19" s="21" t="str">
        <f>"300,0"</f>
        <v>300,0</v>
      </c>
      <c r="L19" s="21" t="str">
        <f>"220,7310"</f>
        <v>220,7310</v>
      </c>
      <c r="M19" s="20"/>
    </row>
    <row r="20" spans="1:13">
      <c r="B20" s="5" t="s">
        <v>29</v>
      </c>
    </row>
    <row r="21" spans="1:13" ht="16">
      <c r="A21" s="52" t="s">
        <v>97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3">
      <c r="A22" s="17" t="s">
        <v>28</v>
      </c>
      <c r="B22" s="16" t="s">
        <v>591</v>
      </c>
      <c r="C22" s="16" t="s">
        <v>592</v>
      </c>
      <c r="D22" s="16" t="s">
        <v>388</v>
      </c>
      <c r="E22" s="16" t="s">
        <v>1042</v>
      </c>
      <c r="F22" s="16" t="s">
        <v>1028</v>
      </c>
      <c r="G22" s="22" t="s">
        <v>593</v>
      </c>
      <c r="H22" s="22" t="s">
        <v>594</v>
      </c>
      <c r="I22" s="23" t="s">
        <v>595</v>
      </c>
      <c r="J22" s="17"/>
      <c r="K22" s="17" t="str">
        <f>"380,0"</f>
        <v>380,0</v>
      </c>
      <c r="L22" s="17" t="str">
        <f>"234,9540"</f>
        <v>234,9540</v>
      </c>
      <c r="M22" s="16"/>
    </row>
    <row r="23" spans="1:13">
      <c r="A23" s="19" t="s">
        <v>152</v>
      </c>
      <c r="B23" s="18" t="s">
        <v>123</v>
      </c>
      <c r="C23" s="18" t="s">
        <v>124</v>
      </c>
      <c r="D23" s="18" t="s">
        <v>125</v>
      </c>
      <c r="E23" s="18" t="s">
        <v>1042</v>
      </c>
      <c r="F23" s="18" t="s">
        <v>966</v>
      </c>
      <c r="G23" s="24" t="s">
        <v>68</v>
      </c>
      <c r="H23" s="25" t="s">
        <v>58</v>
      </c>
      <c r="I23" s="19"/>
      <c r="J23" s="19"/>
      <c r="K23" s="19" t="str">
        <f>"255,0"</f>
        <v>255,0</v>
      </c>
      <c r="L23" s="19" t="str">
        <f>"159,1455"</f>
        <v>159,1455</v>
      </c>
      <c r="M23" s="18" t="s">
        <v>127</v>
      </c>
    </row>
    <row r="24" spans="1:13">
      <c r="A24" s="21" t="s">
        <v>28</v>
      </c>
      <c r="B24" s="20" t="s">
        <v>596</v>
      </c>
      <c r="C24" s="20" t="s">
        <v>842</v>
      </c>
      <c r="D24" s="20" t="s">
        <v>597</v>
      </c>
      <c r="E24" s="20" t="s">
        <v>1046</v>
      </c>
      <c r="F24" s="20" t="s">
        <v>960</v>
      </c>
      <c r="G24" s="27" t="s">
        <v>65</v>
      </c>
      <c r="H24" s="27" t="s">
        <v>17</v>
      </c>
      <c r="I24" s="26" t="s">
        <v>13</v>
      </c>
      <c r="J24" s="21"/>
      <c r="K24" s="21" t="str">
        <f>"230,0"</f>
        <v>230,0</v>
      </c>
      <c r="L24" s="21" t="str">
        <f>"192,9447"</f>
        <v>192,9447</v>
      </c>
      <c r="M24" s="20" t="s">
        <v>598</v>
      </c>
    </row>
    <row r="25" spans="1:13">
      <c r="B25" s="5" t="s">
        <v>29</v>
      </c>
    </row>
    <row r="26" spans="1:13" ht="16">
      <c r="A26" s="52" t="s">
        <v>9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3">
      <c r="A27" s="17" t="s">
        <v>28</v>
      </c>
      <c r="B27" s="16" t="s">
        <v>599</v>
      </c>
      <c r="C27" s="16" t="s">
        <v>600</v>
      </c>
      <c r="D27" s="16" t="s">
        <v>601</v>
      </c>
      <c r="E27" s="16" t="s">
        <v>1042</v>
      </c>
      <c r="F27" s="16" t="s">
        <v>947</v>
      </c>
      <c r="G27" s="22" t="s">
        <v>111</v>
      </c>
      <c r="H27" s="22" t="s">
        <v>602</v>
      </c>
      <c r="I27" s="22" t="s">
        <v>101</v>
      </c>
      <c r="J27" s="17"/>
      <c r="K27" s="17" t="str">
        <f>"305,0"</f>
        <v>305,0</v>
      </c>
      <c r="L27" s="17" t="str">
        <f>"180,1635"</f>
        <v>180,1635</v>
      </c>
      <c r="M27" s="16"/>
    </row>
    <row r="28" spans="1:13">
      <c r="A28" s="19" t="s">
        <v>152</v>
      </c>
      <c r="B28" s="18" t="s">
        <v>603</v>
      </c>
      <c r="C28" s="18" t="s">
        <v>604</v>
      </c>
      <c r="D28" s="18" t="s">
        <v>605</v>
      </c>
      <c r="E28" s="18" t="s">
        <v>1042</v>
      </c>
      <c r="F28" s="18" t="s">
        <v>969</v>
      </c>
      <c r="G28" s="24" t="s">
        <v>58</v>
      </c>
      <c r="H28" s="25" t="s">
        <v>315</v>
      </c>
      <c r="I28" s="19"/>
      <c r="J28" s="19"/>
      <c r="K28" s="19" t="str">
        <f>"270,0"</f>
        <v>270,0</v>
      </c>
      <c r="L28" s="19" t="str">
        <f>"163,6200"</f>
        <v>163,6200</v>
      </c>
      <c r="M28" s="18" t="s">
        <v>41</v>
      </c>
    </row>
    <row r="29" spans="1:13">
      <c r="A29" s="19" t="s">
        <v>28</v>
      </c>
      <c r="B29" s="18" t="s">
        <v>606</v>
      </c>
      <c r="C29" s="18" t="s">
        <v>881</v>
      </c>
      <c r="D29" s="18" t="s">
        <v>607</v>
      </c>
      <c r="E29" s="18" t="s">
        <v>1045</v>
      </c>
      <c r="F29" s="18" t="s">
        <v>462</v>
      </c>
      <c r="G29" s="24" t="s">
        <v>78</v>
      </c>
      <c r="H29" s="25" t="s">
        <v>58</v>
      </c>
      <c r="I29" s="25" t="s">
        <v>58</v>
      </c>
      <c r="J29" s="19"/>
      <c r="K29" s="19" t="str">
        <f>"260,0"</f>
        <v>260,0</v>
      </c>
      <c r="L29" s="19" t="str">
        <f>"163,9226"</f>
        <v>163,9226</v>
      </c>
      <c r="M29" s="18"/>
    </row>
    <row r="30" spans="1:13">
      <c r="A30" s="21" t="s">
        <v>28</v>
      </c>
      <c r="B30" s="20" t="s">
        <v>608</v>
      </c>
      <c r="C30" s="20" t="s">
        <v>882</v>
      </c>
      <c r="D30" s="20" t="s">
        <v>609</v>
      </c>
      <c r="E30" s="20" t="s">
        <v>1047</v>
      </c>
      <c r="F30" s="20" t="s">
        <v>1029</v>
      </c>
      <c r="G30" s="26" t="s">
        <v>14</v>
      </c>
      <c r="H30" s="27" t="s">
        <v>14</v>
      </c>
      <c r="I30" s="27" t="s">
        <v>610</v>
      </c>
      <c r="J30" s="26" t="s">
        <v>315</v>
      </c>
      <c r="K30" s="21" t="str">
        <f>"276,0"</f>
        <v>276,0</v>
      </c>
      <c r="L30" s="21" t="str">
        <f>"187,8691"</f>
        <v>187,8691</v>
      </c>
      <c r="M30" s="20" t="s">
        <v>942</v>
      </c>
    </row>
    <row r="31" spans="1:13">
      <c r="B31" s="5" t="s">
        <v>29</v>
      </c>
    </row>
    <row r="32" spans="1:13" ht="16">
      <c r="A32" s="52" t="s">
        <v>273</v>
      </c>
      <c r="B32" s="52"/>
      <c r="C32" s="52"/>
      <c r="D32" s="52"/>
      <c r="E32" s="52"/>
      <c r="F32" s="52"/>
      <c r="G32" s="52"/>
      <c r="H32" s="52"/>
      <c r="I32" s="52"/>
      <c r="J32" s="52"/>
    </row>
    <row r="33" spans="1:13">
      <c r="A33" s="17" t="s">
        <v>28</v>
      </c>
      <c r="B33" s="16" t="s">
        <v>611</v>
      </c>
      <c r="C33" s="16" t="s">
        <v>612</v>
      </c>
      <c r="D33" s="16" t="s">
        <v>613</v>
      </c>
      <c r="E33" s="16" t="s">
        <v>1042</v>
      </c>
      <c r="F33" s="16" t="s">
        <v>1003</v>
      </c>
      <c r="G33" s="22" t="s">
        <v>78</v>
      </c>
      <c r="H33" s="22" t="s">
        <v>111</v>
      </c>
      <c r="I33" s="23" t="s">
        <v>118</v>
      </c>
      <c r="J33" s="17"/>
      <c r="K33" s="17" t="str">
        <f>"280,0"</f>
        <v>280,0</v>
      </c>
      <c r="L33" s="17" t="str">
        <f>"163,3520"</f>
        <v>163,3520</v>
      </c>
      <c r="M33" s="16" t="s">
        <v>614</v>
      </c>
    </row>
    <row r="34" spans="1:13">
      <c r="A34" s="21" t="s">
        <v>28</v>
      </c>
      <c r="B34" s="20" t="s">
        <v>615</v>
      </c>
      <c r="C34" s="20" t="s">
        <v>883</v>
      </c>
      <c r="D34" s="20" t="s">
        <v>616</v>
      </c>
      <c r="E34" s="20" t="s">
        <v>1048</v>
      </c>
      <c r="F34" s="20" t="s">
        <v>984</v>
      </c>
      <c r="G34" s="26" t="s">
        <v>66</v>
      </c>
      <c r="H34" s="27" t="s">
        <v>66</v>
      </c>
      <c r="I34" s="27" t="s">
        <v>13</v>
      </c>
      <c r="J34" s="21"/>
      <c r="K34" s="21" t="str">
        <f>"240,0"</f>
        <v>240,0</v>
      </c>
      <c r="L34" s="21" t="str">
        <f>"145,7966"</f>
        <v>145,7966</v>
      </c>
      <c r="M34" s="20" t="s">
        <v>617</v>
      </c>
    </row>
    <row r="35" spans="1:13">
      <c r="B35" s="5" t="s">
        <v>29</v>
      </c>
    </row>
    <row r="38" spans="1:13" ht="18">
      <c r="B38" s="9" t="s">
        <v>19</v>
      </c>
      <c r="C38" s="9"/>
    </row>
    <row r="39" spans="1:13" ht="16">
      <c r="B39" s="10" t="s">
        <v>20</v>
      </c>
      <c r="C39" s="10"/>
    </row>
    <row r="40" spans="1:13" ht="14">
      <c r="B40" s="11"/>
      <c r="C40" s="12" t="s">
        <v>143</v>
      </c>
    </row>
    <row r="41" spans="1:13" ht="14">
      <c r="A41" s="1"/>
      <c r="B41" s="13" t="s">
        <v>22</v>
      </c>
      <c r="C41" s="13" t="s">
        <v>23</v>
      </c>
      <c r="D41" s="13" t="s">
        <v>901</v>
      </c>
      <c r="E41" s="13" t="s">
        <v>417</v>
      </c>
      <c r="F41" s="13" t="s">
        <v>26</v>
      </c>
    </row>
    <row r="42" spans="1:13">
      <c r="A42" s="6"/>
      <c r="B42" s="5" t="s">
        <v>591</v>
      </c>
      <c r="C42" s="5" t="s">
        <v>143</v>
      </c>
      <c r="D42" s="6" t="s">
        <v>144</v>
      </c>
      <c r="E42" s="6" t="s">
        <v>594</v>
      </c>
      <c r="F42" s="6" t="s">
        <v>618</v>
      </c>
    </row>
    <row r="43" spans="1:13">
      <c r="A43" s="6"/>
      <c r="B43" s="5" t="s">
        <v>582</v>
      </c>
      <c r="C43" s="5" t="s">
        <v>143</v>
      </c>
      <c r="D43" s="6" t="s">
        <v>283</v>
      </c>
      <c r="E43" s="6" t="s">
        <v>113</v>
      </c>
      <c r="F43" s="6" t="s">
        <v>619</v>
      </c>
    </row>
    <row r="44" spans="1:13">
      <c r="A44" s="6"/>
      <c r="B44" s="5" t="s">
        <v>586</v>
      </c>
      <c r="C44" s="5" t="s">
        <v>143</v>
      </c>
      <c r="D44" s="6" t="s">
        <v>283</v>
      </c>
      <c r="E44" s="6" t="s">
        <v>112</v>
      </c>
      <c r="F44" s="6" t="s">
        <v>620</v>
      </c>
    </row>
    <row r="45" spans="1:13">
      <c r="B45" s="5" t="s">
        <v>29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2:J32"/>
    <mergeCell ref="K3:K4"/>
    <mergeCell ref="L3:L4"/>
    <mergeCell ref="M3:M4"/>
    <mergeCell ref="A5:J5"/>
    <mergeCell ref="B3:B4"/>
    <mergeCell ref="A8:J8"/>
    <mergeCell ref="A12:J12"/>
    <mergeCell ref="A15:J15"/>
    <mergeCell ref="A21:J21"/>
    <mergeCell ref="A26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/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53" t="s">
        <v>932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8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7"/>
    </row>
    <row r="5" spans="1:13" ht="16">
      <c r="A5" s="48" t="s">
        <v>30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677</v>
      </c>
      <c r="C6" s="7" t="s">
        <v>884</v>
      </c>
      <c r="D6" s="7" t="s">
        <v>678</v>
      </c>
      <c r="E6" s="7" t="s">
        <v>1045</v>
      </c>
      <c r="F6" s="7" t="s">
        <v>984</v>
      </c>
      <c r="G6" s="15" t="s">
        <v>213</v>
      </c>
      <c r="H6" s="15" t="s">
        <v>36</v>
      </c>
      <c r="I6" s="15" t="s">
        <v>272</v>
      </c>
      <c r="J6" s="8"/>
      <c r="K6" s="8" t="str">
        <f>"142,5"</f>
        <v>142,5</v>
      </c>
      <c r="L6" s="8" t="str">
        <f>"157,4483"</f>
        <v>157,4483</v>
      </c>
      <c r="M6" s="7"/>
    </row>
    <row r="7" spans="1:13">
      <c r="B7" s="5" t="s">
        <v>29</v>
      </c>
    </row>
    <row r="8" spans="1:13" ht="16">
      <c r="A8" s="52" t="s">
        <v>200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28</v>
      </c>
      <c r="B9" s="7" t="s">
        <v>679</v>
      </c>
      <c r="C9" s="7" t="s">
        <v>303</v>
      </c>
      <c r="D9" s="7" t="s">
        <v>680</v>
      </c>
      <c r="E9" s="7" t="s">
        <v>1042</v>
      </c>
      <c r="F9" s="7" t="s">
        <v>985</v>
      </c>
      <c r="G9" s="15" t="s">
        <v>80</v>
      </c>
      <c r="H9" s="15" t="s">
        <v>82</v>
      </c>
      <c r="I9" s="14" t="s">
        <v>65</v>
      </c>
      <c r="J9" s="8"/>
      <c r="K9" s="8" t="str">
        <f>"205,0"</f>
        <v>205,0</v>
      </c>
      <c r="L9" s="8" t="str">
        <f>"150,7160"</f>
        <v>150,7160</v>
      </c>
      <c r="M9" s="7" t="s">
        <v>389</v>
      </c>
    </row>
    <row r="10" spans="1:13">
      <c r="B10" s="5" t="s">
        <v>29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Q34"/>
  <sheetViews>
    <sheetView workbookViewId="0">
      <selection sqref="A1:Q2"/>
    </sheetView>
  </sheetViews>
  <sheetFormatPr baseColWidth="10" defaultColWidth="9.1640625" defaultRowHeight="13"/>
  <cols>
    <col min="1" max="1" width="9" style="5" customWidth="1"/>
    <col min="2" max="2" width="19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1640625" style="5" bestFit="1" customWidth="1"/>
    <col min="7" max="14" width="5.5" style="6" customWidth="1"/>
    <col min="15" max="15" width="7.83203125" style="6" bestFit="1" customWidth="1"/>
    <col min="16" max="16" width="8.5" style="6" bestFit="1" customWidth="1"/>
    <col min="17" max="17" width="21.83203125" style="5" customWidth="1"/>
    <col min="18" max="16384" width="9.1640625" style="3"/>
  </cols>
  <sheetData>
    <row r="1" spans="1:17" s="2" customFormat="1" ht="29" customHeight="1">
      <c r="A1" s="53" t="s">
        <v>933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1039</v>
      </c>
      <c r="H3" s="65"/>
      <c r="I3" s="65"/>
      <c r="J3" s="65"/>
      <c r="K3" s="65" t="s">
        <v>1051</v>
      </c>
      <c r="L3" s="65"/>
      <c r="M3" s="65"/>
      <c r="N3" s="65"/>
      <c r="O3" s="65" t="s">
        <v>1</v>
      </c>
      <c r="P3" s="65" t="s">
        <v>3</v>
      </c>
      <c r="Q3" s="66" t="s">
        <v>2</v>
      </c>
    </row>
    <row r="4" spans="1:17" s="1" customFormat="1" ht="21" customHeight="1" thickBot="1">
      <c r="A4" s="62"/>
      <c r="B4" s="51"/>
      <c r="C4" s="64"/>
      <c r="D4" s="64"/>
      <c r="E4" s="64"/>
      <c r="F4" s="64"/>
      <c r="G4" s="30">
        <v>1</v>
      </c>
      <c r="H4" s="30">
        <v>2</v>
      </c>
      <c r="I4" s="30">
        <v>3</v>
      </c>
      <c r="J4" s="30" t="s">
        <v>4</v>
      </c>
      <c r="K4" s="30">
        <v>1</v>
      </c>
      <c r="L4" s="30">
        <v>2</v>
      </c>
      <c r="M4" s="30">
        <v>3</v>
      </c>
      <c r="N4" s="30" t="s">
        <v>4</v>
      </c>
      <c r="O4" s="64"/>
      <c r="P4" s="64"/>
      <c r="Q4" s="67"/>
    </row>
    <row r="5" spans="1:17" ht="16">
      <c r="A5" s="48" t="s">
        <v>333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17" t="s">
        <v>28</v>
      </c>
      <c r="B6" s="16" t="s">
        <v>779</v>
      </c>
      <c r="C6" s="16" t="s">
        <v>885</v>
      </c>
      <c r="D6" s="16" t="s">
        <v>778</v>
      </c>
      <c r="E6" s="16" t="s">
        <v>1044</v>
      </c>
      <c r="F6" s="16" t="s">
        <v>947</v>
      </c>
      <c r="G6" s="22" t="s">
        <v>174</v>
      </c>
      <c r="H6" s="22" t="s">
        <v>199</v>
      </c>
      <c r="I6" s="22" t="s">
        <v>337</v>
      </c>
      <c r="J6" s="17"/>
      <c r="K6" s="22" t="s">
        <v>341</v>
      </c>
      <c r="L6" s="23" t="s">
        <v>174</v>
      </c>
      <c r="M6" s="23" t="s">
        <v>174</v>
      </c>
      <c r="N6" s="17"/>
      <c r="O6" s="17" t="str">
        <f>"82,5"</f>
        <v>82,5</v>
      </c>
      <c r="P6" s="17" t="str">
        <f>"70,8015"</f>
        <v>70,8015</v>
      </c>
      <c r="Q6" s="16" t="s">
        <v>943</v>
      </c>
    </row>
    <row r="7" spans="1:17">
      <c r="A7" s="21" t="s">
        <v>28</v>
      </c>
      <c r="B7" s="20" t="s">
        <v>777</v>
      </c>
      <c r="C7" s="20" t="s">
        <v>776</v>
      </c>
      <c r="D7" s="20" t="s">
        <v>775</v>
      </c>
      <c r="E7" s="20" t="s">
        <v>1042</v>
      </c>
      <c r="F7" s="20" t="s">
        <v>947</v>
      </c>
      <c r="G7" s="27" t="s">
        <v>188</v>
      </c>
      <c r="H7" s="27" t="s">
        <v>195</v>
      </c>
      <c r="I7" s="27" t="s">
        <v>189</v>
      </c>
      <c r="J7" s="21"/>
      <c r="K7" s="27" t="s">
        <v>174</v>
      </c>
      <c r="L7" s="26" t="s">
        <v>175</v>
      </c>
      <c r="M7" s="26" t="s">
        <v>175</v>
      </c>
      <c r="N7" s="21"/>
      <c r="O7" s="21" t="str">
        <f>"95,0"</f>
        <v>95,0</v>
      </c>
      <c r="P7" s="21" t="str">
        <f>"79,8998"</f>
        <v>79,8998</v>
      </c>
      <c r="Q7" s="20" t="s">
        <v>511</v>
      </c>
    </row>
    <row r="8" spans="1:17">
      <c r="B8" s="5" t="s">
        <v>29</v>
      </c>
    </row>
    <row r="9" spans="1:17" ht="16">
      <c r="A9" s="52" t="s">
        <v>30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7">
      <c r="A10" s="17" t="s">
        <v>28</v>
      </c>
      <c r="B10" s="16" t="s">
        <v>759</v>
      </c>
      <c r="C10" s="16" t="s">
        <v>774</v>
      </c>
      <c r="D10" s="16" t="s">
        <v>773</v>
      </c>
      <c r="E10" s="16" t="s">
        <v>1042</v>
      </c>
      <c r="F10" s="16" t="s">
        <v>987</v>
      </c>
      <c r="G10" s="22" t="s">
        <v>162</v>
      </c>
      <c r="H10" s="22" t="s">
        <v>171</v>
      </c>
      <c r="I10" s="22" t="s">
        <v>187</v>
      </c>
      <c r="J10" s="17"/>
      <c r="K10" s="22" t="s">
        <v>176</v>
      </c>
      <c r="L10" s="22" t="s">
        <v>162</v>
      </c>
      <c r="M10" s="23" t="s">
        <v>163</v>
      </c>
      <c r="N10" s="17"/>
      <c r="O10" s="17" t="str">
        <f>"135,0"</f>
        <v>135,0</v>
      </c>
      <c r="P10" s="17" t="str">
        <f>"103,5518"</f>
        <v>103,5518</v>
      </c>
      <c r="Q10" s="16"/>
    </row>
    <row r="11" spans="1:17">
      <c r="A11" s="21" t="s">
        <v>152</v>
      </c>
      <c r="B11" s="20" t="s">
        <v>772</v>
      </c>
      <c r="C11" s="20" t="s">
        <v>771</v>
      </c>
      <c r="D11" s="20" t="s">
        <v>770</v>
      </c>
      <c r="E11" s="20" t="s">
        <v>1042</v>
      </c>
      <c r="F11" s="20" t="s">
        <v>1005</v>
      </c>
      <c r="G11" s="26" t="s">
        <v>176</v>
      </c>
      <c r="H11" s="26" t="s">
        <v>163</v>
      </c>
      <c r="I11" s="27" t="s">
        <v>163</v>
      </c>
      <c r="J11" s="21"/>
      <c r="K11" s="27" t="s">
        <v>337</v>
      </c>
      <c r="L11" s="27" t="s">
        <v>188</v>
      </c>
      <c r="M11" s="26" t="s">
        <v>195</v>
      </c>
      <c r="N11" s="21"/>
      <c r="O11" s="21" t="str">
        <f>"115,0"</f>
        <v>115,0</v>
      </c>
      <c r="P11" s="21" t="str">
        <f>"88,5673"</f>
        <v>88,5673</v>
      </c>
      <c r="Q11" s="20"/>
    </row>
    <row r="12" spans="1:17">
      <c r="B12" s="5" t="s">
        <v>29</v>
      </c>
    </row>
    <row r="13" spans="1:17" ht="16">
      <c r="A13" s="52" t="s">
        <v>200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7">
      <c r="A14" s="17" t="s">
        <v>28</v>
      </c>
      <c r="B14" s="16" t="s">
        <v>635</v>
      </c>
      <c r="C14" s="16" t="s">
        <v>636</v>
      </c>
      <c r="D14" s="16" t="s">
        <v>637</v>
      </c>
      <c r="E14" s="16" t="s">
        <v>1042</v>
      </c>
      <c r="F14" s="16" t="s">
        <v>1023</v>
      </c>
      <c r="G14" s="22" t="s">
        <v>39</v>
      </c>
      <c r="H14" s="22" t="s">
        <v>164</v>
      </c>
      <c r="I14" s="23" t="s">
        <v>196</v>
      </c>
      <c r="J14" s="17"/>
      <c r="K14" s="22" t="s">
        <v>176</v>
      </c>
      <c r="L14" s="22" t="s">
        <v>162</v>
      </c>
      <c r="M14" s="22" t="s">
        <v>163</v>
      </c>
      <c r="N14" s="17"/>
      <c r="O14" s="17" t="str">
        <f>"160,0"</f>
        <v>160,0</v>
      </c>
      <c r="P14" s="17" t="str">
        <f>"112,4240"</f>
        <v>112,4240</v>
      </c>
      <c r="Q14" s="16"/>
    </row>
    <row r="15" spans="1:17">
      <c r="A15" s="19" t="s">
        <v>152</v>
      </c>
      <c r="B15" s="18" t="s">
        <v>756</v>
      </c>
      <c r="C15" s="18" t="s">
        <v>769</v>
      </c>
      <c r="D15" s="18" t="s">
        <v>768</v>
      </c>
      <c r="E15" s="18" t="s">
        <v>1042</v>
      </c>
      <c r="F15" s="18" t="s">
        <v>947</v>
      </c>
      <c r="G15" s="24" t="s">
        <v>160</v>
      </c>
      <c r="H15" s="24" t="s">
        <v>49</v>
      </c>
      <c r="I15" s="24" t="s">
        <v>194</v>
      </c>
      <c r="J15" s="19"/>
      <c r="K15" s="24" t="s">
        <v>188</v>
      </c>
      <c r="L15" s="24" t="s">
        <v>190</v>
      </c>
      <c r="M15" s="25" t="s">
        <v>176</v>
      </c>
      <c r="N15" s="19"/>
      <c r="O15" s="19" t="str">
        <f>"142,5"</f>
        <v>142,5</v>
      </c>
      <c r="P15" s="19" t="str">
        <f>"99,2014"</f>
        <v>99,2014</v>
      </c>
      <c r="Q15" s="18"/>
    </row>
    <row r="16" spans="1:17">
      <c r="A16" s="21" t="s">
        <v>153</v>
      </c>
      <c r="B16" s="20" t="s">
        <v>767</v>
      </c>
      <c r="C16" s="20" t="s">
        <v>766</v>
      </c>
      <c r="D16" s="20" t="s">
        <v>697</v>
      </c>
      <c r="E16" s="20" t="s">
        <v>1042</v>
      </c>
      <c r="F16" s="20" t="s">
        <v>1030</v>
      </c>
      <c r="G16" s="26" t="s">
        <v>172</v>
      </c>
      <c r="H16" s="27" t="s">
        <v>172</v>
      </c>
      <c r="I16" s="27" t="s">
        <v>187</v>
      </c>
      <c r="J16" s="21"/>
      <c r="K16" s="27" t="s">
        <v>188</v>
      </c>
      <c r="L16" s="27" t="s">
        <v>195</v>
      </c>
      <c r="M16" s="26" t="s">
        <v>189</v>
      </c>
      <c r="N16" s="21"/>
      <c r="O16" s="21" t="str">
        <f>"125,0"</f>
        <v>125,0</v>
      </c>
      <c r="P16" s="21" t="str">
        <f>"86,5813"</f>
        <v>86,5813</v>
      </c>
      <c r="Q16" s="20"/>
    </row>
    <row r="17" spans="1:17">
      <c r="B17" s="5" t="s">
        <v>29</v>
      </c>
    </row>
    <row r="18" spans="1:17" ht="16">
      <c r="A18" s="52" t="s">
        <v>51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7">
      <c r="A19" s="8" t="s">
        <v>28</v>
      </c>
      <c r="B19" s="7" t="s">
        <v>765</v>
      </c>
      <c r="C19" s="7" t="s">
        <v>764</v>
      </c>
      <c r="D19" s="7" t="s">
        <v>763</v>
      </c>
      <c r="E19" s="7" t="s">
        <v>1042</v>
      </c>
      <c r="F19" s="7" t="s">
        <v>1031</v>
      </c>
      <c r="G19" s="15" t="s">
        <v>188</v>
      </c>
      <c r="H19" s="15" t="s">
        <v>195</v>
      </c>
      <c r="I19" s="15" t="s">
        <v>189</v>
      </c>
      <c r="J19" s="8"/>
      <c r="K19" s="14" t="s">
        <v>188</v>
      </c>
      <c r="L19" s="15" t="s">
        <v>188</v>
      </c>
      <c r="M19" s="14" t="s">
        <v>189</v>
      </c>
      <c r="N19" s="8"/>
      <c r="O19" s="8" t="str">
        <f>"105,0"</f>
        <v>105,0</v>
      </c>
      <c r="P19" s="8" t="str">
        <f>"70,3448"</f>
        <v>70,3448</v>
      </c>
      <c r="Q19" s="7"/>
    </row>
    <row r="20" spans="1:17">
      <c r="B20" s="5" t="s">
        <v>29</v>
      </c>
    </row>
    <row r="21" spans="1:17" ht="16">
      <c r="A21" s="52" t="s">
        <v>42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1:17">
      <c r="A22" s="17" t="s">
        <v>28</v>
      </c>
      <c r="B22" s="16" t="s">
        <v>251</v>
      </c>
      <c r="C22" s="16" t="s">
        <v>762</v>
      </c>
      <c r="D22" s="16" t="s">
        <v>252</v>
      </c>
      <c r="E22" s="16" t="s">
        <v>1042</v>
      </c>
      <c r="F22" s="16" t="s">
        <v>955</v>
      </c>
      <c r="G22" s="22" t="s">
        <v>194</v>
      </c>
      <c r="H22" s="23" t="s">
        <v>39</v>
      </c>
      <c r="I22" s="17"/>
      <c r="J22" s="17"/>
      <c r="K22" s="22" t="s">
        <v>163</v>
      </c>
      <c r="L22" s="22" t="s">
        <v>172</v>
      </c>
      <c r="M22" s="23" t="s">
        <v>187</v>
      </c>
      <c r="N22" s="17"/>
      <c r="O22" s="17" t="str">
        <f>"155,0"</f>
        <v>155,0</v>
      </c>
      <c r="P22" s="17" t="str">
        <f>"95,9217"</f>
        <v>95,9217</v>
      </c>
      <c r="Q22" s="16"/>
    </row>
    <row r="23" spans="1:17">
      <c r="A23" s="21" t="s">
        <v>28</v>
      </c>
      <c r="B23" s="20" t="s">
        <v>251</v>
      </c>
      <c r="C23" s="20" t="s">
        <v>886</v>
      </c>
      <c r="D23" s="20" t="s">
        <v>252</v>
      </c>
      <c r="E23" s="20" t="s">
        <v>1045</v>
      </c>
      <c r="F23" s="20" t="s">
        <v>955</v>
      </c>
      <c r="G23" s="27" t="s">
        <v>194</v>
      </c>
      <c r="H23" s="26" t="s">
        <v>39</v>
      </c>
      <c r="I23" s="21"/>
      <c r="J23" s="21"/>
      <c r="K23" s="27" t="s">
        <v>163</v>
      </c>
      <c r="L23" s="27" t="s">
        <v>172</v>
      </c>
      <c r="M23" s="26" t="s">
        <v>187</v>
      </c>
      <c r="N23" s="21"/>
      <c r="O23" s="21" t="str">
        <f>"155,0"</f>
        <v>155,0</v>
      </c>
      <c r="P23" s="21" t="str">
        <f>"100,0464"</f>
        <v>100,0464</v>
      </c>
      <c r="Q23" s="20"/>
    </row>
    <row r="24" spans="1:17">
      <c r="B24" s="5" t="s">
        <v>29</v>
      </c>
    </row>
    <row r="27" spans="1:17" ht="18">
      <c r="B27" s="9" t="s">
        <v>19</v>
      </c>
      <c r="C27" s="9"/>
    </row>
    <row r="28" spans="1:17" ht="16">
      <c r="B28" s="29" t="s">
        <v>20</v>
      </c>
      <c r="C28" s="29"/>
    </row>
    <row r="29" spans="1:17" ht="14">
      <c r="B29" s="11"/>
      <c r="C29" s="12" t="s">
        <v>143</v>
      </c>
    </row>
    <row r="30" spans="1:17" ht="14">
      <c r="A30" s="1"/>
      <c r="B30" s="13" t="s">
        <v>22</v>
      </c>
      <c r="C30" s="13" t="s">
        <v>23</v>
      </c>
      <c r="D30" s="13" t="s">
        <v>24</v>
      </c>
      <c r="E30" s="13" t="s">
        <v>25</v>
      </c>
      <c r="F30" s="13" t="s">
        <v>761</v>
      </c>
    </row>
    <row r="31" spans="1:17">
      <c r="A31" s="6"/>
      <c r="B31" s="5" t="s">
        <v>635</v>
      </c>
      <c r="C31" s="5" t="s">
        <v>143</v>
      </c>
      <c r="D31" s="6" t="s">
        <v>282</v>
      </c>
      <c r="E31" s="6" t="s">
        <v>16</v>
      </c>
      <c r="F31" s="6" t="s">
        <v>760</v>
      </c>
    </row>
    <row r="32" spans="1:17">
      <c r="A32" s="6"/>
      <c r="B32" s="5" t="s">
        <v>759</v>
      </c>
      <c r="C32" s="5" t="s">
        <v>143</v>
      </c>
      <c r="D32" s="6" t="s">
        <v>758</v>
      </c>
      <c r="E32" s="6" t="s">
        <v>36</v>
      </c>
      <c r="F32" s="6" t="s">
        <v>757</v>
      </c>
    </row>
    <row r="33" spans="1:6">
      <c r="A33" s="6"/>
      <c r="B33" s="5" t="s">
        <v>756</v>
      </c>
      <c r="C33" s="5" t="s">
        <v>143</v>
      </c>
      <c r="D33" s="6" t="s">
        <v>282</v>
      </c>
      <c r="E33" s="6" t="s">
        <v>272</v>
      </c>
      <c r="F33" s="6" t="s">
        <v>755</v>
      </c>
    </row>
    <row r="34" spans="1:6">
      <c r="B34" s="5" t="s">
        <v>29</v>
      </c>
    </row>
  </sheetData>
  <mergeCells count="17">
    <mergeCell ref="A9:N9"/>
    <mergeCell ref="A13:N13"/>
    <mergeCell ref="A18:N18"/>
    <mergeCell ref="A21:N21"/>
    <mergeCell ref="B3:B4"/>
    <mergeCell ref="K3:N3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O3:O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1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9.5" style="5" customWidth="1"/>
    <col min="18" max="16384" width="9.1640625" style="3"/>
  </cols>
  <sheetData>
    <row r="1" spans="1:17" s="2" customFormat="1" ht="29" customHeight="1">
      <c r="A1" s="53" t="s">
        <v>934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1039</v>
      </c>
      <c r="H3" s="65"/>
      <c r="I3" s="65"/>
      <c r="J3" s="65"/>
      <c r="K3" s="65" t="s">
        <v>1051</v>
      </c>
      <c r="L3" s="65"/>
      <c r="M3" s="65"/>
      <c r="N3" s="65"/>
      <c r="O3" s="65" t="s">
        <v>1</v>
      </c>
      <c r="P3" s="65" t="s">
        <v>3</v>
      </c>
      <c r="Q3" s="66" t="s">
        <v>2</v>
      </c>
    </row>
    <row r="4" spans="1:17" s="1" customFormat="1" ht="21" customHeight="1" thickBot="1">
      <c r="A4" s="62"/>
      <c r="B4" s="51"/>
      <c r="C4" s="64"/>
      <c r="D4" s="64"/>
      <c r="E4" s="64"/>
      <c r="F4" s="64"/>
      <c r="G4" s="30">
        <v>1</v>
      </c>
      <c r="H4" s="30">
        <v>2</v>
      </c>
      <c r="I4" s="30">
        <v>3</v>
      </c>
      <c r="J4" s="30" t="s">
        <v>4</v>
      </c>
      <c r="K4" s="30">
        <v>1</v>
      </c>
      <c r="L4" s="30">
        <v>2</v>
      </c>
      <c r="M4" s="30">
        <v>3</v>
      </c>
      <c r="N4" s="30" t="s">
        <v>4</v>
      </c>
      <c r="O4" s="64"/>
      <c r="P4" s="64"/>
      <c r="Q4" s="67"/>
    </row>
    <row r="5" spans="1:17" ht="16">
      <c r="A5" s="48" t="s">
        <v>42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8" t="s">
        <v>28</v>
      </c>
      <c r="B6" s="7" t="s">
        <v>588</v>
      </c>
      <c r="C6" s="7" t="s">
        <v>589</v>
      </c>
      <c r="D6" s="7" t="s">
        <v>241</v>
      </c>
      <c r="E6" s="7" t="s">
        <v>1042</v>
      </c>
      <c r="F6" s="7" t="s">
        <v>590</v>
      </c>
      <c r="G6" s="15" t="s">
        <v>47</v>
      </c>
      <c r="H6" s="15" t="s">
        <v>48</v>
      </c>
      <c r="I6" s="14" t="s">
        <v>34</v>
      </c>
      <c r="J6" s="8"/>
      <c r="K6" s="15" t="s">
        <v>163</v>
      </c>
      <c r="L6" s="15" t="s">
        <v>172</v>
      </c>
      <c r="M6" s="14" t="s">
        <v>160</v>
      </c>
      <c r="N6" s="8"/>
      <c r="O6" s="8" t="str">
        <f>"190,0"</f>
        <v>190,0</v>
      </c>
      <c r="P6" s="8" t="str">
        <f>"116,3940"</f>
        <v>116,3940</v>
      </c>
      <c r="Q6" s="7"/>
    </row>
    <row r="7" spans="1:17">
      <c r="B7" s="5" t="s">
        <v>29</v>
      </c>
    </row>
    <row r="8" spans="1:17" ht="16">
      <c r="A8" s="52" t="s">
        <v>97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7">
      <c r="A9" s="8" t="s">
        <v>28</v>
      </c>
      <c r="B9" s="7" t="s">
        <v>786</v>
      </c>
      <c r="C9" s="7" t="s">
        <v>887</v>
      </c>
      <c r="D9" s="7" t="s">
        <v>314</v>
      </c>
      <c r="E9" s="7" t="s">
        <v>1044</v>
      </c>
      <c r="F9" s="7" t="s">
        <v>590</v>
      </c>
      <c r="G9" s="15" t="s">
        <v>50</v>
      </c>
      <c r="H9" s="15" t="s">
        <v>165</v>
      </c>
      <c r="I9" s="15" t="s">
        <v>204</v>
      </c>
      <c r="J9" s="8"/>
      <c r="K9" s="15" t="s">
        <v>172</v>
      </c>
      <c r="L9" s="15" t="s">
        <v>160</v>
      </c>
      <c r="M9" s="14" t="s">
        <v>49</v>
      </c>
      <c r="N9" s="8"/>
      <c r="O9" s="8" t="str">
        <f>"180,0"</f>
        <v>180,0</v>
      </c>
      <c r="P9" s="8" t="str">
        <f>"105,0840"</f>
        <v>105,0840</v>
      </c>
      <c r="Q9" s="7"/>
    </row>
    <row r="10" spans="1:17">
      <c r="B10" s="5" t="s">
        <v>29</v>
      </c>
    </row>
    <row r="11" spans="1:17" ht="16">
      <c r="A11" s="52" t="s">
        <v>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7">
      <c r="A12" s="8" t="s">
        <v>28</v>
      </c>
      <c r="B12" s="7" t="s">
        <v>785</v>
      </c>
      <c r="C12" s="7" t="s">
        <v>784</v>
      </c>
      <c r="D12" s="7" t="s">
        <v>783</v>
      </c>
      <c r="E12" s="7" t="s">
        <v>1042</v>
      </c>
      <c r="F12" s="7" t="s">
        <v>947</v>
      </c>
      <c r="G12" s="15" t="s">
        <v>56</v>
      </c>
      <c r="H12" s="15" t="s">
        <v>67</v>
      </c>
      <c r="I12" s="14" t="s">
        <v>15</v>
      </c>
      <c r="J12" s="8"/>
      <c r="K12" s="14" t="s">
        <v>39</v>
      </c>
      <c r="L12" s="15" t="s">
        <v>39</v>
      </c>
      <c r="M12" s="14" t="s">
        <v>196</v>
      </c>
      <c r="N12" s="8"/>
      <c r="O12" s="8" t="str">
        <f>"237,5"</f>
        <v>237,5</v>
      </c>
      <c r="P12" s="8" t="str">
        <f>"134,6506"</f>
        <v>134,6506</v>
      </c>
      <c r="Q12" s="7"/>
    </row>
    <row r="13" spans="1:17">
      <c r="B13" s="5" t="s">
        <v>29</v>
      </c>
    </row>
    <row r="14" spans="1:17" ht="16">
      <c r="A14" s="52" t="s">
        <v>273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7">
      <c r="A15" s="17" t="s">
        <v>28</v>
      </c>
      <c r="B15" s="16" t="s">
        <v>782</v>
      </c>
      <c r="C15" s="16" t="s">
        <v>888</v>
      </c>
      <c r="D15" s="16" t="s">
        <v>780</v>
      </c>
      <c r="E15" s="16" t="s">
        <v>1044</v>
      </c>
      <c r="F15" s="16" t="s">
        <v>948</v>
      </c>
      <c r="G15" s="22" t="s">
        <v>213</v>
      </c>
      <c r="H15" s="22" t="s">
        <v>35</v>
      </c>
      <c r="I15" s="23" t="s">
        <v>36</v>
      </c>
      <c r="J15" s="17"/>
      <c r="K15" s="22" t="s">
        <v>50</v>
      </c>
      <c r="L15" s="23" t="s">
        <v>165</v>
      </c>
      <c r="M15" s="23" t="s">
        <v>165</v>
      </c>
      <c r="N15" s="17"/>
      <c r="O15" s="17" t="str">
        <f>"230,0"</f>
        <v>230,0</v>
      </c>
      <c r="P15" s="17" t="str">
        <f>"125,9365"</f>
        <v>125,9365</v>
      </c>
      <c r="Q15" s="16"/>
    </row>
    <row r="16" spans="1:17">
      <c r="A16" s="21" t="s">
        <v>28</v>
      </c>
      <c r="B16" s="20" t="s">
        <v>782</v>
      </c>
      <c r="C16" s="20" t="s">
        <v>781</v>
      </c>
      <c r="D16" s="20" t="s">
        <v>780</v>
      </c>
      <c r="E16" s="20" t="s">
        <v>1042</v>
      </c>
      <c r="F16" s="20" t="s">
        <v>948</v>
      </c>
      <c r="G16" s="27" t="s">
        <v>213</v>
      </c>
      <c r="H16" s="27" t="s">
        <v>35</v>
      </c>
      <c r="I16" s="26" t="s">
        <v>36</v>
      </c>
      <c r="J16" s="21"/>
      <c r="K16" s="27" t="s">
        <v>50</v>
      </c>
      <c r="L16" s="26" t="s">
        <v>165</v>
      </c>
      <c r="M16" s="26" t="s">
        <v>165</v>
      </c>
      <c r="N16" s="21"/>
      <c r="O16" s="21" t="str">
        <f>"230,0"</f>
        <v>230,0</v>
      </c>
      <c r="P16" s="21" t="str">
        <f>"125,9365"</f>
        <v>125,9365</v>
      </c>
      <c r="Q16" s="20"/>
    </row>
    <row r="17" spans="2:2">
      <c r="B17" s="5" t="s">
        <v>29</v>
      </c>
    </row>
  </sheetData>
  <mergeCells count="16">
    <mergeCell ref="A8:N8"/>
    <mergeCell ref="A11:N11"/>
    <mergeCell ref="A14:N14"/>
    <mergeCell ref="B3:B4"/>
    <mergeCell ref="O3:O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P3:P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M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53" t="s">
        <v>935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1039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30">
        <v>1</v>
      </c>
      <c r="H4" s="30">
        <v>2</v>
      </c>
      <c r="I4" s="30">
        <v>3</v>
      </c>
      <c r="J4" s="30" t="s">
        <v>4</v>
      </c>
      <c r="K4" s="64"/>
      <c r="L4" s="64"/>
      <c r="M4" s="67"/>
    </row>
    <row r="5" spans="1:13" ht="16">
      <c r="A5" s="48" t="s">
        <v>273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17" t="s">
        <v>28</v>
      </c>
      <c r="B6" s="16" t="s">
        <v>782</v>
      </c>
      <c r="C6" s="16" t="s">
        <v>888</v>
      </c>
      <c r="D6" s="16" t="s">
        <v>780</v>
      </c>
      <c r="E6" s="16" t="s">
        <v>1044</v>
      </c>
      <c r="F6" s="16" t="s">
        <v>948</v>
      </c>
      <c r="G6" s="22" t="s">
        <v>213</v>
      </c>
      <c r="H6" s="22" t="s">
        <v>35</v>
      </c>
      <c r="I6" s="23" t="s">
        <v>36</v>
      </c>
      <c r="J6" s="17"/>
      <c r="K6" s="17" t="str">
        <f>"130,0"</f>
        <v>130,0</v>
      </c>
      <c r="L6" s="17" t="str">
        <f>"71,1815"</f>
        <v>71,1815</v>
      </c>
      <c r="M6" s="16"/>
    </row>
    <row r="7" spans="1:13">
      <c r="A7" s="19" t="s">
        <v>28</v>
      </c>
      <c r="B7" s="18" t="s">
        <v>782</v>
      </c>
      <c r="C7" s="18" t="s">
        <v>781</v>
      </c>
      <c r="D7" s="18" t="s">
        <v>780</v>
      </c>
      <c r="E7" s="18" t="s">
        <v>1042</v>
      </c>
      <c r="F7" s="18" t="s">
        <v>948</v>
      </c>
      <c r="G7" s="24" t="s">
        <v>213</v>
      </c>
      <c r="H7" s="24" t="s">
        <v>35</v>
      </c>
      <c r="I7" s="25" t="s">
        <v>36</v>
      </c>
      <c r="J7" s="19"/>
      <c r="K7" s="19" t="str">
        <f>"130,0"</f>
        <v>130,0</v>
      </c>
      <c r="L7" s="19" t="str">
        <f>"71,1815"</f>
        <v>71,1815</v>
      </c>
      <c r="M7" s="18"/>
    </row>
    <row r="8" spans="1:13">
      <c r="A8" s="21" t="s">
        <v>152</v>
      </c>
      <c r="B8" s="20" t="s">
        <v>790</v>
      </c>
      <c r="C8" s="20" t="s">
        <v>789</v>
      </c>
      <c r="D8" s="20" t="s">
        <v>788</v>
      </c>
      <c r="E8" s="20" t="s">
        <v>1042</v>
      </c>
      <c r="F8" s="20" t="s">
        <v>1032</v>
      </c>
      <c r="G8" s="27" t="s">
        <v>49</v>
      </c>
      <c r="H8" s="26" t="s">
        <v>194</v>
      </c>
      <c r="I8" s="27" t="s">
        <v>194</v>
      </c>
      <c r="J8" s="21"/>
      <c r="K8" s="21" t="str">
        <f>"85,0"</f>
        <v>85,0</v>
      </c>
      <c r="L8" s="21" t="str">
        <f>"47,5575"</f>
        <v>47,5575</v>
      </c>
      <c r="M8" s="20" t="s">
        <v>787</v>
      </c>
    </row>
    <row r="9" spans="1:13">
      <c r="B9" s="5" t="s">
        <v>29</v>
      </c>
    </row>
  </sheetData>
  <mergeCells count="12">
    <mergeCell ref="A1:M2"/>
    <mergeCell ref="G3:J3"/>
    <mergeCell ref="A3:A4"/>
    <mergeCell ref="C3:C4"/>
    <mergeCell ref="D3:D4"/>
    <mergeCell ref="M3:M4"/>
    <mergeCell ref="F3:F4"/>
    <mergeCell ref="A5:J5"/>
    <mergeCell ref="B3:B4"/>
    <mergeCell ref="E3:E4"/>
    <mergeCell ref="K3:K4"/>
    <mergeCell ref="L3:L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M4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8.5" style="5" bestFit="1" customWidth="1"/>
    <col min="4" max="4" width="21.5" style="5" bestFit="1" customWidth="1"/>
    <col min="5" max="5" width="14" style="5" customWidth="1"/>
    <col min="6" max="6" width="19.332031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53" t="s">
        <v>936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1039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30">
        <v>1</v>
      </c>
      <c r="H4" s="30">
        <v>2</v>
      </c>
      <c r="I4" s="30">
        <v>3</v>
      </c>
      <c r="J4" s="30" t="s">
        <v>4</v>
      </c>
      <c r="K4" s="64"/>
      <c r="L4" s="64"/>
      <c r="M4" s="67"/>
    </row>
    <row r="5" spans="1:13" ht="16">
      <c r="A5" s="48" t="s">
        <v>30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759</v>
      </c>
      <c r="C6" s="7" t="s">
        <v>774</v>
      </c>
      <c r="D6" s="7" t="s">
        <v>773</v>
      </c>
      <c r="E6" s="7" t="s">
        <v>1042</v>
      </c>
      <c r="F6" s="7" t="s">
        <v>987</v>
      </c>
      <c r="G6" s="15" t="s">
        <v>176</v>
      </c>
      <c r="H6" s="15" t="s">
        <v>162</v>
      </c>
      <c r="I6" s="14" t="s">
        <v>163</v>
      </c>
      <c r="J6" s="8"/>
      <c r="K6" s="8" t="str">
        <f>"62,5"</f>
        <v>62,5</v>
      </c>
      <c r="L6" s="8" t="str">
        <f>"47,9406"</f>
        <v>47,9406</v>
      </c>
      <c r="M6" s="7"/>
    </row>
    <row r="7" spans="1:13">
      <c r="B7" s="5" t="s">
        <v>29</v>
      </c>
    </row>
    <row r="8" spans="1:13" ht="16">
      <c r="A8" s="52" t="s">
        <v>200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7" t="s">
        <v>28</v>
      </c>
      <c r="B9" s="16" t="s">
        <v>792</v>
      </c>
      <c r="C9" s="16" t="s">
        <v>817</v>
      </c>
      <c r="D9" s="16" t="s">
        <v>576</v>
      </c>
      <c r="E9" s="16" t="s">
        <v>1042</v>
      </c>
      <c r="F9" s="16" t="s">
        <v>1033</v>
      </c>
      <c r="G9" s="22" t="s">
        <v>176</v>
      </c>
      <c r="H9" s="22" t="s">
        <v>163</v>
      </c>
      <c r="I9" s="22" t="s">
        <v>171</v>
      </c>
      <c r="J9" s="17"/>
      <c r="K9" s="17" t="str">
        <f>"67,5"</f>
        <v>67,5</v>
      </c>
      <c r="L9" s="17" t="str">
        <f>"47,1825"</f>
        <v>47,1825</v>
      </c>
      <c r="M9" s="16"/>
    </row>
    <row r="10" spans="1:13">
      <c r="A10" s="19" t="s">
        <v>152</v>
      </c>
      <c r="B10" s="18" t="s">
        <v>472</v>
      </c>
      <c r="C10" s="18" t="s">
        <v>473</v>
      </c>
      <c r="D10" s="18" t="s">
        <v>474</v>
      </c>
      <c r="E10" s="18" t="s">
        <v>1042</v>
      </c>
      <c r="F10" s="18" t="s">
        <v>993</v>
      </c>
      <c r="G10" s="24" t="s">
        <v>337</v>
      </c>
      <c r="H10" s="24" t="s">
        <v>189</v>
      </c>
      <c r="I10" s="24" t="s">
        <v>176</v>
      </c>
      <c r="J10" s="19"/>
      <c r="K10" s="19" t="str">
        <f>"60,0"</f>
        <v>60,0</v>
      </c>
      <c r="L10" s="19" t="str">
        <f>"41,6010"</f>
        <v>41,6010</v>
      </c>
      <c r="M10" s="18"/>
    </row>
    <row r="11" spans="1:13">
      <c r="A11" s="21" t="s">
        <v>28</v>
      </c>
      <c r="B11" s="20" t="s">
        <v>816</v>
      </c>
      <c r="C11" s="20" t="s">
        <v>889</v>
      </c>
      <c r="D11" s="20" t="s">
        <v>815</v>
      </c>
      <c r="E11" s="20" t="s">
        <v>1045</v>
      </c>
      <c r="F11" s="20" t="s">
        <v>1034</v>
      </c>
      <c r="G11" s="27" t="s">
        <v>189</v>
      </c>
      <c r="H11" s="27" t="s">
        <v>176</v>
      </c>
      <c r="I11" s="27" t="s">
        <v>163</v>
      </c>
      <c r="J11" s="21"/>
      <c r="K11" s="21" t="str">
        <f>"65,0"</f>
        <v>65,0</v>
      </c>
      <c r="L11" s="21" t="str">
        <f>"47,9813"</f>
        <v>47,9813</v>
      </c>
      <c r="M11" s="20"/>
    </row>
    <row r="12" spans="1:13">
      <c r="B12" s="5" t="s">
        <v>29</v>
      </c>
    </row>
    <row r="13" spans="1:13" ht="16">
      <c r="A13" s="52" t="s">
        <v>51</v>
      </c>
      <c r="B13" s="52"/>
      <c r="C13" s="52"/>
      <c r="D13" s="52"/>
      <c r="E13" s="52"/>
      <c r="F13" s="52"/>
      <c r="G13" s="52"/>
      <c r="H13" s="52"/>
      <c r="I13" s="52"/>
      <c r="J13" s="52"/>
    </row>
    <row r="14" spans="1:13">
      <c r="A14" s="17" t="s">
        <v>28</v>
      </c>
      <c r="B14" s="16" t="s">
        <v>814</v>
      </c>
      <c r="C14" s="16" t="s">
        <v>813</v>
      </c>
      <c r="D14" s="16" t="s">
        <v>812</v>
      </c>
      <c r="E14" s="16" t="s">
        <v>1042</v>
      </c>
      <c r="F14" s="16" t="s">
        <v>1035</v>
      </c>
      <c r="G14" s="23" t="s">
        <v>171</v>
      </c>
      <c r="H14" s="23" t="s">
        <v>172</v>
      </c>
      <c r="I14" s="22" t="s">
        <v>172</v>
      </c>
      <c r="J14" s="17"/>
      <c r="K14" s="17" t="str">
        <f>"70,0"</f>
        <v>70,0</v>
      </c>
      <c r="L14" s="17" t="str">
        <f>"46,2840"</f>
        <v>46,2840</v>
      </c>
      <c r="M14" s="16"/>
    </row>
    <row r="15" spans="1:13">
      <c r="A15" s="19" t="s">
        <v>152</v>
      </c>
      <c r="B15" s="18" t="s">
        <v>493</v>
      </c>
      <c r="C15" s="18" t="s">
        <v>494</v>
      </c>
      <c r="D15" s="18" t="s">
        <v>345</v>
      </c>
      <c r="E15" s="16" t="s">
        <v>1042</v>
      </c>
      <c r="F15" s="18" t="s">
        <v>987</v>
      </c>
      <c r="G15" s="24" t="s">
        <v>188</v>
      </c>
      <c r="H15" s="24" t="s">
        <v>189</v>
      </c>
      <c r="I15" s="24" t="s">
        <v>190</v>
      </c>
      <c r="J15" s="19"/>
      <c r="K15" s="19" t="str">
        <f>"57,5"</f>
        <v>57,5</v>
      </c>
      <c r="L15" s="19" t="str">
        <f>"37,3319"</f>
        <v>37,3319</v>
      </c>
      <c r="M15" s="18" t="s">
        <v>438</v>
      </c>
    </row>
    <row r="16" spans="1:13">
      <c r="A16" s="21" t="s">
        <v>153</v>
      </c>
      <c r="B16" s="20" t="s">
        <v>811</v>
      </c>
      <c r="C16" s="20" t="s">
        <v>810</v>
      </c>
      <c r="D16" s="20" t="s">
        <v>809</v>
      </c>
      <c r="E16" s="16" t="s">
        <v>1042</v>
      </c>
      <c r="F16" s="20" t="s">
        <v>989</v>
      </c>
      <c r="G16" s="27" t="s">
        <v>188</v>
      </c>
      <c r="H16" s="27" t="s">
        <v>195</v>
      </c>
      <c r="I16" s="26" t="s">
        <v>190</v>
      </c>
      <c r="J16" s="21"/>
      <c r="K16" s="21" t="str">
        <f>"52,5"</f>
        <v>52,5</v>
      </c>
      <c r="L16" s="21" t="str">
        <f>"34,3350"</f>
        <v>34,3350</v>
      </c>
      <c r="M16" s="20"/>
    </row>
    <row r="17" spans="1:13">
      <c r="B17" s="5" t="s">
        <v>29</v>
      </c>
    </row>
    <row r="18" spans="1:13" ht="16">
      <c r="A18" s="52" t="s">
        <v>42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3">
      <c r="A19" s="17" t="s">
        <v>28</v>
      </c>
      <c r="B19" s="16" t="s">
        <v>808</v>
      </c>
      <c r="C19" s="16" t="s">
        <v>890</v>
      </c>
      <c r="D19" s="16" t="s">
        <v>807</v>
      </c>
      <c r="E19" s="16" t="s">
        <v>1044</v>
      </c>
      <c r="F19" s="16" t="s">
        <v>1010</v>
      </c>
      <c r="G19" s="22" t="s">
        <v>172</v>
      </c>
      <c r="H19" s="23" t="s">
        <v>160</v>
      </c>
      <c r="I19" s="23" t="s">
        <v>160</v>
      </c>
      <c r="J19" s="17"/>
      <c r="K19" s="17" t="str">
        <f>"70,0"</f>
        <v>70,0</v>
      </c>
      <c r="L19" s="17" t="str">
        <f>"42,8295"</f>
        <v>42,8295</v>
      </c>
      <c r="M19" s="16"/>
    </row>
    <row r="20" spans="1:13">
      <c r="A20" s="19" t="s">
        <v>28</v>
      </c>
      <c r="B20" s="18" t="s">
        <v>502</v>
      </c>
      <c r="C20" s="18" t="s">
        <v>503</v>
      </c>
      <c r="D20" s="18" t="s">
        <v>235</v>
      </c>
      <c r="E20" s="18" t="s">
        <v>1042</v>
      </c>
      <c r="F20" s="18" t="s">
        <v>947</v>
      </c>
      <c r="G20" s="24" t="s">
        <v>49</v>
      </c>
      <c r="H20" s="25" t="s">
        <v>194</v>
      </c>
      <c r="I20" s="25" t="s">
        <v>194</v>
      </c>
      <c r="J20" s="19"/>
      <c r="K20" s="19" t="str">
        <f>"80,0"</f>
        <v>80,0</v>
      </c>
      <c r="L20" s="19" t="str">
        <f>"49,2240"</f>
        <v>49,2240</v>
      </c>
      <c r="M20" s="18" t="s">
        <v>504</v>
      </c>
    </row>
    <row r="21" spans="1:13">
      <c r="A21" s="19" t="s">
        <v>152</v>
      </c>
      <c r="B21" s="18" t="s">
        <v>806</v>
      </c>
      <c r="C21" s="18" t="s">
        <v>805</v>
      </c>
      <c r="D21" s="18" t="s">
        <v>804</v>
      </c>
      <c r="E21" s="18" t="s">
        <v>1042</v>
      </c>
      <c r="F21" s="18" t="s">
        <v>1025</v>
      </c>
      <c r="G21" s="24" t="s">
        <v>172</v>
      </c>
      <c r="H21" s="25" t="s">
        <v>160</v>
      </c>
      <c r="I21" s="24" t="s">
        <v>160</v>
      </c>
      <c r="J21" s="19"/>
      <c r="K21" s="19" t="str">
        <f>"75,0"</f>
        <v>75,0</v>
      </c>
      <c r="L21" s="19" t="str">
        <f>"47,1075"</f>
        <v>47,1075</v>
      </c>
      <c r="M21" s="18"/>
    </row>
    <row r="22" spans="1:13">
      <c r="A22" s="19" t="s">
        <v>151</v>
      </c>
      <c r="B22" s="18" t="s">
        <v>803</v>
      </c>
      <c r="C22" s="18" t="s">
        <v>802</v>
      </c>
      <c r="D22" s="18" t="s">
        <v>347</v>
      </c>
      <c r="E22" s="18" t="s">
        <v>1042</v>
      </c>
      <c r="F22" s="18" t="s">
        <v>1036</v>
      </c>
      <c r="G22" s="25" t="s">
        <v>162</v>
      </c>
      <c r="H22" s="19"/>
      <c r="I22" s="19"/>
      <c r="J22" s="19"/>
      <c r="K22" s="19" t="str">
        <f>"0.00"</f>
        <v>0.00</v>
      </c>
      <c r="L22" s="19" t="str">
        <f>"0,0000"</f>
        <v>0,0000</v>
      </c>
      <c r="M22" s="18" t="s">
        <v>801</v>
      </c>
    </row>
    <row r="23" spans="1:13">
      <c r="A23" s="21" t="s">
        <v>28</v>
      </c>
      <c r="B23" s="20" t="s">
        <v>251</v>
      </c>
      <c r="C23" s="20" t="s">
        <v>886</v>
      </c>
      <c r="D23" s="20" t="s">
        <v>252</v>
      </c>
      <c r="E23" s="20" t="s">
        <v>1045</v>
      </c>
      <c r="F23" s="20" t="s">
        <v>955</v>
      </c>
      <c r="G23" s="27" t="s">
        <v>163</v>
      </c>
      <c r="H23" s="27" t="s">
        <v>172</v>
      </c>
      <c r="I23" s="26" t="s">
        <v>187</v>
      </c>
      <c r="J23" s="21"/>
      <c r="K23" s="21" t="str">
        <f>"70,0"</f>
        <v>70,0</v>
      </c>
      <c r="L23" s="21" t="str">
        <f>"45,1822"</f>
        <v>45,1822</v>
      </c>
      <c r="M23" s="20"/>
    </row>
    <row r="24" spans="1:13">
      <c r="B24" s="5" t="s">
        <v>29</v>
      </c>
    </row>
    <row r="25" spans="1:13" ht="16">
      <c r="A25" s="52" t="s">
        <v>97</v>
      </c>
      <c r="B25" s="52"/>
      <c r="C25" s="52"/>
      <c r="D25" s="52"/>
      <c r="E25" s="52"/>
      <c r="F25" s="52"/>
      <c r="G25" s="52"/>
      <c r="H25" s="52"/>
      <c r="I25" s="52"/>
      <c r="J25" s="52"/>
    </row>
    <row r="26" spans="1:13">
      <c r="A26" s="8" t="s">
        <v>28</v>
      </c>
      <c r="B26" s="7" t="s">
        <v>517</v>
      </c>
      <c r="C26" s="7" t="s">
        <v>518</v>
      </c>
      <c r="D26" s="7" t="s">
        <v>519</v>
      </c>
      <c r="E26" s="7" t="s">
        <v>1042</v>
      </c>
      <c r="F26" s="7" t="s">
        <v>947</v>
      </c>
      <c r="G26" s="15" t="s">
        <v>172</v>
      </c>
      <c r="H26" s="14" t="s">
        <v>160</v>
      </c>
      <c r="I26" s="15" t="s">
        <v>160</v>
      </c>
      <c r="J26" s="8"/>
      <c r="K26" s="8" t="str">
        <f>"75,0"</f>
        <v>75,0</v>
      </c>
      <c r="L26" s="8" t="str">
        <f>"43,8787"</f>
        <v>43,8787</v>
      </c>
      <c r="M26" s="7"/>
    </row>
    <row r="27" spans="1:13">
      <c r="B27" s="5" t="s">
        <v>29</v>
      </c>
    </row>
    <row r="28" spans="1:13" ht="16">
      <c r="A28" s="52" t="s">
        <v>9</v>
      </c>
      <c r="B28" s="52"/>
      <c r="C28" s="52"/>
      <c r="D28" s="52"/>
      <c r="E28" s="52"/>
      <c r="F28" s="52"/>
      <c r="G28" s="52"/>
      <c r="H28" s="52"/>
      <c r="I28" s="52"/>
      <c r="J28" s="52"/>
    </row>
    <row r="29" spans="1:13">
      <c r="A29" s="17" t="s">
        <v>28</v>
      </c>
      <c r="B29" s="16" t="s">
        <v>800</v>
      </c>
      <c r="C29" s="16" t="s">
        <v>891</v>
      </c>
      <c r="D29" s="16" t="s">
        <v>799</v>
      </c>
      <c r="E29" s="16" t="s">
        <v>1044</v>
      </c>
      <c r="F29" s="16" t="s">
        <v>947</v>
      </c>
      <c r="G29" s="22" t="s">
        <v>190</v>
      </c>
      <c r="H29" s="22" t="s">
        <v>176</v>
      </c>
      <c r="I29" s="23" t="s">
        <v>163</v>
      </c>
      <c r="J29" s="17"/>
      <c r="K29" s="17" t="str">
        <f>"60,0"</f>
        <v>60,0</v>
      </c>
      <c r="L29" s="17" t="str">
        <f>"34,4280"</f>
        <v>34,4280</v>
      </c>
      <c r="M29" s="16" t="s">
        <v>798</v>
      </c>
    </row>
    <row r="30" spans="1:13">
      <c r="A30" s="21" t="s">
        <v>28</v>
      </c>
      <c r="B30" s="20" t="s">
        <v>797</v>
      </c>
      <c r="C30" s="20" t="s">
        <v>796</v>
      </c>
      <c r="D30" s="20" t="s">
        <v>795</v>
      </c>
      <c r="E30" s="20" t="s">
        <v>1042</v>
      </c>
      <c r="F30" s="20" t="s">
        <v>1018</v>
      </c>
      <c r="G30" s="27" t="s">
        <v>160</v>
      </c>
      <c r="H30" s="26" t="s">
        <v>194</v>
      </c>
      <c r="I30" s="26" t="s">
        <v>38</v>
      </c>
      <c r="J30" s="21"/>
      <c r="K30" s="21" t="str">
        <f>"75,0"</f>
        <v>75,0</v>
      </c>
      <c r="L30" s="21" t="str">
        <f>"43,0950"</f>
        <v>43,0950</v>
      </c>
      <c r="M30" s="20"/>
    </row>
    <row r="31" spans="1:13">
      <c r="B31" s="5" t="s">
        <v>29</v>
      </c>
    </row>
    <row r="34" spans="1:6" ht="18">
      <c r="B34" s="9" t="s">
        <v>19</v>
      </c>
      <c r="C34" s="9"/>
    </row>
    <row r="35" spans="1:6" ht="16">
      <c r="B35" s="29" t="s">
        <v>20</v>
      </c>
      <c r="C35" s="29"/>
    </row>
    <row r="36" spans="1:6" ht="14">
      <c r="B36" s="11"/>
      <c r="C36" s="12" t="s">
        <v>143</v>
      </c>
    </row>
    <row r="37" spans="1:6" ht="14">
      <c r="A37" s="1"/>
      <c r="B37" s="13" t="s">
        <v>22</v>
      </c>
      <c r="C37" s="13" t="s">
        <v>23</v>
      </c>
      <c r="D37" s="13" t="s">
        <v>901</v>
      </c>
      <c r="E37" s="13" t="s">
        <v>417</v>
      </c>
      <c r="F37" s="13" t="s">
        <v>761</v>
      </c>
    </row>
    <row r="38" spans="1:6">
      <c r="A38" s="6"/>
      <c r="B38" s="5" t="s">
        <v>502</v>
      </c>
      <c r="C38" s="5" t="s">
        <v>143</v>
      </c>
      <c r="D38" s="6" t="s">
        <v>283</v>
      </c>
      <c r="E38" s="6" t="s">
        <v>49</v>
      </c>
      <c r="F38" s="6" t="s">
        <v>794</v>
      </c>
    </row>
    <row r="39" spans="1:6">
      <c r="A39" s="6"/>
      <c r="B39" s="5" t="s">
        <v>759</v>
      </c>
      <c r="C39" s="5" t="s">
        <v>143</v>
      </c>
      <c r="D39" s="6" t="s">
        <v>758</v>
      </c>
      <c r="E39" s="6" t="s">
        <v>162</v>
      </c>
      <c r="F39" s="6" t="s">
        <v>793</v>
      </c>
    </row>
    <row r="40" spans="1:6">
      <c r="A40" s="6"/>
      <c r="B40" s="5" t="s">
        <v>792</v>
      </c>
      <c r="C40" s="5" t="s">
        <v>143</v>
      </c>
      <c r="D40" s="6" t="s">
        <v>282</v>
      </c>
      <c r="E40" s="6" t="s">
        <v>171</v>
      </c>
      <c r="F40" s="6" t="s">
        <v>791</v>
      </c>
    </row>
    <row r="41" spans="1:6">
      <c r="B41" s="5" t="s">
        <v>29</v>
      </c>
    </row>
  </sheetData>
  <mergeCells count="17">
    <mergeCell ref="A8:J8"/>
    <mergeCell ref="A13:J13"/>
    <mergeCell ref="A18:J18"/>
    <mergeCell ref="A25:J25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B3:B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U23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1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1" bestFit="1" customWidth="1"/>
    <col min="20" max="20" width="8.5" style="6" bestFit="1" customWidth="1"/>
    <col min="21" max="21" width="26.6640625" style="5" bestFit="1" customWidth="1"/>
    <col min="22" max="16384" width="9.1640625" style="3"/>
  </cols>
  <sheetData>
    <row r="1" spans="1:21" s="2" customFormat="1" ht="29" customHeight="1">
      <c r="A1" s="53" t="s">
        <v>914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6</v>
      </c>
      <c r="H3" s="65"/>
      <c r="I3" s="65"/>
      <c r="J3" s="65"/>
      <c r="K3" s="65" t="s">
        <v>7</v>
      </c>
      <c r="L3" s="65"/>
      <c r="M3" s="65"/>
      <c r="N3" s="65"/>
      <c r="O3" s="65" t="s">
        <v>8</v>
      </c>
      <c r="P3" s="65"/>
      <c r="Q3" s="65"/>
      <c r="R3" s="65"/>
      <c r="S3" s="68" t="s">
        <v>1</v>
      </c>
      <c r="T3" s="65" t="s">
        <v>3</v>
      </c>
      <c r="U3" s="66" t="s">
        <v>2</v>
      </c>
    </row>
    <row r="4" spans="1:21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9"/>
      <c r="T4" s="64"/>
      <c r="U4" s="67"/>
    </row>
    <row r="5" spans="1:21" ht="16">
      <c r="A5" s="48" t="s">
        <v>333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8" t="s">
        <v>28</v>
      </c>
      <c r="B6" s="7" t="s">
        <v>334</v>
      </c>
      <c r="C6" s="7" t="s">
        <v>335</v>
      </c>
      <c r="D6" s="7" t="s">
        <v>336</v>
      </c>
      <c r="E6" s="7" t="s">
        <v>1042</v>
      </c>
      <c r="F6" s="7" t="s">
        <v>970</v>
      </c>
      <c r="G6" s="15" t="s">
        <v>50</v>
      </c>
      <c r="H6" s="15" t="s">
        <v>204</v>
      </c>
      <c r="I6" s="15" t="s">
        <v>181</v>
      </c>
      <c r="J6" s="8"/>
      <c r="K6" s="15" t="s">
        <v>174</v>
      </c>
      <c r="L6" s="15" t="s">
        <v>199</v>
      </c>
      <c r="M6" s="14" t="s">
        <v>337</v>
      </c>
      <c r="N6" s="8"/>
      <c r="O6" s="15" t="s">
        <v>46</v>
      </c>
      <c r="P6" s="14" t="s">
        <v>182</v>
      </c>
      <c r="Q6" s="15" t="s">
        <v>182</v>
      </c>
      <c r="R6" s="8"/>
      <c r="S6" s="32" t="str">
        <f>"265,0"</f>
        <v>265,0</v>
      </c>
      <c r="T6" s="8" t="str">
        <f>"298,9465"</f>
        <v>298,9465</v>
      </c>
      <c r="U6" s="7" t="s">
        <v>903</v>
      </c>
    </row>
    <row r="7" spans="1:21">
      <c r="B7" s="5" t="s">
        <v>29</v>
      </c>
    </row>
    <row r="8" spans="1:21" ht="16">
      <c r="A8" s="52" t="s">
        <v>30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8" t="s">
        <v>28</v>
      </c>
      <c r="B9" s="7" t="s">
        <v>338</v>
      </c>
      <c r="C9" s="7" t="s">
        <v>339</v>
      </c>
      <c r="D9" s="7" t="s">
        <v>340</v>
      </c>
      <c r="E9" s="7" t="s">
        <v>1042</v>
      </c>
      <c r="F9" s="7" t="s">
        <v>971</v>
      </c>
      <c r="G9" s="15" t="s">
        <v>160</v>
      </c>
      <c r="H9" s="15" t="s">
        <v>49</v>
      </c>
      <c r="I9" s="14" t="s">
        <v>194</v>
      </c>
      <c r="J9" s="8"/>
      <c r="K9" s="15" t="s">
        <v>341</v>
      </c>
      <c r="L9" s="15" t="s">
        <v>174</v>
      </c>
      <c r="M9" s="15" t="s">
        <v>199</v>
      </c>
      <c r="N9" s="8"/>
      <c r="O9" s="15" t="s">
        <v>160</v>
      </c>
      <c r="P9" s="15" t="s">
        <v>194</v>
      </c>
      <c r="Q9" s="15" t="s">
        <v>39</v>
      </c>
      <c r="R9" s="8"/>
      <c r="S9" s="32" t="str">
        <f>"215,0"</f>
        <v>215,0</v>
      </c>
      <c r="T9" s="8" t="str">
        <f>"230,9100"</f>
        <v>230,9100</v>
      </c>
      <c r="U9" s="7" t="s">
        <v>342</v>
      </c>
    </row>
    <row r="10" spans="1:21">
      <c r="B10" s="5" t="s">
        <v>29</v>
      </c>
    </row>
    <row r="11" spans="1:21" ht="16">
      <c r="A11" s="52" t="s">
        <v>51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>
      <c r="A12" s="8" t="s">
        <v>28</v>
      </c>
      <c r="B12" s="7" t="s">
        <v>343</v>
      </c>
      <c r="C12" s="7" t="s">
        <v>344</v>
      </c>
      <c r="D12" s="7" t="s">
        <v>345</v>
      </c>
      <c r="E12" s="7" t="s">
        <v>1042</v>
      </c>
      <c r="F12" s="7" t="s">
        <v>972</v>
      </c>
      <c r="G12" s="15" t="s">
        <v>16</v>
      </c>
      <c r="H12" s="14" t="s">
        <v>120</v>
      </c>
      <c r="I12" s="14" t="s">
        <v>138</v>
      </c>
      <c r="J12" s="8"/>
      <c r="K12" s="15" t="s">
        <v>50</v>
      </c>
      <c r="L12" s="15" t="s">
        <v>46</v>
      </c>
      <c r="M12" s="15" t="s">
        <v>47</v>
      </c>
      <c r="N12" s="8"/>
      <c r="O12" s="15" t="s">
        <v>81</v>
      </c>
      <c r="P12" s="15" t="s">
        <v>64</v>
      </c>
      <c r="Q12" s="15" t="s">
        <v>66</v>
      </c>
      <c r="R12" s="8"/>
      <c r="S12" s="32" t="str">
        <f>"500,0"</f>
        <v>500,0</v>
      </c>
      <c r="T12" s="8" t="str">
        <f>"337,2000"</f>
        <v>337,2000</v>
      </c>
      <c r="U12" s="7"/>
    </row>
    <row r="13" spans="1:21">
      <c r="B13" s="5" t="s">
        <v>29</v>
      </c>
    </row>
    <row r="14" spans="1:21" ht="16">
      <c r="A14" s="52" t="s">
        <v>42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21">
      <c r="A15" s="8" t="s">
        <v>28</v>
      </c>
      <c r="B15" s="7" t="s">
        <v>346</v>
      </c>
      <c r="C15" s="7" t="s">
        <v>245</v>
      </c>
      <c r="D15" s="7" t="s">
        <v>347</v>
      </c>
      <c r="E15" s="7" t="s">
        <v>1042</v>
      </c>
      <c r="F15" s="7" t="s">
        <v>973</v>
      </c>
      <c r="G15" s="14" t="s">
        <v>73</v>
      </c>
      <c r="H15" s="15" t="s">
        <v>73</v>
      </c>
      <c r="I15" s="14" t="s">
        <v>81</v>
      </c>
      <c r="J15" s="8"/>
      <c r="K15" s="15" t="s">
        <v>50</v>
      </c>
      <c r="L15" s="15" t="s">
        <v>204</v>
      </c>
      <c r="M15" s="15" t="s">
        <v>46</v>
      </c>
      <c r="N15" s="8"/>
      <c r="O15" s="15" t="s">
        <v>73</v>
      </c>
      <c r="P15" s="15" t="s">
        <v>81</v>
      </c>
      <c r="Q15" s="15" t="s">
        <v>82</v>
      </c>
      <c r="R15" s="8"/>
      <c r="S15" s="32" t="str">
        <f>"495,0"</f>
        <v>495,0</v>
      </c>
      <c r="T15" s="8" t="str">
        <f>"322,6905"</f>
        <v>322,6905</v>
      </c>
      <c r="U15" s="7" t="s">
        <v>348</v>
      </c>
    </row>
    <row r="16" spans="1:21">
      <c r="B16" s="5" t="s">
        <v>29</v>
      </c>
    </row>
    <row r="17" spans="1:21" ht="16">
      <c r="A17" s="52" t="s">
        <v>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21">
      <c r="A18" s="8" t="s">
        <v>28</v>
      </c>
      <c r="B18" s="7" t="s">
        <v>349</v>
      </c>
      <c r="C18" s="7" t="s">
        <v>350</v>
      </c>
      <c r="D18" s="7" t="s">
        <v>351</v>
      </c>
      <c r="E18" s="7" t="s">
        <v>1042</v>
      </c>
      <c r="F18" s="7" t="s">
        <v>947</v>
      </c>
      <c r="G18" s="15" t="s">
        <v>66</v>
      </c>
      <c r="H18" s="15" t="s">
        <v>12</v>
      </c>
      <c r="I18" s="15" t="s">
        <v>18</v>
      </c>
      <c r="J18" s="8"/>
      <c r="K18" s="15" t="s">
        <v>36</v>
      </c>
      <c r="L18" s="15" t="s">
        <v>272</v>
      </c>
      <c r="M18" s="14" t="s">
        <v>15</v>
      </c>
      <c r="N18" s="8"/>
      <c r="O18" s="15" t="s">
        <v>65</v>
      </c>
      <c r="P18" s="15" t="s">
        <v>12</v>
      </c>
      <c r="Q18" s="14" t="s">
        <v>352</v>
      </c>
      <c r="R18" s="8"/>
      <c r="S18" s="32" t="str">
        <f>"622,5"</f>
        <v>622,5</v>
      </c>
      <c r="T18" s="8" t="str">
        <f>"372,8775"</f>
        <v>372,8775</v>
      </c>
      <c r="U18" s="7" t="s">
        <v>353</v>
      </c>
    </row>
    <row r="19" spans="1:21">
      <c r="B19" s="5" t="s">
        <v>29</v>
      </c>
    </row>
    <row r="20" spans="1:21" ht="16">
      <c r="A20" s="52" t="s">
        <v>354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21">
      <c r="A21" s="8" t="s">
        <v>151</v>
      </c>
      <c r="B21" s="7" t="s">
        <v>355</v>
      </c>
      <c r="C21" s="7" t="s">
        <v>356</v>
      </c>
      <c r="D21" s="7" t="s">
        <v>357</v>
      </c>
      <c r="E21" s="7" t="s">
        <v>1042</v>
      </c>
      <c r="F21" s="7" t="s">
        <v>947</v>
      </c>
      <c r="G21" s="15" t="s">
        <v>57</v>
      </c>
      <c r="H21" s="15" t="s">
        <v>111</v>
      </c>
      <c r="I21" s="15" t="s">
        <v>118</v>
      </c>
      <c r="J21" s="8"/>
      <c r="K21" s="14" t="s">
        <v>73</v>
      </c>
      <c r="L21" s="14" t="s">
        <v>80</v>
      </c>
      <c r="M21" s="14" t="s">
        <v>80</v>
      </c>
      <c r="N21" s="8"/>
      <c r="O21" s="14"/>
      <c r="P21" s="8"/>
      <c r="Q21" s="8"/>
      <c r="R21" s="8"/>
      <c r="S21" s="32">
        <v>0</v>
      </c>
      <c r="T21" s="8" t="str">
        <f>"0,0000"</f>
        <v>0,0000</v>
      </c>
      <c r="U21" s="7"/>
    </row>
    <row r="22" spans="1:21">
      <c r="B22" s="5" t="s">
        <v>29</v>
      </c>
    </row>
    <row r="23" spans="1:21">
      <c r="B23" s="5" t="s">
        <v>29</v>
      </c>
    </row>
  </sheetData>
  <mergeCells count="19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  <mergeCell ref="A20:R20"/>
    <mergeCell ref="A5:R5"/>
    <mergeCell ref="A8:R8"/>
    <mergeCell ref="A11:R11"/>
    <mergeCell ref="A14:R14"/>
    <mergeCell ref="A17:R1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M25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1640625" style="5" bestFit="1" customWidth="1"/>
    <col min="7" max="9" width="5.5" style="6" customWidth="1"/>
    <col min="10" max="10" width="4.83203125" style="6" customWidth="1"/>
    <col min="11" max="11" width="12.33203125" style="6" customWidth="1"/>
    <col min="12" max="12" width="7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53" t="s">
        <v>937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1039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30">
        <v>1</v>
      </c>
      <c r="H4" s="30">
        <v>2</v>
      </c>
      <c r="I4" s="30">
        <v>3</v>
      </c>
      <c r="J4" s="30" t="s">
        <v>4</v>
      </c>
      <c r="K4" s="64"/>
      <c r="L4" s="64"/>
      <c r="M4" s="67"/>
    </row>
    <row r="5" spans="1:13" ht="16">
      <c r="A5" s="48" t="s">
        <v>51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829</v>
      </c>
      <c r="C6" s="7" t="s">
        <v>892</v>
      </c>
      <c r="D6" s="7" t="s">
        <v>828</v>
      </c>
      <c r="E6" s="7" t="s">
        <v>1048</v>
      </c>
      <c r="F6" s="7" t="s">
        <v>947</v>
      </c>
      <c r="G6" s="15" t="s">
        <v>188</v>
      </c>
      <c r="H6" s="15" t="s">
        <v>189</v>
      </c>
      <c r="I6" s="14" t="s">
        <v>190</v>
      </c>
      <c r="J6" s="8"/>
      <c r="K6" s="8" t="str">
        <f>"55,0"</f>
        <v>55,0</v>
      </c>
      <c r="L6" s="8" t="str">
        <f>"46,3201"</f>
        <v>46,3201</v>
      </c>
      <c r="M6" s="7"/>
    </row>
    <row r="7" spans="1:13">
      <c r="B7" s="5" t="s">
        <v>29</v>
      </c>
    </row>
    <row r="8" spans="1:13" ht="16">
      <c r="A8" s="52" t="s">
        <v>42</v>
      </c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7" t="s">
        <v>28</v>
      </c>
      <c r="B9" s="16" t="s">
        <v>803</v>
      </c>
      <c r="C9" s="16" t="s">
        <v>802</v>
      </c>
      <c r="D9" s="16" t="s">
        <v>347</v>
      </c>
      <c r="E9" s="16" t="s">
        <v>1042</v>
      </c>
      <c r="F9" s="16" t="s">
        <v>1036</v>
      </c>
      <c r="G9" s="22" t="s">
        <v>163</v>
      </c>
      <c r="H9" s="22" t="s">
        <v>172</v>
      </c>
      <c r="I9" s="23" t="s">
        <v>187</v>
      </c>
      <c r="J9" s="17"/>
      <c r="K9" s="17" t="str">
        <f>"70,0"</f>
        <v>70,0</v>
      </c>
      <c r="L9" s="17" t="str">
        <f>"43,8165"</f>
        <v>43,8165</v>
      </c>
      <c r="M9" s="16" t="s">
        <v>801</v>
      </c>
    </row>
    <row r="10" spans="1:13">
      <c r="A10" s="21" t="s">
        <v>152</v>
      </c>
      <c r="B10" s="20" t="s">
        <v>827</v>
      </c>
      <c r="C10" s="20" t="s">
        <v>826</v>
      </c>
      <c r="D10" s="20" t="s">
        <v>825</v>
      </c>
      <c r="E10" s="20" t="s">
        <v>1042</v>
      </c>
      <c r="F10" s="20" t="s">
        <v>954</v>
      </c>
      <c r="G10" s="27" t="s">
        <v>163</v>
      </c>
      <c r="H10" s="27" t="s">
        <v>172</v>
      </c>
      <c r="I10" s="26" t="s">
        <v>187</v>
      </c>
      <c r="J10" s="21"/>
      <c r="K10" s="21" t="str">
        <f>"70,0"</f>
        <v>70,0</v>
      </c>
      <c r="L10" s="21" t="str">
        <f>"43,0990"</f>
        <v>43,0990</v>
      </c>
      <c r="M10" s="20"/>
    </row>
    <row r="11" spans="1:13">
      <c r="B11" s="5" t="s">
        <v>29</v>
      </c>
    </row>
    <row r="12" spans="1:13" ht="16">
      <c r="A12" s="52" t="s">
        <v>97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3">
      <c r="A13" s="17" t="s">
        <v>28</v>
      </c>
      <c r="B13" s="16" t="s">
        <v>824</v>
      </c>
      <c r="C13" s="16" t="s">
        <v>823</v>
      </c>
      <c r="D13" s="16" t="s">
        <v>822</v>
      </c>
      <c r="E13" s="16" t="s">
        <v>1042</v>
      </c>
      <c r="F13" s="16" t="s">
        <v>1018</v>
      </c>
      <c r="G13" s="22" t="s">
        <v>172</v>
      </c>
      <c r="H13" s="22" t="s">
        <v>37</v>
      </c>
      <c r="I13" s="23" t="s">
        <v>38</v>
      </c>
      <c r="J13" s="17"/>
      <c r="K13" s="17" t="str">
        <f>"82,5"</f>
        <v>82,5</v>
      </c>
      <c r="L13" s="17" t="str">
        <f>"48,2047"</f>
        <v>48,2047</v>
      </c>
      <c r="M13" s="16"/>
    </row>
    <row r="14" spans="1:13">
      <c r="A14" s="21" t="s">
        <v>28</v>
      </c>
      <c r="B14" s="20" t="s">
        <v>821</v>
      </c>
      <c r="C14" s="20" t="s">
        <v>893</v>
      </c>
      <c r="D14" s="20" t="s">
        <v>658</v>
      </c>
      <c r="E14" s="20" t="s">
        <v>1045</v>
      </c>
      <c r="F14" s="20" t="s">
        <v>1037</v>
      </c>
      <c r="G14" s="26" t="s">
        <v>49</v>
      </c>
      <c r="H14" s="27" t="s">
        <v>37</v>
      </c>
      <c r="I14" s="26" t="s">
        <v>194</v>
      </c>
      <c r="J14" s="21"/>
      <c r="K14" s="21" t="str">
        <f>"82,5"</f>
        <v>82,5</v>
      </c>
      <c r="L14" s="21" t="str">
        <f>"48,5554"</f>
        <v>48,5554</v>
      </c>
      <c r="M14" s="20"/>
    </row>
    <row r="15" spans="1:13">
      <c r="B15" s="5" t="s">
        <v>29</v>
      </c>
    </row>
    <row r="16" spans="1:13" ht="16">
      <c r="A16" s="52" t="s">
        <v>9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3">
      <c r="A17" s="17" t="s">
        <v>28</v>
      </c>
      <c r="B17" s="16" t="s">
        <v>785</v>
      </c>
      <c r="C17" s="16" t="s">
        <v>784</v>
      </c>
      <c r="D17" s="16" t="s">
        <v>783</v>
      </c>
      <c r="E17" s="16" t="s">
        <v>1042</v>
      </c>
      <c r="F17" s="16" t="s">
        <v>947</v>
      </c>
      <c r="G17" s="23" t="s">
        <v>39</v>
      </c>
      <c r="H17" s="22" t="s">
        <v>39</v>
      </c>
      <c r="I17" s="23" t="s">
        <v>196</v>
      </c>
      <c r="J17" s="17"/>
      <c r="K17" s="17" t="str">
        <f>"90,0"</f>
        <v>90,0</v>
      </c>
      <c r="L17" s="17" t="str">
        <f>"51,0255"</f>
        <v>51,0255</v>
      </c>
      <c r="M17" s="16"/>
    </row>
    <row r="18" spans="1:13">
      <c r="A18" s="21" t="s">
        <v>152</v>
      </c>
      <c r="B18" s="20" t="s">
        <v>754</v>
      </c>
      <c r="C18" s="20" t="s">
        <v>753</v>
      </c>
      <c r="D18" s="20" t="s">
        <v>752</v>
      </c>
      <c r="E18" s="20" t="s">
        <v>1042</v>
      </c>
      <c r="F18" s="20" t="s">
        <v>1038</v>
      </c>
      <c r="G18" s="27" t="s">
        <v>188</v>
      </c>
      <c r="H18" s="27" t="s">
        <v>176</v>
      </c>
      <c r="I18" s="27" t="s">
        <v>160</v>
      </c>
      <c r="J18" s="21"/>
      <c r="K18" s="21" t="str">
        <f>"75,0"</f>
        <v>75,0</v>
      </c>
      <c r="L18" s="21" t="str">
        <f>"42,7462"</f>
        <v>42,7462</v>
      </c>
      <c r="M18" s="20"/>
    </row>
    <row r="19" spans="1:13">
      <c r="B19" s="5" t="s">
        <v>29</v>
      </c>
    </row>
    <row r="20" spans="1:13" ht="16">
      <c r="A20" s="52" t="s">
        <v>273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3">
      <c r="A21" s="17" t="s">
        <v>28</v>
      </c>
      <c r="B21" s="16" t="s">
        <v>782</v>
      </c>
      <c r="C21" s="16" t="s">
        <v>888</v>
      </c>
      <c r="D21" s="16" t="s">
        <v>780</v>
      </c>
      <c r="E21" s="16" t="s">
        <v>1044</v>
      </c>
      <c r="F21" s="16" t="s">
        <v>948</v>
      </c>
      <c r="G21" s="22" t="s">
        <v>50</v>
      </c>
      <c r="H21" s="23" t="s">
        <v>165</v>
      </c>
      <c r="I21" s="23" t="s">
        <v>165</v>
      </c>
      <c r="J21" s="17"/>
      <c r="K21" s="17" t="str">
        <f>"100,0"</f>
        <v>100,0</v>
      </c>
      <c r="L21" s="17" t="str">
        <f>"54,7550"</f>
        <v>54,7550</v>
      </c>
      <c r="M21" s="16"/>
    </row>
    <row r="22" spans="1:13">
      <c r="A22" s="19" t="s">
        <v>28</v>
      </c>
      <c r="B22" s="18" t="s">
        <v>820</v>
      </c>
      <c r="C22" s="18" t="s">
        <v>819</v>
      </c>
      <c r="D22" s="18" t="s">
        <v>818</v>
      </c>
      <c r="E22" s="18" t="s">
        <v>1042</v>
      </c>
      <c r="F22" s="18" t="s">
        <v>1014</v>
      </c>
      <c r="G22" s="24" t="s">
        <v>50</v>
      </c>
      <c r="H22" s="24" t="s">
        <v>204</v>
      </c>
      <c r="I22" s="24" t="s">
        <v>181</v>
      </c>
      <c r="J22" s="19"/>
      <c r="K22" s="19" t="str">
        <f>"107,5"</f>
        <v>107,5</v>
      </c>
      <c r="L22" s="19" t="str">
        <f>"59,0229"</f>
        <v>59,0229</v>
      </c>
      <c r="M22" s="18"/>
    </row>
    <row r="23" spans="1:13">
      <c r="A23" s="21" t="s">
        <v>152</v>
      </c>
      <c r="B23" s="20" t="s">
        <v>782</v>
      </c>
      <c r="C23" s="20" t="s">
        <v>781</v>
      </c>
      <c r="D23" s="20" t="s">
        <v>780</v>
      </c>
      <c r="E23" s="20" t="s">
        <v>1042</v>
      </c>
      <c r="F23" s="20" t="s">
        <v>948</v>
      </c>
      <c r="G23" s="27" t="s">
        <v>50</v>
      </c>
      <c r="H23" s="26" t="s">
        <v>165</v>
      </c>
      <c r="I23" s="26" t="s">
        <v>165</v>
      </c>
      <c r="J23" s="21"/>
      <c r="K23" s="21" t="str">
        <f>"100,0"</f>
        <v>100,0</v>
      </c>
      <c r="L23" s="21" t="str">
        <f>"54,7550"</f>
        <v>54,7550</v>
      </c>
      <c r="M23" s="20"/>
    </row>
    <row r="24" spans="1:13">
      <c r="B24" s="5" t="s">
        <v>29</v>
      </c>
    </row>
    <row r="25" spans="1:13">
      <c r="B25" s="5" t="s">
        <v>29</v>
      </c>
    </row>
  </sheetData>
  <mergeCells count="16">
    <mergeCell ref="A8:J8"/>
    <mergeCell ref="A12:J12"/>
    <mergeCell ref="A16:J16"/>
    <mergeCell ref="A20:J20"/>
    <mergeCell ref="B3:B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U28"/>
  <sheetViews>
    <sheetView workbookViewId="0">
      <selection activeCell="E27" sqref="E27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6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5" style="5" customWidth="1"/>
    <col min="22" max="16384" width="9.1640625" style="3"/>
  </cols>
  <sheetData>
    <row r="1" spans="1:21" s="2" customFormat="1" ht="29" customHeight="1">
      <c r="A1" s="53" t="s">
        <v>915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6</v>
      </c>
      <c r="H3" s="65"/>
      <c r="I3" s="65"/>
      <c r="J3" s="65"/>
      <c r="K3" s="65" t="s">
        <v>7</v>
      </c>
      <c r="L3" s="65"/>
      <c r="M3" s="65"/>
      <c r="N3" s="65"/>
      <c r="O3" s="65" t="s">
        <v>8</v>
      </c>
      <c r="P3" s="65"/>
      <c r="Q3" s="65"/>
      <c r="R3" s="65"/>
      <c r="S3" s="65" t="s">
        <v>1</v>
      </c>
      <c r="T3" s="65" t="s">
        <v>3</v>
      </c>
      <c r="U3" s="66" t="s">
        <v>2</v>
      </c>
    </row>
    <row r="4" spans="1:21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4"/>
      <c r="T4" s="64"/>
      <c r="U4" s="67"/>
    </row>
    <row r="5" spans="1:21" ht="16">
      <c r="A5" s="48" t="s">
        <v>200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8" t="s">
        <v>28</v>
      </c>
      <c r="B6" s="7" t="s">
        <v>292</v>
      </c>
      <c r="C6" s="7" t="s">
        <v>293</v>
      </c>
      <c r="D6" s="7" t="s">
        <v>294</v>
      </c>
      <c r="E6" s="7" t="s">
        <v>1042</v>
      </c>
      <c r="F6" s="7" t="s">
        <v>974</v>
      </c>
      <c r="G6" s="15" t="s">
        <v>73</v>
      </c>
      <c r="H6" s="15" t="s">
        <v>80</v>
      </c>
      <c r="I6" s="14" t="s">
        <v>126</v>
      </c>
      <c r="J6" s="8"/>
      <c r="K6" s="15" t="s">
        <v>164</v>
      </c>
      <c r="L6" s="14" t="s">
        <v>50</v>
      </c>
      <c r="M6" s="15" t="s">
        <v>50</v>
      </c>
      <c r="N6" s="8"/>
      <c r="O6" s="15" t="s">
        <v>120</v>
      </c>
      <c r="P6" s="15" t="s">
        <v>73</v>
      </c>
      <c r="Q6" s="15" t="s">
        <v>80</v>
      </c>
      <c r="R6" s="8"/>
      <c r="S6" s="8" t="str">
        <f>"480,0"</f>
        <v>480,0</v>
      </c>
      <c r="T6" s="8" t="str">
        <f>"456,2880"</f>
        <v>456,2880</v>
      </c>
      <c r="U6" s="7" t="s">
        <v>41</v>
      </c>
    </row>
    <row r="7" spans="1:21">
      <c r="B7" s="5" t="s">
        <v>29</v>
      </c>
    </row>
    <row r="8" spans="1:21" ht="16">
      <c r="A8" s="52" t="s">
        <v>51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8" t="s">
        <v>28</v>
      </c>
      <c r="B9" s="7" t="s">
        <v>295</v>
      </c>
      <c r="C9" s="7" t="s">
        <v>296</v>
      </c>
      <c r="D9" s="7" t="s">
        <v>297</v>
      </c>
      <c r="E9" s="7" t="s">
        <v>1042</v>
      </c>
      <c r="F9" s="7" t="s">
        <v>947</v>
      </c>
      <c r="G9" s="14" t="s">
        <v>223</v>
      </c>
      <c r="H9" s="14" t="s">
        <v>223</v>
      </c>
      <c r="I9" s="15" t="s">
        <v>223</v>
      </c>
      <c r="J9" s="8"/>
      <c r="K9" s="15" t="s">
        <v>163</v>
      </c>
      <c r="L9" s="15" t="s">
        <v>172</v>
      </c>
      <c r="M9" s="14" t="s">
        <v>160</v>
      </c>
      <c r="N9" s="8"/>
      <c r="O9" s="15" t="s">
        <v>16</v>
      </c>
      <c r="P9" s="15" t="s">
        <v>120</v>
      </c>
      <c r="Q9" s="15" t="s">
        <v>73</v>
      </c>
      <c r="R9" s="8"/>
      <c r="S9" s="8" t="str">
        <f>"407,5"</f>
        <v>407,5</v>
      </c>
      <c r="T9" s="8" t="str">
        <f>"377,4672"</f>
        <v>377,4672</v>
      </c>
      <c r="U9" s="7"/>
    </row>
    <row r="10" spans="1:21">
      <c r="B10" s="5" t="s">
        <v>29</v>
      </c>
    </row>
    <row r="11" spans="1:21" ht="16">
      <c r="A11" s="52" t="s">
        <v>51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>
      <c r="A12" s="17" t="s">
        <v>28</v>
      </c>
      <c r="B12" s="16" t="s">
        <v>298</v>
      </c>
      <c r="C12" s="16" t="s">
        <v>837</v>
      </c>
      <c r="D12" s="16" t="s">
        <v>299</v>
      </c>
      <c r="E12" s="16" t="s">
        <v>1044</v>
      </c>
      <c r="F12" s="16" t="s">
        <v>975</v>
      </c>
      <c r="G12" s="23" t="s">
        <v>13</v>
      </c>
      <c r="H12" s="23" t="s">
        <v>13</v>
      </c>
      <c r="I12" s="22" t="s">
        <v>13</v>
      </c>
      <c r="J12" s="17"/>
      <c r="K12" s="22" t="s">
        <v>16</v>
      </c>
      <c r="L12" s="22" t="s">
        <v>120</v>
      </c>
      <c r="M12" s="23" t="s">
        <v>300</v>
      </c>
      <c r="N12" s="17"/>
      <c r="O12" s="22" t="s">
        <v>13</v>
      </c>
      <c r="P12" s="22" t="s">
        <v>14</v>
      </c>
      <c r="Q12" s="17"/>
      <c r="R12" s="17"/>
      <c r="S12" s="17" t="str">
        <f>"660,0"</f>
        <v>660,0</v>
      </c>
      <c r="T12" s="17" t="str">
        <f>"442,1340"</f>
        <v>442,1340</v>
      </c>
      <c r="U12" s="16"/>
    </row>
    <row r="13" spans="1:21">
      <c r="A13" s="21" t="s">
        <v>28</v>
      </c>
      <c r="B13" s="20" t="s">
        <v>298</v>
      </c>
      <c r="C13" s="20" t="s">
        <v>301</v>
      </c>
      <c r="D13" s="20" t="s">
        <v>299</v>
      </c>
      <c r="E13" s="20" t="s">
        <v>1042</v>
      </c>
      <c r="F13" s="20" t="s">
        <v>975</v>
      </c>
      <c r="G13" s="26" t="s">
        <v>13</v>
      </c>
      <c r="H13" s="26" t="s">
        <v>13</v>
      </c>
      <c r="I13" s="27" t="s">
        <v>13</v>
      </c>
      <c r="J13" s="21"/>
      <c r="K13" s="27" t="s">
        <v>16</v>
      </c>
      <c r="L13" s="27" t="s">
        <v>120</v>
      </c>
      <c r="M13" s="26" t="s">
        <v>300</v>
      </c>
      <c r="N13" s="21"/>
      <c r="O13" s="27" t="s">
        <v>13</v>
      </c>
      <c r="P13" s="27" t="s">
        <v>14</v>
      </c>
      <c r="Q13" s="21"/>
      <c r="R13" s="21"/>
      <c r="S13" s="21" t="str">
        <f>"660,0"</f>
        <v>660,0</v>
      </c>
      <c r="T13" s="21" t="str">
        <f>"442,1340"</f>
        <v>442,1340</v>
      </c>
      <c r="U13" s="20"/>
    </row>
    <row r="14" spans="1:21">
      <c r="B14" s="5" t="s">
        <v>29</v>
      </c>
    </row>
    <row r="15" spans="1:21" ht="16">
      <c r="A15" s="52" t="s">
        <v>97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21">
      <c r="A16" s="17" t="s">
        <v>28</v>
      </c>
      <c r="B16" s="16" t="s">
        <v>302</v>
      </c>
      <c r="C16" s="16" t="s">
        <v>303</v>
      </c>
      <c r="D16" s="16" t="s">
        <v>304</v>
      </c>
      <c r="E16" s="16" t="s">
        <v>1042</v>
      </c>
      <c r="F16" s="16" t="s">
        <v>976</v>
      </c>
      <c r="G16" s="23" t="s">
        <v>78</v>
      </c>
      <c r="H16" s="22" t="s">
        <v>58</v>
      </c>
      <c r="I16" s="23" t="s">
        <v>111</v>
      </c>
      <c r="J16" s="17"/>
      <c r="K16" s="22" t="s">
        <v>15</v>
      </c>
      <c r="L16" s="22" t="s">
        <v>120</v>
      </c>
      <c r="M16" s="23" t="s">
        <v>138</v>
      </c>
      <c r="N16" s="17"/>
      <c r="O16" s="22" t="s">
        <v>112</v>
      </c>
      <c r="P16" s="22" t="s">
        <v>113</v>
      </c>
      <c r="Q16" s="23" t="s">
        <v>305</v>
      </c>
      <c r="R16" s="17"/>
      <c r="S16" s="17" t="str">
        <f>"750,0"</f>
        <v>750,0</v>
      </c>
      <c r="T16" s="17" t="str">
        <f>"457,5750"</f>
        <v>457,5750</v>
      </c>
      <c r="U16" s="16" t="s">
        <v>306</v>
      </c>
    </row>
    <row r="17" spans="1:21">
      <c r="A17" s="19" t="s">
        <v>152</v>
      </c>
      <c r="B17" s="18" t="s">
        <v>307</v>
      </c>
      <c r="C17" s="18" t="s">
        <v>308</v>
      </c>
      <c r="D17" s="18" t="s">
        <v>309</v>
      </c>
      <c r="E17" s="16" t="s">
        <v>1042</v>
      </c>
      <c r="F17" s="18" t="s">
        <v>977</v>
      </c>
      <c r="G17" s="25" t="s">
        <v>78</v>
      </c>
      <c r="H17" s="24" t="s">
        <v>78</v>
      </c>
      <c r="I17" s="24" t="s">
        <v>111</v>
      </c>
      <c r="J17" s="19"/>
      <c r="K17" s="24" t="s">
        <v>15</v>
      </c>
      <c r="L17" s="25" t="s">
        <v>93</v>
      </c>
      <c r="M17" s="25" t="s">
        <v>300</v>
      </c>
      <c r="N17" s="19"/>
      <c r="O17" s="24" t="s">
        <v>17</v>
      </c>
      <c r="P17" s="24" t="s">
        <v>18</v>
      </c>
      <c r="Q17" s="24" t="s">
        <v>310</v>
      </c>
      <c r="R17" s="19"/>
      <c r="S17" s="19" t="str">
        <f>"687,5"</f>
        <v>687,5</v>
      </c>
      <c r="T17" s="19" t="str">
        <f>"424,6687"</f>
        <v>424,6687</v>
      </c>
      <c r="U17" s="18" t="s">
        <v>311</v>
      </c>
    </row>
    <row r="18" spans="1:21">
      <c r="A18" s="19" t="s">
        <v>153</v>
      </c>
      <c r="B18" s="18" t="s">
        <v>312</v>
      </c>
      <c r="C18" s="18" t="s">
        <v>313</v>
      </c>
      <c r="D18" s="18" t="s">
        <v>314</v>
      </c>
      <c r="E18" s="16" t="s">
        <v>1042</v>
      </c>
      <c r="F18" s="18" t="s">
        <v>978</v>
      </c>
      <c r="G18" s="24" t="s">
        <v>58</v>
      </c>
      <c r="H18" s="25" t="s">
        <v>315</v>
      </c>
      <c r="I18" s="25" t="s">
        <v>315</v>
      </c>
      <c r="J18" s="19"/>
      <c r="K18" s="24" t="s">
        <v>15</v>
      </c>
      <c r="L18" s="24" t="s">
        <v>16</v>
      </c>
      <c r="M18" s="19"/>
      <c r="N18" s="19"/>
      <c r="O18" s="24" t="s">
        <v>18</v>
      </c>
      <c r="P18" s="25" t="s">
        <v>310</v>
      </c>
      <c r="Q18" s="25" t="s">
        <v>310</v>
      </c>
      <c r="R18" s="19"/>
      <c r="S18" s="19" t="str">
        <f>"675,0"</f>
        <v>675,0</v>
      </c>
      <c r="T18" s="19" t="str">
        <f>"412,4925"</f>
        <v>412,4925</v>
      </c>
      <c r="U18" s="18" t="s">
        <v>316</v>
      </c>
    </row>
    <row r="19" spans="1:21">
      <c r="A19" s="21" t="s">
        <v>154</v>
      </c>
      <c r="B19" s="20" t="s">
        <v>317</v>
      </c>
      <c r="C19" s="20" t="s">
        <v>318</v>
      </c>
      <c r="D19" s="20" t="s">
        <v>319</v>
      </c>
      <c r="E19" s="16" t="s">
        <v>1042</v>
      </c>
      <c r="F19" s="20" t="s">
        <v>947</v>
      </c>
      <c r="G19" s="27" t="s">
        <v>66</v>
      </c>
      <c r="H19" s="26" t="s">
        <v>18</v>
      </c>
      <c r="I19" s="26" t="s">
        <v>68</v>
      </c>
      <c r="J19" s="21"/>
      <c r="K19" s="26" t="s">
        <v>40</v>
      </c>
      <c r="L19" s="26" t="s">
        <v>40</v>
      </c>
      <c r="M19" s="27" t="s">
        <v>40</v>
      </c>
      <c r="N19" s="21"/>
      <c r="O19" s="27" t="s">
        <v>18</v>
      </c>
      <c r="P19" s="27" t="s">
        <v>57</v>
      </c>
      <c r="Q19" s="26" t="s">
        <v>111</v>
      </c>
      <c r="R19" s="21"/>
      <c r="S19" s="21" t="str">
        <f>"635,0"</f>
        <v>635,0</v>
      </c>
      <c r="T19" s="21" t="str">
        <f>"398,5260"</f>
        <v>398,5260</v>
      </c>
      <c r="U19" s="20" t="s">
        <v>320</v>
      </c>
    </row>
    <row r="20" spans="1:21">
      <c r="B20" s="5" t="s">
        <v>29</v>
      </c>
    </row>
    <row r="21" spans="1:21" ht="16">
      <c r="A21" s="52" t="s">
        <v>9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21">
      <c r="A22" s="17" t="s">
        <v>28</v>
      </c>
      <c r="B22" s="16" t="s">
        <v>321</v>
      </c>
      <c r="C22" s="16" t="s">
        <v>838</v>
      </c>
      <c r="D22" s="16" t="s">
        <v>322</v>
      </c>
      <c r="E22" s="16" t="s">
        <v>1044</v>
      </c>
      <c r="F22" s="16" t="s">
        <v>947</v>
      </c>
      <c r="G22" s="22" t="s">
        <v>65</v>
      </c>
      <c r="H22" s="23" t="s">
        <v>13</v>
      </c>
      <c r="I22" s="23" t="s">
        <v>13</v>
      </c>
      <c r="J22" s="17"/>
      <c r="K22" s="22" t="s">
        <v>56</v>
      </c>
      <c r="L22" s="22" t="s">
        <v>15</v>
      </c>
      <c r="M22" s="22" t="s">
        <v>16</v>
      </c>
      <c r="N22" s="17"/>
      <c r="O22" s="22" t="s">
        <v>17</v>
      </c>
      <c r="P22" s="22" t="s">
        <v>18</v>
      </c>
      <c r="Q22" s="23" t="s">
        <v>68</v>
      </c>
      <c r="R22" s="17"/>
      <c r="S22" s="17" t="str">
        <f>"625,0"</f>
        <v>625,0</v>
      </c>
      <c r="T22" s="17" t="str">
        <f>"369,6250"</f>
        <v>369,6250</v>
      </c>
      <c r="U22" s="16"/>
    </row>
    <row r="23" spans="1:21">
      <c r="A23" s="21" t="s">
        <v>28</v>
      </c>
      <c r="B23" s="20" t="s">
        <v>323</v>
      </c>
      <c r="C23" s="20" t="s">
        <v>324</v>
      </c>
      <c r="D23" s="20" t="s">
        <v>325</v>
      </c>
      <c r="E23" s="20" t="s">
        <v>1042</v>
      </c>
      <c r="F23" s="20" t="s">
        <v>979</v>
      </c>
      <c r="G23" s="27" t="s">
        <v>58</v>
      </c>
      <c r="H23" s="27" t="s">
        <v>118</v>
      </c>
      <c r="I23" s="27" t="s">
        <v>112</v>
      </c>
      <c r="J23" s="21"/>
      <c r="K23" s="27" t="s">
        <v>16</v>
      </c>
      <c r="L23" s="27" t="s">
        <v>300</v>
      </c>
      <c r="M23" s="27" t="s">
        <v>138</v>
      </c>
      <c r="N23" s="21"/>
      <c r="O23" s="27" t="s">
        <v>58</v>
      </c>
      <c r="P23" s="27" t="s">
        <v>118</v>
      </c>
      <c r="Q23" s="26" t="s">
        <v>112</v>
      </c>
      <c r="R23" s="21"/>
      <c r="S23" s="21" t="str">
        <f>"765,0"</f>
        <v>765,0</v>
      </c>
      <c r="T23" s="21" t="str">
        <f>"454,8690"</f>
        <v>454,8690</v>
      </c>
      <c r="U23" s="20" t="s">
        <v>326</v>
      </c>
    </row>
    <row r="24" spans="1:21">
      <c r="B24" s="5" t="s">
        <v>29</v>
      </c>
    </row>
    <row r="25" spans="1:21" ht="16">
      <c r="A25" s="52" t="s">
        <v>327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21">
      <c r="A26" s="8" t="s">
        <v>28</v>
      </c>
      <c r="B26" s="7" t="s">
        <v>328</v>
      </c>
      <c r="C26" s="7" t="s">
        <v>329</v>
      </c>
      <c r="D26" s="7" t="s">
        <v>330</v>
      </c>
      <c r="E26" s="7" t="s">
        <v>1042</v>
      </c>
      <c r="F26" s="7" t="s">
        <v>946</v>
      </c>
      <c r="G26" s="14" t="s">
        <v>101</v>
      </c>
      <c r="H26" s="15" t="s">
        <v>113</v>
      </c>
      <c r="I26" s="14" t="s">
        <v>102</v>
      </c>
      <c r="J26" s="8"/>
      <c r="K26" s="15" t="s">
        <v>138</v>
      </c>
      <c r="L26" s="14" t="s">
        <v>73</v>
      </c>
      <c r="M26" s="8"/>
      <c r="N26" s="8"/>
      <c r="O26" s="15" t="s">
        <v>78</v>
      </c>
      <c r="P26" s="8"/>
      <c r="Q26" s="8"/>
      <c r="R26" s="8"/>
      <c r="S26" s="8" t="str">
        <f>"745,0"</f>
        <v>745,0</v>
      </c>
      <c r="T26" s="8" t="str">
        <f>"412,1340"</f>
        <v>412,1340</v>
      </c>
      <c r="U26" s="7" t="s">
        <v>331</v>
      </c>
    </row>
    <row r="27" spans="1:21">
      <c r="B27" s="5" t="s">
        <v>29</v>
      </c>
    </row>
    <row r="28" spans="1:21">
      <c r="B28" s="5" t="s">
        <v>29</v>
      </c>
    </row>
  </sheetData>
  <mergeCells count="19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  <mergeCell ref="A25:R25"/>
    <mergeCell ref="A5:R5"/>
    <mergeCell ref="A8:R8"/>
    <mergeCell ref="A11:R11"/>
    <mergeCell ref="A15:R15"/>
    <mergeCell ref="A21:R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83203125" style="5" customWidth="1"/>
    <col min="7" max="9" width="5.5" style="6" customWidth="1"/>
    <col min="10" max="10" width="4.83203125" style="6" customWidth="1"/>
    <col min="11" max="12" width="5.5" style="6" customWidth="1"/>
    <col min="13" max="13" width="4.6640625" style="6" customWidth="1"/>
    <col min="14" max="14" width="4.83203125" style="6" customWidth="1"/>
    <col min="15" max="16" width="5.5" style="6" customWidth="1"/>
    <col min="17" max="17" width="5.164062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1640625" style="5" customWidth="1"/>
    <col min="22" max="16384" width="9.1640625" style="3"/>
  </cols>
  <sheetData>
    <row r="1" spans="1:21" s="2" customFormat="1" ht="29" customHeight="1">
      <c r="A1" s="53" t="s">
        <v>916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6</v>
      </c>
      <c r="H3" s="65"/>
      <c r="I3" s="65"/>
      <c r="J3" s="65"/>
      <c r="K3" s="65" t="s">
        <v>7</v>
      </c>
      <c r="L3" s="65"/>
      <c r="M3" s="65"/>
      <c r="N3" s="65"/>
      <c r="O3" s="65" t="s">
        <v>8</v>
      </c>
      <c r="P3" s="65"/>
      <c r="Q3" s="65"/>
      <c r="R3" s="65"/>
      <c r="S3" s="65" t="s">
        <v>1</v>
      </c>
      <c r="T3" s="65" t="s">
        <v>3</v>
      </c>
      <c r="U3" s="66" t="s">
        <v>2</v>
      </c>
    </row>
    <row r="4" spans="1:21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4"/>
      <c r="T4" s="64"/>
      <c r="U4" s="67"/>
    </row>
    <row r="5" spans="1:21" ht="16">
      <c r="A5" s="48" t="s">
        <v>9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1">
      <c r="A6" s="8" t="s">
        <v>28</v>
      </c>
      <c r="B6" s="7" t="s">
        <v>10</v>
      </c>
      <c r="C6" s="7" t="s">
        <v>839</v>
      </c>
      <c r="D6" s="7" t="s">
        <v>11</v>
      </c>
      <c r="E6" s="7" t="s">
        <v>1047</v>
      </c>
      <c r="F6" s="7" t="s">
        <v>980</v>
      </c>
      <c r="G6" s="14" t="s">
        <v>12</v>
      </c>
      <c r="H6" s="15" t="s">
        <v>13</v>
      </c>
      <c r="I6" s="14" t="s">
        <v>14</v>
      </c>
      <c r="J6" s="8"/>
      <c r="K6" s="15" t="s">
        <v>15</v>
      </c>
      <c r="L6" s="15" t="s">
        <v>16</v>
      </c>
      <c r="M6" s="8"/>
      <c r="N6" s="8"/>
      <c r="O6" s="15" t="s">
        <v>17</v>
      </c>
      <c r="P6" s="15" t="s">
        <v>18</v>
      </c>
      <c r="Q6" s="8"/>
      <c r="R6" s="8"/>
      <c r="S6" s="8" t="str">
        <f>"645,0"</f>
        <v>645,0</v>
      </c>
      <c r="T6" s="8" t="str">
        <f>"462,8272"</f>
        <v>462,8272</v>
      </c>
      <c r="U6" s="7"/>
    </row>
    <row r="7" spans="1:21">
      <c r="B7" s="5" t="s">
        <v>29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/>
  <dimension ref="A1:Q24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3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1.83203125" style="5" customWidth="1"/>
    <col min="7" max="9" width="5.5" style="6" customWidth="1"/>
    <col min="10" max="10" width="4.83203125" style="6" customWidth="1"/>
    <col min="11" max="14" width="5.5" style="6" customWidth="1"/>
    <col min="15" max="15" width="7.83203125" style="6" bestFit="1" customWidth="1"/>
    <col min="16" max="16" width="8.5" style="6" bestFit="1" customWidth="1"/>
    <col min="17" max="17" width="20.5" style="5" bestFit="1" customWidth="1"/>
    <col min="18" max="16384" width="9.1640625" style="3"/>
  </cols>
  <sheetData>
    <row r="1" spans="1:17" s="2" customFormat="1" ht="29" customHeight="1">
      <c r="A1" s="53" t="s">
        <v>917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5" t="s">
        <v>8</v>
      </c>
      <c r="L3" s="65"/>
      <c r="M3" s="65"/>
      <c r="N3" s="65"/>
      <c r="O3" s="65" t="s">
        <v>1</v>
      </c>
      <c r="P3" s="65" t="s">
        <v>3</v>
      </c>
      <c r="Q3" s="66" t="s">
        <v>2</v>
      </c>
    </row>
    <row r="4" spans="1:17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4"/>
      <c r="P4" s="64"/>
      <c r="Q4" s="67"/>
    </row>
    <row r="5" spans="1:17" ht="16">
      <c r="A5" s="48" t="s">
        <v>30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8" t="s">
        <v>28</v>
      </c>
      <c r="B6" s="7" t="s">
        <v>692</v>
      </c>
      <c r="C6" s="7" t="s">
        <v>840</v>
      </c>
      <c r="D6" s="7" t="s">
        <v>693</v>
      </c>
      <c r="E6" s="7" t="s">
        <v>1044</v>
      </c>
      <c r="F6" s="7" t="s">
        <v>969</v>
      </c>
      <c r="G6" s="15" t="s">
        <v>171</v>
      </c>
      <c r="H6" s="15" t="s">
        <v>160</v>
      </c>
      <c r="I6" s="14" t="s">
        <v>49</v>
      </c>
      <c r="J6" s="8"/>
      <c r="K6" s="14" t="s">
        <v>39</v>
      </c>
      <c r="L6" s="15" t="s">
        <v>39</v>
      </c>
      <c r="M6" s="15" t="s">
        <v>164</v>
      </c>
      <c r="N6" s="14" t="s">
        <v>50</v>
      </c>
      <c r="O6" s="8" t="str">
        <f>"170,0"</f>
        <v>170,0</v>
      </c>
      <c r="P6" s="8" t="str">
        <f>"175,5760"</f>
        <v>175,5760</v>
      </c>
      <c r="Q6" s="7" t="s">
        <v>88</v>
      </c>
    </row>
    <row r="7" spans="1:17">
      <c r="B7" s="5" t="s">
        <v>29</v>
      </c>
    </row>
    <row r="8" spans="1:17" ht="16">
      <c r="A8" s="52" t="s">
        <v>200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7">
      <c r="A9" s="17" t="s">
        <v>28</v>
      </c>
      <c r="B9" s="16" t="s">
        <v>475</v>
      </c>
      <c r="C9" s="16" t="s">
        <v>476</v>
      </c>
      <c r="D9" s="16" t="s">
        <v>477</v>
      </c>
      <c r="E9" s="16" t="s">
        <v>1042</v>
      </c>
      <c r="F9" s="16" t="s">
        <v>981</v>
      </c>
      <c r="G9" s="22" t="s">
        <v>47</v>
      </c>
      <c r="H9" s="23" t="s">
        <v>48</v>
      </c>
      <c r="I9" s="22" t="s">
        <v>48</v>
      </c>
      <c r="J9" s="17"/>
      <c r="K9" s="22" t="s">
        <v>138</v>
      </c>
      <c r="L9" s="22" t="s">
        <v>382</v>
      </c>
      <c r="M9" s="22" t="s">
        <v>74</v>
      </c>
      <c r="N9" s="17"/>
      <c r="O9" s="17" t="str">
        <f>"305,0"</f>
        <v>305,0</v>
      </c>
      <c r="P9" s="17" t="str">
        <f>"222,4365"</f>
        <v>222,4365</v>
      </c>
      <c r="Q9" s="16"/>
    </row>
    <row r="10" spans="1:17">
      <c r="A10" s="21" t="s">
        <v>152</v>
      </c>
      <c r="B10" s="20" t="s">
        <v>694</v>
      </c>
      <c r="C10" s="20" t="s">
        <v>695</v>
      </c>
      <c r="D10" s="20" t="s">
        <v>696</v>
      </c>
      <c r="E10" s="20" t="s">
        <v>1042</v>
      </c>
      <c r="F10" s="20" t="s">
        <v>947</v>
      </c>
      <c r="G10" s="27" t="s">
        <v>194</v>
      </c>
      <c r="H10" s="27" t="s">
        <v>164</v>
      </c>
      <c r="I10" s="26" t="s">
        <v>50</v>
      </c>
      <c r="J10" s="21"/>
      <c r="K10" s="27" t="s">
        <v>204</v>
      </c>
      <c r="L10" s="27" t="s">
        <v>47</v>
      </c>
      <c r="M10" s="26" t="s">
        <v>48</v>
      </c>
      <c r="N10" s="21"/>
      <c r="O10" s="21" t="str">
        <f>"210,0"</f>
        <v>210,0</v>
      </c>
      <c r="P10" s="21" t="str">
        <f>"155,8620"</f>
        <v>155,8620</v>
      </c>
      <c r="Q10" s="20" t="s">
        <v>528</v>
      </c>
    </row>
    <row r="11" spans="1:17">
      <c r="B11" s="5" t="s">
        <v>29</v>
      </c>
    </row>
    <row r="12" spans="1:17" ht="16">
      <c r="A12" s="52" t="s">
        <v>51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7">
      <c r="A13" s="8" t="s">
        <v>28</v>
      </c>
      <c r="B13" s="7" t="s">
        <v>343</v>
      </c>
      <c r="C13" s="7" t="s">
        <v>344</v>
      </c>
      <c r="D13" s="7" t="s">
        <v>345</v>
      </c>
      <c r="E13" s="7" t="s">
        <v>1042</v>
      </c>
      <c r="F13" s="7" t="s">
        <v>972</v>
      </c>
      <c r="G13" s="15" t="s">
        <v>50</v>
      </c>
      <c r="H13" s="15" t="s">
        <v>46</v>
      </c>
      <c r="I13" s="15" t="s">
        <v>47</v>
      </c>
      <c r="J13" s="8"/>
      <c r="K13" s="15" t="s">
        <v>81</v>
      </c>
      <c r="L13" s="15" t="s">
        <v>64</v>
      </c>
      <c r="M13" s="15" t="s">
        <v>66</v>
      </c>
      <c r="N13" s="8"/>
      <c r="O13" s="8" t="str">
        <f>"340,0"</f>
        <v>340,0</v>
      </c>
      <c r="P13" s="8" t="str">
        <f>"229,2960"</f>
        <v>229,2960</v>
      </c>
      <c r="Q13" s="7" t="s">
        <v>643</v>
      </c>
    </row>
    <row r="14" spans="1:17">
      <c r="B14" s="5" t="s">
        <v>29</v>
      </c>
    </row>
    <row r="15" spans="1:17" ht="16">
      <c r="A15" s="52" t="s">
        <v>42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7">
      <c r="A16" s="17" t="s">
        <v>28</v>
      </c>
      <c r="B16" s="16" t="s">
        <v>237</v>
      </c>
      <c r="C16" s="16" t="s">
        <v>238</v>
      </c>
      <c r="D16" s="16" t="s">
        <v>91</v>
      </c>
      <c r="E16" s="16" t="s">
        <v>1042</v>
      </c>
      <c r="F16" s="16" t="s">
        <v>952</v>
      </c>
      <c r="G16" s="22" t="s">
        <v>56</v>
      </c>
      <c r="H16" s="22" t="s">
        <v>15</v>
      </c>
      <c r="I16" s="22" t="s">
        <v>137</v>
      </c>
      <c r="J16" s="17"/>
      <c r="K16" s="22" t="s">
        <v>14</v>
      </c>
      <c r="L16" s="22" t="s">
        <v>58</v>
      </c>
      <c r="M16" s="23" t="s">
        <v>111</v>
      </c>
      <c r="N16" s="17"/>
      <c r="O16" s="17" t="str">
        <f>"422,5"</f>
        <v>422,5</v>
      </c>
      <c r="P16" s="17" t="str">
        <f>"271,4140"</f>
        <v>271,4140</v>
      </c>
      <c r="Q16" s="16"/>
    </row>
    <row r="17" spans="1:17">
      <c r="A17" s="21" t="s">
        <v>28</v>
      </c>
      <c r="B17" s="20" t="s">
        <v>251</v>
      </c>
      <c r="C17" s="20" t="s">
        <v>832</v>
      </c>
      <c r="D17" s="20" t="s">
        <v>252</v>
      </c>
      <c r="E17" s="20" t="s">
        <v>1045</v>
      </c>
      <c r="F17" s="20" t="s">
        <v>955</v>
      </c>
      <c r="G17" s="27" t="s">
        <v>34</v>
      </c>
      <c r="H17" s="27" t="s">
        <v>55</v>
      </c>
      <c r="I17" s="26" t="s">
        <v>214</v>
      </c>
      <c r="J17" s="21"/>
      <c r="K17" s="27" t="s">
        <v>73</v>
      </c>
      <c r="L17" s="27" t="s">
        <v>80</v>
      </c>
      <c r="M17" s="27" t="s">
        <v>253</v>
      </c>
      <c r="N17" s="21"/>
      <c r="O17" s="21" t="str">
        <f>"335,0"</f>
        <v>335,0</v>
      </c>
      <c r="P17" s="21" t="str">
        <f>"225,6173"</f>
        <v>225,6173</v>
      </c>
      <c r="Q17" s="20"/>
    </row>
    <row r="18" spans="1:17">
      <c r="B18" s="5" t="s">
        <v>29</v>
      </c>
    </row>
    <row r="19" spans="1:17" ht="16">
      <c r="A19" s="52" t="s">
        <v>97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7">
      <c r="A20" s="8" t="s">
        <v>28</v>
      </c>
      <c r="B20" s="7" t="s">
        <v>661</v>
      </c>
      <c r="C20" s="7" t="s">
        <v>662</v>
      </c>
      <c r="D20" s="7" t="s">
        <v>663</v>
      </c>
      <c r="E20" s="7" t="s">
        <v>1042</v>
      </c>
      <c r="F20" s="7" t="s">
        <v>982</v>
      </c>
      <c r="G20" s="15" t="s">
        <v>36</v>
      </c>
      <c r="H20" s="15" t="s">
        <v>40</v>
      </c>
      <c r="I20" s="14" t="s">
        <v>15</v>
      </c>
      <c r="J20" s="8"/>
      <c r="K20" s="15" t="s">
        <v>65</v>
      </c>
      <c r="L20" s="15" t="s">
        <v>17</v>
      </c>
      <c r="M20" s="15" t="s">
        <v>13</v>
      </c>
      <c r="N20" s="8"/>
      <c r="O20" s="8" t="str">
        <f>"385,0"</f>
        <v>385,0</v>
      </c>
      <c r="P20" s="8" t="str">
        <f>"240,5095"</f>
        <v>240,5095</v>
      </c>
      <c r="Q20" s="7" t="s">
        <v>664</v>
      </c>
    </row>
    <row r="21" spans="1:17">
      <c r="B21" s="5" t="s">
        <v>29</v>
      </c>
    </row>
    <row r="22" spans="1:17" ht="16">
      <c r="A22" s="52" t="s">
        <v>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7">
      <c r="A23" s="8" t="s">
        <v>28</v>
      </c>
      <c r="B23" s="7" t="s">
        <v>670</v>
      </c>
      <c r="C23" s="7" t="s">
        <v>671</v>
      </c>
      <c r="D23" s="7" t="s">
        <v>672</v>
      </c>
      <c r="E23" s="7" t="s">
        <v>1042</v>
      </c>
      <c r="F23" s="7" t="s">
        <v>983</v>
      </c>
      <c r="G23" s="15" t="s">
        <v>120</v>
      </c>
      <c r="H23" s="15" t="s">
        <v>138</v>
      </c>
      <c r="I23" s="14" t="s">
        <v>73</v>
      </c>
      <c r="J23" s="8"/>
      <c r="K23" s="15" t="s">
        <v>14</v>
      </c>
      <c r="L23" s="15" t="s">
        <v>673</v>
      </c>
      <c r="M23" s="15" t="s">
        <v>58</v>
      </c>
      <c r="N23" s="8"/>
      <c r="O23" s="8" t="str">
        <f>"445,0"</f>
        <v>445,0</v>
      </c>
      <c r="P23" s="8" t="str">
        <f>"263,2620"</f>
        <v>263,2620</v>
      </c>
      <c r="Q23" s="7" t="s">
        <v>905</v>
      </c>
    </row>
    <row r="24" spans="1:17">
      <c r="B24" s="5" t="s">
        <v>29</v>
      </c>
    </row>
  </sheetData>
  <mergeCells count="18"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  <mergeCell ref="A22:N22"/>
    <mergeCell ref="A5:N5"/>
    <mergeCell ref="A8:N8"/>
    <mergeCell ref="A12:N12"/>
    <mergeCell ref="A15:N15"/>
    <mergeCell ref="A19:N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/>
  <dimension ref="A1:Q1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31" bestFit="1" customWidth="1"/>
    <col min="16" max="16" width="8.5" style="6" bestFit="1" customWidth="1"/>
    <col min="17" max="17" width="19.33203125" style="5" customWidth="1"/>
    <col min="18" max="16384" width="9.1640625" style="3"/>
  </cols>
  <sheetData>
    <row r="1" spans="1:17" s="2" customFormat="1" ht="29" customHeight="1">
      <c r="A1" s="53" t="s">
        <v>918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5" t="s">
        <v>8</v>
      </c>
      <c r="L3" s="65"/>
      <c r="M3" s="65"/>
      <c r="N3" s="65"/>
      <c r="O3" s="68" t="s">
        <v>1</v>
      </c>
      <c r="P3" s="65" t="s">
        <v>3</v>
      </c>
      <c r="Q3" s="66" t="s">
        <v>2</v>
      </c>
    </row>
    <row r="4" spans="1:17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9"/>
      <c r="P4" s="64"/>
      <c r="Q4" s="67"/>
    </row>
    <row r="5" spans="1:17" ht="16">
      <c r="A5" s="48" t="s">
        <v>97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17" t="s">
        <v>28</v>
      </c>
      <c r="B6" s="16" t="s">
        <v>686</v>
      </c>
      <c r="C6" s="16" t="s">
        <v>687</v>
      </c>
      <c r="D6" s="16" t="s">
        <v>100</v>
      </c>
      <c r="E6" s="16" t="s">
        <v>1042</v>
      </c>
      <c r="F6" s="16" t="s">
        <v>984</v>
      </c>
      <c r="G6" s="22" t="s">
        <v>92</v>
      </c>
      <c r="H6" s="22" t="s">
        <v>224</v>
      </c>
      <c r="I6" s="22" t="s">
        <v>300</v>
      </c>
      <c r="J6" s="17"/>
      <c r="K6" s="22" t="s">
        <v>14</v>
      </c>
      <c r="L6" s="23" t="s">
        <v>688</v>
      </c>
      <c r="M6" s="17"/>
      <c r="N6" s="17"/>
      <c r="O6" s="33" t="str">
        <f>"422,5"</f>
        <v>422,5</v>
      </c>
      <c r="P6" s="17" t="str">
        <f>"257,1335"</f>
        <v>257,1335</v>
      </c>
      <c r="Q6" s="16" t="s">
        <v>465</v>
      </c>
    </row>
    <row r="7" spans="1:17">
      <c r="A7" s="21" t="s">
        <v>28</v>
      </c>
      <c r="B7" s="20" t="s">
        <v>686</v>
      </c>
      <c r="C7" s="20" t="s">
        <v>841</v>
      </c>
      <c r="D7" s="20" t="s">
        <v>100</v>
      </c>
      <c r="E7" s="20" t="s">
        <v>1045</v>
      </c>
      <c r="F7" s="20" t="s">
        <v>984</v>
      </c>
      <c r="G7" s="27" t="s">
        <v>92</v>
      </c>
      <c r="H7" s="27" t="s">
        <v>224</v>
      </c>
      <c r="I7" s="27" t="s">
        <v>300</v>
      </c>
      <c r="J7" s="21"/>
      <c r="K7" s="27" t="s">
        <v>14</v>
      </c>
      <c r="L7" s="26" t="s">
        <v>688</v>
      </c>
      <c r="M7" s="21"/>
      <c r="N7" s="21"/>
      <c r="O7" s="35" t="str">
        <f>"422,5"</f>
        <v>422,5</v>
      </c>
      <c r="P7" s="21" t="str">
        <f>"264,3332"</f>
        <v>264,3332</v>
      </c>
      <c r="Q7" s="20" t="s">
        <v>465</v>
      </c>
    </row>
    <row r="8" spans="1:17">
      <c r="B8" s="5" t="s">
        <v>29</v>
      </c>
    </row>
    <row r="9" spans="1:17" ht="16">
      <c r="A9" s="52" t="s">
        <v>354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7">
      <c r="A10" s="8" t="s">
        <v>151</v>
      </c>
      <c r="B10" s="7" t="s">
        <v>689</v>
      </c>
      <c r="C10" s="7" t="s">
        <v>690</v>
      </c>
      <c r="D10" s="7" t="s">
        <v>691</v>
      </c>
      <c r="E10" s="7" t="s">
        <v>1042</v>
      </c>
      <c r="F10" s="7" t="s">
        <v>969</v>
      </c>
      <c r="G10" s="15" t="s">
        <v>12</v>
      </c>
      <c r="H10" s="15" t="s">
        <v>18</v>
      </c>
      <c r="I10" s="15" t="s">
        <v>68</v>
      </c>
      <c r="J10" s="8"/>
      <c r="K10" s="14" t="s">
        <v>585</v>
      </c>
      <c r="L10" s="8"/>
      <c r="M10" s="8"/>
      <c r="N10" s="8"/>
      <c r="O10" s="32">
        <v>0</v>
      </c>
      <c r="P10" s="8" t="str">
        <f>"0,0000"</f>
        <v>0,0000</v>
      </c>
      <c r="Q10" s="7" t="s">
        <v>41</v>
      </c>
    </row>
    <row r="11" spans="1:17">
      <c r="B11" s="5" t="s">
        <v>29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3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2.83203125" style="5" customWidth="1"/>
    <col min="18" max="16384" width="9.1640625" style="3"/>
  </cols>
  <sheetData>
    <row r="1" spans="1:17" s="2" customFormat="1" ht="29" customHeight="1">
      <c r="A1" s="53" t="s">
        <v>919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7</v>
      </c>
      <c r="H3" s="65"/>
      <c r="I3" s="65"/>
      <c r="J3" s="65"/>
      <c r="K3" s="65" t="s">
        <v>8</v>
      </c>
      <c r="L3" s="65"/>
      <c r="M3" s="65"/>
      <c r="N3" s="65"/>
      <c r="O3" s="65" t="s">
        <v>1</v>
      </c>
      <c r="P3" s="65" t="s">
        <v>3</v>
      </c>
      <c r="Q3" s="66" t="s">
        <v>2</v>
      </c>
    </row>
    <row r="4" spans="1:17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4"/>
      <c r="P4" s="64"/>
      <c r="Q4" s="67"/>
    </row>
    <row r="5" spans="1:17" ht="16">
      <c r="A5" s="48" t="s">
        <v>200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8" t="s">
        <v>28</v>
      </c>
      <c r="B6" s="7" t="s">
        <v>679</v>
      </c>
      <c r="C6" s="7" t="s">
        <v>303</v>
      </c>
      <c r="D6" s="7" t="s">
        <v>680</v>
      </c>
      <c r="E6" s="7" t="s">
        <v>1042</v>
      </c>
      <c r="F6" s="7" t="s">
        <v>985</v>
      </c>
      <c r="G6" s="14" t="s">
        <v>35</v>
      </c>
      <c r="H6" s="15" t="s">
        <v>35</v>
      </c>
      <c r="I6" s="14" t="s">
        <v>56</v>
      </c>
      <c r="J6" s="8"/>
      <c r="K6" s="15" t="s">
        <v>80</v>
      </c>
      <c r="L6" s="15" t="s">
        <v>82</v>
      </c>
      <c r="M6" s="14" t="s">
        <v>65</v>
      </c>
      <c r="N6" s="8"/>
      <c r="O6" s="8" t="str">
        <f>"335,0"</f>
        <v>335,0</v>
      </c>
      <c r="P6" s="8" t="str">
        <f>"246,2920"</f>
        <v>246,2920</v>
      </c>
      <c r="Q6" s="7" t="s">
        <v>389</v>
      </c>
    </row>
    <row r="7" spans="1:17">
      <c r="B7" s="5" t="s">
        <v>29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53" t="s">
        <v>920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2" customFormat="1" ht="62" customHeight="1" thickBot="1">
      <c r="A2" s="57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s="1" customFormat="1" ht="12.75" customHeight="1">
      <c r="A3" s="61" t="s">
        <v>944</v>
      </c>
      <c r="B3" s="50" t="s">
        <v>0</v>
      </c>
      <c r="C3" s="63" t="s">
        <v>1040</v>
      </c>
      <c r="D3" s="63" t="s">
        <v>5</v>
      </c>
      <c r="E3" s="65" t="s">
        <v>1041</v>
      </c>
      <c r="F3" s="65" t="s">
        <v>904</v>
      </c>
      <c r="G3" s="65" t="s">
        <v>6</v>
      </c>
      <c r="H3" s="65"/>
      <c r="I3" s="65"/>
      <c r="J3" s="65"/>
      <c r="K3" s="65" t="s">
        <v>425</v>
      </c>
      <c r="L3" s="65" t="s">
        <v>3</v>
      </c>
      <c r="M3" s="66" t="s">
        <v>2</v>
      </c>
    </row>
    <row r="4" spans="1:13" s="1" customFormat="1" ht="21" customHeight="1" thickBot="1">
      <c r="A4" s="62"/>
      <c r="B4" s="51"/>
      <c r="C4" s="64"/>
      <c r="D4" s="64"/>
      <c r="E4" s="64"/>
      <c r="F4" s="64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7"/>
    </row>
    <row r="5" spans="1:13" ht="16">
      <c r="A5" s="48" t="s">
        <v>209</v>
      </c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8" t="s">
        <v>28</v>
      </c>
      <c r="B6" s="7" t="s">
        <v>210</v>
      </c>
      <c r="C6" s="7" t="s">
        <v>211</v>
      </c>
      <c r="D6" s="7" t="s">
        <v>212</v>
      </c>
      <c r="E6" s="7" t="s">
        <v>1042</v>
      </c>
      <c r="F6" s="7" t="s">
        <v>947</v>
      </c>
      <c r="G6" s="14" t="s">
        <v>213</v>
      </c>
      <c r="H6" s="14" t="s">
        <v>213</v>
      </c>
      <c r="I6" s="15" t="s">
        <v>213</v>
      </c>
      <c r="J6" s="8"/>
      <c r="K6" s="8" t="str">
        <f>"122,5"</f>
        <v>122,5</v>
      </c>
      <c r="L6" s="8" t="str">
        <f>"100,8787"</f>
        <v>100,8787</v>
      </c>
      <c r="M6" s="7" t="s">
        <v>208</v>
      </c>
    </row>
    <row r="7" spans="1:13">
      <c r="B7" s="5" t="s">
        <v>29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PL Raw DT</vt:lpstr>
      <vt:lpstr>PL Raw</vt:lpstr>
      <vt:lpstr>PL Wraps DT</vt:lpstr>
      <vt:lpstr>PL Wraps</vt:lpstr>
      <vt:lpstr>PL SP</vt:lpstr>
      <vt:lpstr>PP Raw DT</vt:lpstr>
      <vt:lpstr>PP Raw</vt:lpstr>
      <vt:lpstr>PP Eq</vt:lpstr>
      <vt:lpstr>SQ Raw DT</vt:lpstr>
      <vt:lpstr>SQ Raw</vt:lpstr>
      <vt:lpstr>SQ Wraps DT</vt:lpstr>
      <vt:lpstr>SQ Wraps</vt:lpstr>
      <vt:lpstr>BP Raw DT</vt:lpstr>
      <vt:lpstr>BP Raw</vt:lpstr>
      <vt:lpstr>BP SP DT</vt:lpstr>
      <vt:lpstr>BP SP</vt:lpstr>
      <vt:lpstr>BP MP DT</vt:lpstr>
      <vt:lpstr>BP MP</vt:lpstr>
      <vt:lpstr>BP Soft SP DT</vt:lpstr>
      <vt:lpstr>BP Soft SP</vt:lpstr>
      <vt:lpstr>BP Soft MP DT</vt:lpstr>
      <vt:lpstr>BP Soft MP</vt:lpstr>
      <vt:lpstr>DL Raw DT</vt:lpstr>
      <vt:lpstr>DL Raw</vt:lpstr>
      <vt:lpstr>DL SP</vt:lpstr>
      <vt:lpstr>Powersport DT</vt:lpstr>
      <vt:lpstr>Powersport</vt:lpstr>
      <vt:lpstr>BP Army</vt:lpstr>
      <vt:lpstr>Biceps curl DT</vt:lpstr>
      <vt:lpstr>Biceps curl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2020-11-25T17:13:59Z</dcterms:modified>
</cp:coreProperties>
</file>