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Игорь\Google Диск\PowerLifting\1. WPF\Protocols\"/>
    </mc:Choice>
  </mc:AlternateContent>
  <bookViews>
    <workbookView xWindow="0" yWindow="0" windowWidth="30720" windowHeight="11835" tabRatio="819"/>
  </bookViews>
  <sheets>
    <sheet name="WPF PRO ПЛ в 1-сл. эк." sheetId="7" r:id="rId1"/>
    <sheet name="WPF PRO ПЛ классик." sheetId="5" r:id="rId2"/>
    <sheet name="WPF PRO ПЛ безэк." sheetId="6" r:id="rId3"/>
    <sheet name="WPF PRO Жим в мн сл. эк." sheetId="15" r:id="rId4"/>
    <sheet name="WPF PRO Жим в 1-сл. эк." sheetId="14" r:id="rId5"/>
    <sheet name="WPF PRO Жим безэк." sheetId="13" r:id="rId6"/>
    <sheet name="WPF PRO Тяга в 1-сл. эк." sheetId="20" r:id="rId7"/>
    <sheet name="WPF PRO Тяга безэк." sheetId="19" r:id="rId8"/>
    <sheet name="WPF PRO МПЖ 1 вес" sheetId="25" r:id="rId9"/>
    <sheet name="WPF AM ПЛ в 1-сл. эк." sheetId="12" r:id="rId10"/>
    <sheet name="WPF AM ПЛ классик." sheetId="10" r:id="rId11"/>
    <sheet name="WPF AM ПЛ безэк." sheetId="11" r:id="rId12"/>
    <sheet name="WPF AM Жим в мн сл. эк." sheetId="16" r:id="rId13"/>
    <sheet name="WPF AM Жим в 1-сл. эк." sheetId="18" r:id="rId14"/>
    <sheet name="WPF AM Жим безэк." sheetId="17" r:id="rId15"/>
    <sheet name="WPF AM Тяга в 1-сл. эк." sheetId="24" r:id="rId16"/>
    <sheet name="WPF AM Тяга безэк." sheetId="23" r:id="rId17"/>
    <sheet name="WPF AM МПЖ 1 вес" sheetId="27" r:id="rId18"/>
    <sheet name="WPF AM МПЖ 1_2 вес" sheetId="28" r:id="rId19"/>
  </sheets>
  <definedNames>
    <definedName name="_FilterDatabase" localSheetId="1" hidden="1">'WPF PRO ПЛ классик.'!$A$1:$S$3</definedName>
  </definedNames>
  <calcPr calcId="152511" refMode="R1C1"/>
</workbook>
</file>

<file path=xl/calcChain.xml><?xml version="1.0" encoding="utf-8"?>
<calcChain xmlns="http://schemas.openxmlformats.org/spreadsheetml/2006/main">
  <c r="J41" i="28" l="1"/>
  <c r="I41" i="28"/>
  <c r="D41" i="28"/>
  <c r="J38" i="28"/>
  <c r="I38" i="28"/>
  <c r="D38" i="28"/>
  <c r="J35" i="28"/>
  <c r="I35" i="28"/>
  <c r="D35" i="28"/>
  <c r="J34" i="28"/>
  <c r="I34" i="28"/>
  <c r="D34" i="28"/>
  <c r="J31" i="28"/>
  <c r="I31" i="28"/>
  <c r="D31" i="28"/>
  <c r="J28" i="28"/>
  <c r="I28" i="28"/>
  <c r="D28" i="28"/>
  <c r="J25" i="28"/>
  <c r="I25" i="28"/>
  <c r="D25" i="28"/>
  <c r="J24" i="28"/>
  <c r="I24" i="28"/>
  <c r="D24" i="28"/>
  <c r="J21" i="28"/>
  <c r="I21" i="28"/>
  <c r="D21" i="28"/>
  <c r="J18" i="28"/>
  <c r="I18" i="28"/>
  <c r="D18" i="28"/>
  <c r="J17" i="28"/>
  <c r="I17" i="28"/>
  <c r="D17" i="28"/>
  <c r="J14" i="28"/>
  <c r="I14" i="28"/>
  <c r="D14" i="28"/>
  <c r="J13" i="28"/>
  <c r="I13" i="28"/>
  <c r="D13" i="28"/>
  <c r="J10" i="28"/>
  <c r="I10" i="28"/>
  <c r="D10" i="28"/>
  <c r="J9" i="28"/>
  <c r="I9" i="28"/>
  <c r="D9" i="28"/>
  <c r="J6" i="28"/>
  <c r="I6" i="28"/>
  <c r="D6" i="28"/>
  <c r="J56" i="27"/>
  <c r="I56" i="27"/>
  <c r="D56" i="27"/>
  <c r="J55" i="27"/>
  <c r="I55" i="27"/>
  <c r="D55" i="27"/>
  <c r="J52" i="27"/>
  <c r="I52" i="27"/>
  <c r="D52" i="27"/>
  <c r="J49" i="27"/>
  <c r="I49" i="27"/>
  <c r="D49" i="27"/>
  <c r="J46" i="27"/>
  <c r="I46" i="27"/>
  <c r="D46" i="27"/>
  <c r="J45" i="27"/>
  <c r="I45" i="27"/>
  <c r="D45" i="27"/>
  <c r="J42" i="27"/>
  <c r="I42" i="27"/>
  <c r="D42" i="27"/>
  <c r="J41" i="27"/>
  <c r="I41" i="27"/>
  <c r="D41" i="27"/>
  <c r="J40" i="27"/>
  <c r="I40" i="27"/>
  <c r="D40" i="27"/>
  <c r="J39" i="27"/>
  <c r="I39" i="27"/>
  <c r="D39" i="27"/>
  <c r="J38" i="27"/>
  <c r="I38" i="27"/>
  <c r="D38" i="27"/>
  <c r="J37" i="27"/>
  <c r="I37" i="27"/>
  <c r="D37" i="27"/>
  <c r="J36" i="27"/>
  <c r="I36" i="27"/>
  <c r="D36" i="27"/>
  <c r="J35" i="27"/>
  <c r="I35" i="27"/>
  <c r="D35" i="27"/>
  <c r="J34" i="27"/>
  <c r="I34" i="27"/>
  <c r="D34" i="27"/>
  <c r="J31" i="27"/>
  <c r="I31" i="27"/>
  <c r="D31" i="27"/>
  <c r="J30" i="27"/>
  <c r="I30" i="27"/>
  <c r="D30" i="27"/>
  <c r="J29" i="27"/>
  <c r="I29" i="27"/>
  <c r="D29" i="27"/>
  <c r="J28" i="27"/>
  <c r="I28" i="27"/>
  <c r="D28" i="27"/>
  <c r="J27" i="27"/>
  <c r="I27" i="27"/>
  <c r="D27" i="27"/>
  <c r="J24" i="27"/>
  <c r="I24" i="27"/>
  <c r="D24" i="27"/>
  <c r="J23" i="27"/>
  <c r="I23" i="27"/>
  <c r="D23" i="27"/>
  <c r="J22" i="27"/>
  <c r="I22" i="27"/>
  <c r="D22" i="27"/>
  <c r="J21" i="27"/>
  <c r="I21" i="27"/>
  <c r="D21" i="27"/>
  <c r="J20" i="27"/>
  <c r="I20" i="27"/>
  <c r="D20" i="27"/>
  <c r="J19" i="27"/>
  <c r="I19" i="27"/>
  <c r="D19" i="27"/>
  <c r="J16" i="27"/>
  <c r="I16" i="27"/>
  <c r="D16" i="27"/>
  <c r="J15" i="27"/>
  <c r="I15" i="27"/>
  <c r="D15" i="27"/>
  <c r="J14" i="27"/>
  <c r="I14" i="27"/>
  <c r="D14" i="27"/>
  <c r="J13" i="27"/>
  <c r="I13" i="27"/>
  <c r="D13" i="27"/>
  <c r="J10" i="27"/>
  <c r="I10" i="27"/>
  <c r="D10" i="27"/>
  <c r="J9" i="27"/>
  <c r="I9" i="27"/>
  <c r="D9" i="27"/>
  <c r="J6" i="27"/>
  <c r="I6" i="27"/>
  <c r="D6" i="27"/>
  <c r="J29" i="25"/>
  <c r="I29" i="25"/>
  <c r="D29" i="25"/>
  <c r="J26" i="25"/>
  <c r="I26" i="25"/>
  <c r="D26" i="25"/>
  <c r="J25" i="25"/>
  <c r="I25" i="25"/>
  <c r="D25" i="25"/>
  <c r="J24" i="25"/>
  <c r="I24" i="25"/>
  <c r="D24" i="25"/>
  <c r="J21" i="25"/>
  <c r="I21" i="25"/>
  <c r="D21" i="25"/>
  <c r="J20" i="25"/>
  <c r="I20" i="25"/>
  <c r="D20" i="25"/>
  <c r="J17" i="25"/>
  <c r="I17" i="25"/>
  <c r="D17" i="25"/>
  <c r="J16" i="25"/>
  <c r="I16" i="25"/>
  <c r="D16" i="25"/>
  <c r="J15" i="25"/>
  <c r="I15" i="25"/>
  <c r="D15" i="25"/>
  <c r="J14" i="25"/>
  <c r="I14" i="25"/>
  <c r="D14" i="25"/>
  <c r="J13" i="25"/>
  <c r="I13" i="25"/>
  <c r="D13" i="25"/>
  <c r="J10" i="25"/>
  <c r="I10" i="25"/>
  <c r="D10" i="25"/>
  <c r="J9" i="25"/>
  <c r="I9" i="25"/>
  <c r="D9" i="25"/>
  <c r="J6" i="25"/>
  <c r="I6" i="25"/>
  <c r="D6" i="25"/>
  <c r="L6" i="24"/>
  <c r="K6" i="24"/>
  <c r="D6" i="24"/>
  <c r="L67" i="23"/>
  <c r="K67" i="23"/>
  <c r="D67" i="23"/>
  <c r="L64" i="23"/>
  <c r="K64" i="23"/>
  <c r="D64" i="23"/>
  <c r="L63" i="23"/>
  <c r="K63" i="23"/>
  <c r="D63" i="23"/>
  <c r="L60" i="23"/>
  <c r="K60" i="23"/>
  <c r="D60" i="23"/>
  <c r="L59" i="23"/>
  <c r="K59" i="23"/>
  <c r="D59" i="23"/>
  <c r="L56" i="23"/>
  <c r="K56" i="23"/>
  <c r="D56" i="23"/>
  <c r="L55" i="23"/>
  <c r="K55" i="23"/>
  <c r="D55" i="23"/>
  <c r="L54" i="23"/>
  <c r="K54" i="23"/>
  <c r="D54" i="23"/>
  <c r="L53" i="23"/>
  <c r="K53" i="23"/>
  <c r="D53" i="23"/>
  <c r="L52" i="23"/>
  <c r="K52" i="23"/>
  <c r="D52" i="23"/>
  <c r="L51" i="23"/>
  <c r="K51" i="23"/>
  <c r="D51" i="23"/>
  <c r="L50" i="23"/>
  <c r="K50" i="23"/>
  <c r="D50" i="23"/>
  <c r="L49" i="23"/>
  <c r="K49" i="23"/>
  <c r="D49" i="23"/>
  <c r="L48" i="23"/>
  <c r="K48" i="23"/>
  <c r="D48" i="23"/>
  <c r="L45" i="23"/>
  <c r="K45" i="23"/>
  <c r="D45" i="23"/>
  <c r="L44" i="23"/>
  <c r="K44" i="23"/>
  <c r="D44" i="23"/>
  <c r="L43" i="23"/>
  <c r="K43" i="23"/>
  <c r="D43" i="23"/>
  <c r="L42" i="23"/>
  <c r="K42" i="23"/>
  <c r="D42" i="23"/>
  <c r="L39" i="23"/>
  <c r="K39" i="23"/>
  <c r="D39" i="23"/>
  <c r="L38" i="23"/>
  <c r="K38" i="23"/>
  <c r="D38" i="23"/>
  <c r="L37" i="23"/>
  <c r="K37" i="23"/>
  <c r="D37" i="23"/>
  <c r="L36" i="23"/>
  <c r="K36" i="23"/>
  <c r="D36" i="23"/>
  <c r="L33" i="23"/>
  <c r="K33" i="23"/>
  <c r="D33" i="23"/>
  <c r="L32" i="23"/>
  <c r="K32" i="23"/>
  <c r="D32" i="23"/>
  <c r="L31" i="23"/>
  <c r="K31" i="23"/>
  <c r="D31" i="23"/>
  <c r="L30" i="23"/>
  <c r="K30" i="23"/>
  <c r="D30" i="23"/>
  <c r="L27" i="23"/>
  <c r="K27" i="23"/>
  <c r="D27" i="23"/>
  <c r="L26" i="23"/>
  <c r="K26" i="23"/>
  <c r="D26" i="23"/>
  <c r="L25" i="23"/>
  <c r="K25" i="23"/>
  <c r="D25" i="23"/>
  <c r="L22" i="23"/>
  <c r="K22" i="23"/>
  <c r="D22" i="23"/>
  <c r="L21" i="23"/>
  <c r="K21" i="23"/>
  <c r="D21" i="23"/>
  <c r="L18" i="23"/>
  <c r="K18" i="23"/>
  <c r="D18" i="23"/>
  <c r="L15" i="23"/>
  <c r="K15" i="23"/>
  <c r="D15" i="23"/>
  <c r="L14" i="23"/>
  <c r="K14" i="23"/>
  <c r="D14" i="23"/>
  <c r="L11" i="23"/>
  <c r="K11" i="23"/>
  <c r="D11" i="23"/>
  <c r="L10" i="23"/>
  <c r="K10" i="23"/>
  <c r="D10" i="23"/>
  <c r="L9" i="23"/>
  <c r="K9" i="23"/>
  <c r="D9" i="23"/>
  <c r="L6" i="23"/>
  <c r="K6" i="23"/>
  <c r="D6" i="23"/>
  <c r="L7" i="20"/>
  <c r="K7" i="20"/>
  <c r="D7" i="20"/>
  <c r="L6" i="20"/>
  <c r="K6" i="20"/>
  <c r="D6" i="20"/>
  <c r="L28" i="19"/>
  <c r="K28" i="19"/>
  <c r="D28" i="19"/>
  <c r="L27" i="19"/>
  <c r="K27" i="19"/>
  <c r="D27" i="19"/>
  <c r="L26" i="19"/>
  <c r="K26" i="19"/>
  <c r="D26" i="19"/>
  <c r="L23" i="19"/>
  <c r="K23" i="19"/>
  <c r="D23" i="19"/>
  <c r="L22" i="19"/>
  <c r="K22" i="19"/>
  <c r="D22" i="19"/>
  <c r="L21" i="19"/>
  <c r="K21" i="19"/>
  <c r="D21" i="19"/>
  <c r="L20" i="19"/>
  <c r="K20" i="19"/>
  <c r="D20" i="19"/>
  <c r="L19" i="19"/>
  <c r="K19" i="19"/>
  <c r="D19" i="19"/>
  <c r="L18" i="19"/>
  <c r="K18" i="19"/>
  <c r="D18" i="19"/>
  <c r="L15" i="19"/>
  <c r="K15" i="19"/>
  <c r="D15" i="19"/>
  <c r="L12" i="19"/>
  <c r="K12" i="19"/>
  <c r="D12" i="19"/>
  <c r="L11" i="19"/>
  <c r="K11" i="19"/>
  <c r="D11" i="19"/>
  <c r="L10" i="19"/>
  <c r="K10" i="19"/>
  <c r="D10" i="19"/>
  <c r="L9" i="19"/>
  <c r="K9" i="19"/>
  <c r="D9" i="19"/>
  <c r="L6" i="19"/>
  <c r="K6" i="19"/>
  <c r="D6" i="19"/>
  <c r="L16" i="18"/>
  <c r="K16" i="18"/>
  <c r="D16" i="18"/>
  <c r="L15" i="18"/>
  <c r="K15" i="18"/>
  <c r="D15" i="18"/>
  <c r="L12" i="18"/>
  <c r="K12" i="18"/>
  <c r="D12" i="18"/>
  <c r="L9" i="18"/>
  <c r="K9" i="18"/>
  <c r="D9" i="18"/>
  <c r="L6" i="18"/>
  <c r="K6" i="18"/>
  <c r="D6" i="18"/>
  <c r="L121" i="17"/>
  <c r="K121" i="17"/>
  <c r="D121" i="17"/>
  <c r="L118" i="17"/>
  <c r="K118" i="17"/>
  <c r="D118" i="17"/>
  <c r="L117" i="17"/>
  <c r="K117" i="17"/>
  <c r="D117" i="17"/>
  <c r="L116" i="17"/>
  <c r="K116" i="17"/>
  <c r="D116" i="17"/>
  <c r="L113" i="17"/>
  <c r="K113" i="17"/>
  <c r="D113" i="17"/>
  <c r="L112" i="17"/>
  <c r="K112" i="17"/>
  <c r="D112" i="17"/>
  <c r="L111" i="17"/>
  <c r="K111" i="17"/>
  <c r="D111" i="17"/>
  <c r="L110" i="17"/>
  <c r="K110" i="17"/>
  <c r="D110" i="17"/>
  <c r="L109" i="17"/>
  <c r="K109" i="17"/>
  <c r="D109" i="17"/>
  <c r="L108" i="17"/>
  <c r="K108" i="17"/>
  <c r="D108" i="17"/>
  <c r="L107" i="17"/>
  <c r="K107" i="17"/>
  <c r="D107" i="17"/>
  <c r="L106" i="17"/>
  <c r="K106" i="17"/>
  <c r="D106" i="17"/>
  <c r="L105" i="17"/>
  <c r="K105" i="17"/>
  <c r="D105" i="17"/>
  <c r="L104" i="17"/>
  <c r="K104" i="17"/>
  <c r="D104" i="17"/>
  <c r="L103" i="17"/>
  <c r="K103" i="17"/>
  <c r="D103" i="17"/>
  <c r="L102" i="17"/>
  <c r="K102" i="17"/>
  <c r="D102" i="17"/>
  <c r="L99" i="17"/>
  <c r="K99" i="17"/>
  <c r="D99" i="17"/>
  <c r="L98" i="17"/>
  <c r="K98" i="17"/>
  <c r="D98" i="17"/>
  <c r="L97" i="17"/>
  <c r="K97" i="17"/>
  <c r="D97" i="17"/>
  <c r="L96" i="17"/>
  <c r="K96" i="17"/>
  <c r="D96" i="17"/>
  <c r="L95" i="17"/>
  <c r="K95" i="17"/>
  <c r="D95" i="17"/>
  <c r="L94" i="17"/>
  <c r="K94" i="17"/>
  <c r="D94" i="17"/>
  <c r="L93" i="17"/>
  <c r="K93" i="17"/>
  <c r="D93" i="17"/>
  <c r="L92" i="17"/>
  <c r="K92" i="17"/>
  <c r="D92" i="17"/>
  <c r="L91" i="17"/>
  <c r="K91" i="17"/>
  <c r="D91" i="17"/>
  <c r="L90" i="17"/>
  <c r="K90" i="17"/>
  <c r="D90" i="17"/>
  <c r="L89" i="17"/>
  <c r="K89" i="17"/>
  <c r="D89" i="17"/>
  <c r="L88" i="17"/>
  <c r="K88" i="17"/>
  <c r="D88" i="17"/>
  <c r="L87" i="17"/>
  <c r="K87" i="17"/>
  <c r="D87" i="17"/>
  <c r="L86" i="17"/>
  <c r="K86" i="17"/>
  <c r="D86" i="17"/>
  <c r="L85" i="17"/>
  <c r="K85" i="17"/>
  <c r="D85" i="17"/>
  <c r="L82" i="17"/>
  <c r="K82" i="17"/>
  <c r="D82" i="17"/>
  <c r="L81" i="17"/>
  <c r="K81" i="17"/>
  <c r="D81" i="17"/>
  <c r="L80" i="17"/>
  <c r="K80" i="17"/>
  <c r="D80" i="17"/>
  <c r="L79" i="17"/>
  <c r="K79" i="17"/>
  <c r="D79" i="17"/>
  <c r="L78" i="17"/>
  <c r="K78" i="17"/>
  <c r="D78" i="17"/>
  <c r="L77" i="17"/>
  <c r="K77" i="17"/>
  <c r="D77" i="17"/>
  <c r="L76" i="17"/>
  <c r="K76" i="17"/>
  <c r="D76" i="17"/>
  <c r="L75" i="17"/>
  <c r="K75" i="17"/>
  <c r="D75" i="17"/>
  <c r="L74" i="17"/>
  <c r="K74" i="17"/>
  <c r="D74" i="17"/>
  <c r="L73" i="17"/>
  <c r="K73" i="17"/>
  <c r="D73" i="17"/>
  <c r="L70" i="17"/>
  <c r="K70" i="17"/>
  <c r="D70" i="17"/>
  <c r="L69" i="17"/>
  <c r="K69" i="17"/>
  <c r="D69" i="17"/>
  <c r="L68" i="17"/>
  <c r="K68" i="17"/>
  <c r="D68" i="17"/>
  <c r="L67" i="17"/>
  <c r="K67" i="17"/>
  <c r="D67" i="17"/>
  <c r="L66" i="17"/>
  <c r="K66" i="17"/>
  <c r="D66" i="17"/>
  <c r="L65" i="17"/>
  <c r="K65" i="17"/>
  <c r="D65" i="17"/>
  <c r="L64" i="17"/>
  <c r="K64" i="17"/>
  <c r="D64" i="17"/>
  <c r="L63" i="17"/>
  <c r="K63" i="17"/>
  <c r="D63" i="17"/>
  <c r="L62" i="17"/>
  <c r="K62" i="17"/>
  <c r="D62" i="17"/>
  <c r="L61" i="17"/>
  <c r="K61" i="17"/>
  <c r="D61" i="17"/>
  <c r="L60" i="17"/>
  <c r="K60" i="17"/>
  <c r="D60" i="17"/>
  <c r="L59" i="17"/>
  <c r="K59" i="17"/>
  <c r="D59" i="17"/>
  <c r="L56" i="17"/>
  <c r="K56" i="17"/>
  <c r="D56" i="17"/>
  <c r="L55" i="17"/>
  <c r="K55" i="17"/>
  <c r="D55" i="17"/>
  <c r="L54" i="17"/>
  <c r="K54" i="17"/>
  <c r="D54" i="17"/>
  <c r="L53" i="17"/>
  <c r="K53" i="17"/>
  <c r="D53" i="17"/>
  <c r="L52" i="17"/>
  <c r="K52" i="17"/>
  <c r="D52" i="17"/>
  <c r="L51" i="17"/>
  <c r="K51" i="17"/>
  <c r="D51" i="17"/>
  <c r="L50" i="17"/>
  <c r="K50" i="17"/>
  <c r="D50" i="17"/>
  <c r="L49" i="17"/>
  <c r="K49" i="17"/>
  <c r="D49" i="17"/>
  <c r="L46" i="17"/>
  <c r="K46" i="17"/>
  <c r="D46" i="17"/>
  <c r="L45" i="17"/>
  <c r="K45" i="17"/>
  <c r="D45" i="17"/>
  <c r="L44" i="17"/>
  <c r="K44" i="17"/>
  <c r="D44" i="17"/>
  <c r="L43" i="17"/>
  <c r="K43" i="17"/>
  <c r="D43" i="17"/>
  <c r="L40" i="17"/>
  <c r="K40" i="17"/>
  <c r="D40" i="17"/>
  <c r="L39" i="17"/>
  <c r="K39" i="17"/>
  <c r="D39" i="17"/>
  <c r="L38" i="17"/>
  <c r="K38" i="17"/>
  <c r="D38" i="17"/>
  <c r="L37" i="17"/>
  <c r="K37" i="17"/>
  <c r="D37" i="17"/>
  <c r="L34" i="17"/>
  <c r="K34" i="17"/>
  <c r="D34" i="17"/>
  <c r="L31" i="17"/>
  <c r="K31" i="17"/>
  <c r="D31" i="17"/>
  <c r="L30" i="17"/>
  <c r="K30" i="17"/>
  <c r="D30" i="17"/>
  <c r="L27" i="17"/>
  <c r="K27" i="17"/>
  <c r="D27" i="17"/>
  <c r="L26" i="17"/>
  <c r="K26" i="17"/>
  <c r="D26" i="17"/>
  <c r="L23" i="17"/>
  <c r="K23" i="17"/>
  <c r="D23" i="17"/>
  <c r="L22" i="17"/>
  <c r="K22" i="17"/>
  <c r="D22" i="17"/>
  <c r="L21" i="17"/>
  <c r="K21" i="17"/>
  <c r="D21" i="17"/>
  <c r="L18" i="17"/>
  <c r="K18" i="17"/>
  <c r="D18" i="17"/>
  <c r="L17" i="17"/>
  <c r="K17" i="17"/>
  <c r="D17" i="17"/>
  <c r="L14" i="17"/>
  <c r="K14" i="17"/>
  <c r="D14" i="17"/>
  <c r="L13" i="17"/>
  <c r="K13" i="17"/>
  <c r="D13" i="17"/>
  <c r="L12" i="17"/>
  <c r="K12" i="17"/>
  <c r="D12" i="17"/>
  <c r="L11" i="17"/>
  <c r="K11" i="17"/>
  <c r="D11" i="17"/>
  <c r="L10" i="17"/>
  <c r="K10" i="17"/>
  <c r="D10" i="17"/>
  <c r="L7" i="17"/>
  <c r="K7" i="17"/>
  <c r="D7" i="17"/>
  <c r="L6" i="17"/>
  <c r="K6" i="17"/>
  <c r="D6" i="17"/>
  <c r="L6" i="16"/>
  <c r="K6" i="16"/>
  <c r="D6" i="16"/>
  <c r="L6" i="15"/>
  <c r="K6" i="15"/>
  <c r="D6" i="15"/>
  <c r="L23" i="14"/>
  <c r="K23" i="14"/>
  <c r="D23" i="14"/>
  <c r="L20" i="14"/>
  <c r="K20" i="14"/>
  <c r="D20" i="14"/>
  <c r="L19" i="14"/>
  <c r="K19" i="14"/>
  <c r="D19" i="14"/>
  <c r="L18" i="14"/>
  <c r="K18" i="14"/>
  <c r="D18" i="14"/>
  <c r="L17" i="14"/>
  <c r="K17" i="14"/>
  <c r="D17" i="14"/>
  <c r="L16" i="14"/>
  <c r="K16" i="14"/>
  <c r="D16" i="14"/>
  <c r="L13" i="14"/>
  <c r="K13" i="14"/>
  <c r="D13" i="14"/>
  <c r="L12" i="14"/>
  <c r="K12" i="14"/>
  <c r="D12" i="14"/>
  <c r="L9" i="14"/>
  <c r="K9" i="14"/>
  <c r="D9" i="14"/>
  <c r="L6" i="14"/>
  <c r="K6" i="14"/>
  <c r="D6" i="14"/>
  <c r="L53" i="13"/>
  <c r="K53" i="13"/>
  <c r="D53" i="13"/>
  <c r="L50" i="13"/>
  <c r="K50" i="13"/>
  <c r="D50" i="13"/>
  <c r="L49" i="13"/>
  <c r="K49" i="13"/>
  <c r="D49" i="13"/>
  <c r="L48" i="13"/>
  <c r="K48" i="13"/>
  <c r="D48" i="13"/>
  <c r="L47" i="13"/>
  <c r="K47" i="13"/>
  <c r="D47" i="13"/>
  <c r="L46" i="13"/>
  <c r="K46" i="13"/>
  <c r="D46" i="13"/>
  <c r="L43" i="13"/>
  <c r="K43" i="13"/>
  <c r="D43" i="13"/>
  <c r="L42" i="13"/>
  <c r="K42" i="13"/>
  <c r="D42" i="13"/>
  <c r="L41" i="13"/>
  <c r="K41" i="13"/>
  <c r="D41" i="13"/>
  <c r="L40" i="13"/>
  <c r="K40" i="13"/>
  <c r="D40" i="13"/>
  <c r="L39" i="13"/>
  <c r="K39" i="13"/>
  <c r="D39" i="13"/>
  <c r="L38" i="13"/>
  <c r="K38" i="13"/>
  <c r="D38" i="13"/>
  <c r="L35" i="13"/>
  <c r="K35" i="13"/>
  <c r="D35" i="13"/>
  <c r="L34" i="13"/>
  <c r="K34" i="13"/>
  <c r="D34" i="13"/>
  <c r="L33" i="13"/>
  <c r="K33" i="13"/>
  <c r="D33" i="13"/>
  <c r="L32" i="13"/>
  <c r="K32" i="13"/>
  <c r="D32" i="13"/>
  <c r="L31" i="13"/>
  <c r="K31" i="13"/>
  <c r="D31" i="13"/>
  <c r="L30" i="13"/>
  <c r="K30" i="13"/>
  <c r="D30" i="13"/>
  <c r="L29" i="13"/>
  <c r="K29" i="13"/>
  <c r="D29" i="13"/>
  <c r="L26" i="13"/>
  <c r="K26" i="13"/>
  <c r="D26" i="13"/>
  <c r="L25" i="13"/>
  <c r="K25" i="13"/>
  <c r="D25" i="13"/>
  <c r="L24" i="13"/>
  <c r="K24" i="13"/>
  <c r="D24" i="13"/>
  <c r="L23" i="13"/>
  <c r="K23" i="13"/>
  <c r="D23" i="13"/>
  <c r="L22" i="13"/>
  <c r="K22" i="13"/>
  <c r="D22" i="13"/>
  <c r="L21" i="13"/>
  <c r="K21" i="13"/>
  <c r="D21" i="13"/>
  <c r="L20" i="13"/>
  <c r="K20" i="13"/>
  <c r="D20" i="13"/>
  <c r="L17" i="13"/>
  <c r="K17" i="13"/>
  <c r="D17" i="13"/>
  <c r="L16" i="13"/>
  <c r="K16" i="13"/>
  <c r="D16" i="13"/>
  <c r="L15" i="13"/>
  <c r="K15" i="13"/>
  <c r="D15" i="13"/>
  <c r="L14" i="13"/>
  <c r="K14" i="13"/>
  <c r="D14" i="13"/>
  <c r="L13" i="13"/>
  <c r="K13" i="13"/>
  <c r="D13" i="13"/>
  <c r="L10" i="13"/>
  <c r="K10" i="13"/>
  <c r="D10" i="13"/>
  <c r="L9" i="13"/>
  <c r="K9" i="13"/>
  <c r="D9" i="13"/>
  <c r="L6" i="13"/>
  <c r="K6" i="13"/>
  <c r="D6" i="13"/>
  <c r="T6" i="12"/>
  <c r="S6" i="12"/>
  <c r="D6" i="12"/>
  <c r="T37" i="11"/>
  <c r="S37" i="11"/>
  <c r="D37" i="11"/>
  <c r="T34" i="11"/>
  <c r="S34" i="11"/>
  <c r="D34" i="11"/>
  <c r="T33" i="11"/>
  <c r="S33" i="11"/>
  <c r="D33" i="11"/>
  <c r="T30" i="11"/>
  <c r="S30" i="11"/>
  <c r="D30" i="11"/>
  <c r="T27" i="11"/>
  <c r="S27" i="11"/>
  <c r="D27" i="11"/>
  <c r="T24" i="11"/>
  <c r="S24" i="11"/>
  <c r="D24" i="11"/>
  <c r="T23" i="11"/>
  <c r="S23" i="11"/>
  <c r="D23" i="11"/>
  <c r="T22" i="11"/>
  <c r="S22" i="11"/>
  <c r="D22" i="11"/>
  <c r="T19" i="11"/>
  <c r="S19" i="11"/>
  <c r="D19" i="11"/>
  <c r="T16" i="11"/>
  <c r="S16" i="11"/>
  <c r="D16" i="11"/>
  <c r="T15" i="11"/>
  <c r="S15" i="11"/>
  <c r="D15" i="11"/>
  <c r="T12" i="11"/>
  <c r="S12" i="11"/>
  <c r="D12" i="11"/>
  <c r="T9" i="11"/>
  <c r="S9" i="11"/>
  <c r="D9" i="11"/>
  <c r="T6" i="11"/>
  <c r="S6" i="11"/>
  <c r="D6" i="11"/>
  <c r="T25" i="10"/>
  <c r="S25" i="10"/>
  <c r="D25" i="10"/>
  <c r="T22" i="10"/>
  <c r="S22" i="10"/>
  <c r="D22" i="10"/>
  <c r="T21" i="10"/>
  <c r="S21" i="10"/>
  <c r="D21" i="10"/>
  <c r="T18" i="10"/>
  <c r="S18" i="10"/>
  <c r="D18" i="10"/>
  <c r="T17" i="10"/>
  <c r="S17" i="10"/>
  <c r="D17" i="10"/>
  <c r="T16" i="10"/>
  <c r="S16" i="10"/>
  <c r="D16" i="10"/>
  <c r="T13" i="10"/>
  <c r="S13" i="10"/>
  <c r="D13" i="10"/>
  <c r="T12" i="10"/>
  <c r="S12" i="10"/>
  <c r="D12" i="10"/>
  <c r="T9" i="10"/>
  <c r="S9" i="10"/>
  <c r="D9" i="10"/>
  <c r="T6" i="10"/>
  <c r="S6" i="10"/>
  <c r="D6" i="10"/>
  <c r="T6" i="7"/>
  <c r="S6" i="7"/>
  <c r="D6" i="7"/>
  <c r="T14" i="6"/>
  <c r="S14" i="6"/>
  <c r="D14" i="6"/>
  <c r="T13" i="6"/>
  <c r="S13" i="6"/>
  <c r="D13" i="6"/>
  <c r="T10" i="6"/>
  <c r="S10" i="6"/>
  <c r="D10" i="6"/>
  <c r="T7" i="6"/>
  <c r="S7" i="6"/>
  <c r="D7" i="6"/>
  <c r="T6" i="6"/>
  <c r="S6" i="6"/>
  <c r="D6" i="6"/>
  <c r="T18" i="5"/>
  <c r="S18" i="5"/>
  <c r="D18" i="5"/>
  <c r="T17" i="5"/>
  <c r="S17" i="5"/>
  <c r="D17" i="5"/>
  <c r="T14" i="5"/>
  <c r="S14" i="5"/>
  <c r="D14" i="5"/>
  <c r="T13" i="5"/>
  <c r="S13" i="5"/>
  <c r="D13" i="5"/>
  <c r="T12" i="5"/>
  <c r="S12" i="5"/>
  <c r="D12" i="5"/>
  <c r="T9" i="5"/>
  <c r="S9" i="5"/>
  <c r="D9" i="5"/>
  <c r="T6" i="5"/>
  <c r="S6" i="5"/>
  <c r="D6" i="5"/>
</calcChain>
</file>

<file path=xl/sharedStrings.xml><?xml version="1.0" encoding="utf-8"?>
<sst xmlns="http://schemas.openxmlformats.org/spreadsheetml/2006/main" count="5014" uniqueCount="1745">
  <si>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</si>
  <si>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</si>
  <si>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</si>
  <si>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</si>
  <si>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</si>
  <si>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</si>
  <si>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</si>
  <si>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</si>
  <si>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</si>
  <si>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</si>
  <si>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</si>
  <si>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Wilks</t>
  </si>
  <si>
    <t>Приседание</t>
  </si>
  <si>
    <t>Жим лёжа</t>
  </si>
  <si>
    <t>Становая тяга</t>
  </si>
  <si>
    <t>ВЕСОВАЯ КАТЕГОРИЯ   67.5</t>
  </si>
  <si>
    <t>Макунина Маргарита</t>
  </si>
  <si>
    <t>1. Макунина Маргарита</t>
  </si>
  <si>
    <t>Ветераны 50 - 54 (07.03.1969)/51</t>
  </si>
  <si>
    <t>66,50</t>
  </si>
  <si>
    <t xml:space="preserve">Лично </t>
  </si>
  <si>
    <t xml:space="preserve">Озёры/Московская область </t>
  </si>
  <si>
    <t>140,0</t>
  </si>
  <si>
    <t>150,0</t>
  </si>
  <si>
    <t>160,0</t>
  </si>
  <si>
    <t>80,0</t>
  </si>
  <si>
    <t>90,0</t>
  </si>
  <si>
    <t>100,0</t>
  </si>
  <si>
    <t xml:space="preserve">. </t>
  </si>
  <si>
    <t>ВЕСОВАЯ КАТЕГОРИЯ   75</t>
  </si>
  <si>
    <t>-. Ягунов Алексей</t>
  </si>
  <si>
    <t>Открытая (19.07.1968)/52</t>
  </si>
  <si>
    <t>74,90</t>
  </si>
  <si>
    <t xml:space="preserve">Москва/ </t>
  </si>
  <si>
    <t>170,0</t>
  </si>
  <si>
    <t>182,5</t>
  </si>
  <si>
    <t>110,0</t>
  </si>
  <si>
    <t>115,0</t>
  </si>
  <si>
    <t>120,0</t>
  </si>
  <si>
    <t>200,0</t>
  </si>
  <si>
    <t xml:space="preserve">Алышев Н.В. </t>
  </si>
  <si>
    <t>ВЕСОВАЯ КАТЕГОРИЯ   82.5</t>
  </si>
  <si>
    <t>Лазарев Артем</t>
  </si>
  <si>
    <t>1. Лазарев Артем</t>
  </si>
  <si>
    <t>Юниоры 20 - 23 (09.12.1997)/22</t>
  </si>
  <si>
    <t>80,90</t>
  </si>
  <si>
    <t xml:space="preserve">Дзержинский/Московская область </t>
  </si>
  <si>
    <t>235,0</t>
  </si>
  <si>
    <t>240,0</t>
  </si>
  <si>
    <t>250,0</t>
  </si>
  <si>
    <t>165,0</t>
  </si>
  <si>
    <t>245,0</t>
  </si>
  <si>
    <t>255,0</t>
  </si>
  <si>
    <t xml:space="preserve">Лазарев А.И </t>
  </si>
  <si>
    <t>Фомин Владимир</t>
  </si>
  <si>
    <t>1. Фомин Владимир</t>
  </si>
  <si>
    <t>Открытая (01.06.1989)/31</t>
  </si>
  <si>
    <t>81,20</t>
  </si>
  <si>
    <t xml:space="preserve">Одинцово/Московская область </t>
  </si>
  <si>
    <t>265,0</t>
  </si>
  <si>
    <t>167,5</t>
  </si>
  <si>
    <t>180,0</t>
  </si>
  <si>
    <t>260,0</t>
  </si>
  <si>
    <t xml:space="preserve">Шпак Ю.В. </t>
  </si>
  <si>
    <t>2. Лазарев Артем</t>
  </si>
  <si>
    <t>Открытая (09.12.1997)/22</t>
  </si>
  <si>
    <t>ВЕСОВАЯ КАТЕГОРИЯ   110</t>
  </si>
  <si>
    <t>Апальков Андрей</t>
  </si>
  <si>
    <t>1. Апальков Андрей</t>
  </si>
  <si>
    <t>Открытая (21.06.1979)/41</t>
  </si>
  <si>
    <t>108,40</t>
  </si>
  <si>
    <t>270,0</t>
  </si>
  <si>
    <t>290,0</t>
  </si>
  <si>
    <t>217,5</t>
  </si>
  <si>
    <t>225,0</t>
  </si>
  <si>
    <t>230,0</t>
  </si>
  <si>
    <t>280,0</t>
  </si>
  <si>
    <t>300,0</t>
  </si>
  <si>
    <t>307,5</t>
  </si>
  <si>
    <t>Ветераны 40 - 44 (21.06.1979)/41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</si>
  <si>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</si>
  <si>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</si>
  <si>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</si>
  <si>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</si>
  <si>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</si>
  <si>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</si>
  <si>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</si>
  <si>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Ветераны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</si>
  <si>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</si>
  <si>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</si>
  <si>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</si>
  <si>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</si>
  <si>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</si>
  <si>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 xml:space="preserve">Ветераны 50 - 54 </t>
  </si>
  <si>
    <t>67.5</t>
  </si>
  <si>
    <t>410,0</t>
  </si>
  <si>
    <t>485,1776</t>
  </si>
  <si>
    <t xml:space="preserve">Мужчины </t>
  </si>
  <si>
    <t xml:space="preserve">Юниоры </t>
  </si>
  <si>
    <t xml:space="preserve">Юниоры 20 - 23 </t>
  </si>
  <si>
    <t>82.5</t>
  </si>
  <si>
    <t>670,0</t>
  </si>
  <si>
    <t>454,1930</t>
  </si>
  <si>
    <t xml:space="preserve">Открытая </t>
  </si>
  <si>
    <t>110</t>
  </si>
  <si>
    <t>820,0</t>
  </si>
  <si>
    <t>484,7840</t>
  </si>
  <si>
    <t>692,5</t>
  </si>
  <si>
    <t>468,4070</t>
  </si>
  <si>
    <t xml:space="preserve">Ветераны 40 - 44 </t>
  </si>
  <si>
    <t>489,6318</t>
  </si>
  <si>
    <t>Симонов Василий</t>
  </si>
  <si>
    <t>1. Симонов Василий</t>
  </si>
  <si>
    <t>Юноши 15-19 (07.04.2008)/12</t>
  </si>
  <si>
    <t>75,50</t>
  </si>
  <si>
    <t>55,0</t>
  </si>
  <si>
    <t>65,0</t>
  </si>
  <si>
    <t>75,0</t>
  </si>
  <si>
    <t>37,5</t>
  </si>
  <si>
    <t>40,0</t>
  </si>
  <si>
    <t>45,0</t>
  </si>
  <si>
    <t xml:space="preserve">Мишенин С.В. </t>
  </si>
  <si>
    <t>Молочков Алексей</t>
  </si>
  <si>
    <t>1. Молочков Алексей</t>
  </si>
  <si>
    <t>Ветераны 55 - 59 (08.08.1962)/58</t>
  </si>
  <si>
    <t>81,90</t>
  </si>
  <si>
    <t xml:space="preserve">Russia </t>
  </si>
  <si>
    <t>190,0</t>
  </si>
  <si>
    <t>137,5</t>
  </si>
  <si>
    <t>145,0</t>
  </si>
  <si>
    <t xml:space="preserve">Антипов Д.В. </t>
  </si>
  <si>
    <t>ВЕСОВАЯ КАТЕГОРИЯ   100</t>
  </si>
  <si>
    <t>Жихарев Александр</t>
  </si>
  <si>
    <t>1. Жихарев Александр</t>
  </si>
  <si>
    <t>Открытая (14.03.1987)/33</t>
  </si>
  <si>
    <t>96,60</t>
  </si>
  <si>
    <t xml:space="preserve">Жихарев Александр Владимирович </t>
  </si>
  <si>
    <t>Дворцов Александр</t>
  </si>
  <si>
    <t>1. Дворцов Александр</t>
  </si>
  <si>
    <t>Открытая (09.07.1981)/39</t>
  </si>
  <si>
    <t>109,50</t>
  </si>
  <si>
    <t>220,0</t>
  </si>
  <si>
    <t xml:space="preserve">Дворцов А.В. </t>
  </si>
  <si>
    <t>-. Бурдаков Николай</t>
  </si>
  <si>
    <t>Открытая (24.07.1988)/32</t>
  </si>
  <si>
    <t>103,40</t>
  </si>
  <si>
    <t>320,0</t>
  </si>
  <si>
    <t xml:space="preserve"> </t>
  </si>
  <si>
    <t xml:space="preserve">Юноши </t>
  </si>
  <si>
    <t xml:space="preserve">Юноши 15-19 </t>
  </si>
  <si>
    <t>215,0</t>
  </si>
  <si>
    <t>152,4995</t>
  </si>
  <si>
    <t>100</t>
  </si>
  <si>
    <t>665,0</t>
  </si>
  <si>
    <t>410,5710</t>
  </si>
  <si>
    <t>695,0</t>
  </si>
  <si>
    <t>409,5635</t>
  </si>
  <si>
    <t xml:space="preserve">Ветераны 55 - 59 </t>
  </si>
  <si>
    <t>560,0</t>
  </si>
  <si>
    <t>486,4798</t>
  </si>
  <si>
    <t>Шабров Александр</t>
  </si>
  <si>
    <t>1. Шабров Александр</t>
  </si>
  <si>
    <t>Открытая (07.02.1991)/29</t>
  </si>
  <si>
    <t>100,00</t>
  </si>
  <si>
    <t xml:space="preserve">Дубна/Московская область </t>
  </si>
  <si>
    <t>310,0</t>
  </si>
  <si>
    <t>330,0</t>
  </si>
  <si>
    <t>350,0</t>
  </si>
  <si>
    <t>885,0</t>
  </si>
  <si>
    <t>538,6110</t>
  </si>
  <si>
    <t>Гореловская Эмилия</t>
  </si>
  <si>
    <t>1. Гореловская Эмилия</t>
  </si>
  <si>
    <t>Открытая (12.06.1991)/29</t>
  </si>
  <si>
    <t>64,10</t>
  </si>
  <si>
    <t xml:space="preserve">Щербинка/Московская область </t>
  </si>
  <si>
    <t>60,0</t>
  </si>
  <si>
    <t>70,0</t>
  </si>
  <si>
    <t>122,5</t>
  </si>
  <si>
    <t xml:space="preserve">Замп Н.Б. </t>
  </si>
  <si>
    <t>Васильева Екатерина</t>
  </si>
  <si>
    <t>1. Васильева Екатерина</t>
  </si>
  <si>
    <t>Ветераны 40 - 44 (07.09.1976)/44</t>
  </si>
  <si>
    <t>72,80</t>
  </si>
  <si>
    <t>62,5</t>
  </si>
  <si>
    <t>147,5</t>
  </si>
  <si>
    <t>Шкабара Вадим</t>
  </si>
  <si>
    <t>1. Шкабара Вадим</t>
  </si>
  <si>
    <t>Юниоры 20 - 23 (30.05.2000)/20</t>
  </si>
  <si>
    <t>80,60</t>
  </si>
  <si>
    <t xml:space="preserve">Великие Луки/Псковская область </t>
  </si>
  <si>
    <t>130,0</t>
  </si>
  <si>
    <t>185,0</t>
  </si>
  <si>
    <t xml:space="preserve">Евсеев С.М. </t>
  </si>
  <si>
    <t>Карангин Иван</t>
  </si>
  <si>
    <t>1. Карангин Иван</t>
  </si>
  <si>
    <t>Открытая (17.09.1985)/35</t>
  </si>
  <si>
    <t>77,20</t>
  </si>
  <si>
    <t>232,5</t>
  </si>
  <si>
    <t>237,5</t>
  </si>
  <si>
    <t>155,0</t>
  </si>
  <si>
    <t>210,0</t>
  </si>
  <si>
    <t>ВЕСОВАЯ КАТЕГОРИЯ   90</t>
  </si>
  <si>
    <t>Кратт Никита</t>
  </si>
  <si>
    <t>1. Кратт Никита</t>
  </si>
  <si>
    <t>Юниоры 20 - 23 (08.11.2000)/20</t>
  </si>
  <si>
    <t>89,30</t>
  </si>
  <si>
    <t xml:space="preserve">Кубинка/Московская область </t>
  </si>
  <si>
    <t>125,0</t>
  </si>
  <si>
    <t>132,5</t>
  </si>
  <si>
    <t xml:space="preserve">Лаханов И.А. </t>
  </si>
  <si>
    <t>Мельситов Дмитрий</t>
  </si>
  <si>
    <t>1. Мельситов Дмитрий</t>
  </si>
  <si>
    <t>Ветераны 40 - 44 (01.04.1978)/42</t>
  </si>
  <si>
    <t>87,80</t>
  </si>
  <si>
    <t xml:space="preserve">Москва </t>
  </si>
  <si>
    <t>202,5</t>
  </si>
  <si>
    <t>205,0</t>
  </si>
  <si>
    <t>117,5</t>
  </si>
  <si>
    <t>212,5</t>
  </si>
  <si>
    <t>-. Тарасов Виталий</t>
  </si>
  <si>
    <t>Ветераны 40 - 44 (09.06.1977)/43</t>
  </si>
  <si>
    <t>87,70</t>
  </si>
  <si>
    <t xml:space="preserve">Филиппов Игорь </t>
  </si>
  <si>
    <t>ВЕСОВАЯ КАТЕГОРИЯ   125</t>
  </si>
  <si>
    <t>Дрожжин Андрей</t>
  </si>
  <si>
    <t>1. Дрожжин Андрей</t>
  </si>
  <si>
    <t>Открытая (21.11.1977)/42</t>
  </si>
  <si>
    <t>117,20</t>
  </si>
  <si>
    <t xml:space="preserve">Хотьково/Московская область </t>
  </si>
  <si>
    <t>295,0</t>
  </si>
  <si>
    <t>275,0</t>
  </si>
  <si>
    <t xml:space="preserve">Мамичева Е. </t>
  </si>
  <si>
    <t>Ветераны 40 - 44 (21.11.1977)/42</t>
  </si>
  <si>
    <t>ВЕСОВАЯ КАТЕГОРИЯ   140+</t>
  </si>
  <si>
    <t>Кислицын Иван</t>
  </si>
  <si>
    <t>1. Кислицын Иван</t>
  </si>
  <si>
    <t>Юноши 15-19 (10.12.2003)/16</t>
  </si>
  <si>
    <t>168,80</t>
  </si>
  <si>
    <t>251,0</t>
  </si>
  <si>
    <t xml:space="preserve">Мищенко Сергей </t>
  </si>
  <si>
    <t>337,5</t>
  </si>
  <si>
    <t>357,7837</t>
  </si>
  <si>
    <t>75</t>
  </si>
  <si>
    <t>327,5</t>
  </si>
  <si>
    <t>330,9593</t>
  </si>
  <si>
    <t>140+</t>
  </si>
  <si>
    <t>597,5</t>
  </si>
  <si>
    <t>324,9205</t>
  </si>
  <si>
    <t>90</t>
  </si>
  <si>
    <t>565,0</t>
  </si>
  <si>
    <t>362,1650</t>
  </si>
  <si>
    <t>415,0</t>
  </si>
  <si>
    <t>281,9925</t>
  </si>
  <si>
    <t>125</t>
  </si>
  <si>
    <t>750,0</t>
  </si>
  <si>
    <t>433,6500</t>
  </si>
  <si>
    <t>620,0</t>
  </si>
  <si>
    <t>433,1940</t>
  </si>
  <si>
    <t>442,3230</t>
  </si>
  <si>
    <t>532,5</t>
  </si>
  <si>
    <t>351,2551</t>
  </si>
  <si>
    <t>ВЕСОВАЯ КАТЕГОРИЯ   48</t>
  </si>
  <si>
    <t>Савченко Алла</t>
  </si>
  <si>
    <t>1. Савченко Алла</t>
  </si>
  <si>
    <t>Ветераны 40 - 44 (09.08.1976)/44</t>
  </si>
  <si>
    <t>47,00</t>
  </si>
  <si>
    <t>77,5</t>
  </si>
  <si>
    <t>42,0</t>
  </si>
  <si>
    <t>47,5</t>
  </si>
  <si>
    <t>87,5</t>
  </si>
  <si>
    <t>92,5</t>
  </si>
  <si>
    <t xml:space="preserve">Самост </t>
  </si>
  <si>
    <t>ВЕСОВАЯ КАТЕГОРИЯ   56</t>
  </si>
  <si>
    <t>Панина Ирина</t>
  </si>
  <si>
    <t>1. Панина Ирина</t>
  </si>
  <si>
    <t>Открытая (04.03.1985)/35</t>
  </si>
  <si>
    <t>55,90</t>
  </si>
  <si>
    <t>95,0</t>
  </si>
  <si>
    <t>105,0</t>
  </si>
  <si>
    <t xml:space="preserve">Панина И.И. </t>
  </si>
  <si>
    <t>ВЕСОВАЯ КАТЕГОРИЯ   60</t>
  </si>
  <si>
    <t>Сидорова Ольга</t>
  </si>
  <si>
    <t>1. Сидорова Ольга</t>
  </si>
  <si>
    <t>Ветераны 50 - 54 (29.04.1966)/54</t>
  </si>
  <si>
    <t>59,20</t>
  </si>
  <si>
    <t>112,5</t>
  </si>
  <si>
    <t>57,5</t>
  </si>
  <si>
    <t>Поталета Екатерина</t>
  </si>
  <si>
    <t>1. Поталета Екатерина</t>
  </si>
  <si>
    <t>Открытая (21.01.1989)/31</t>
  </si>
  <si>
    <t>64,40</t>
  </si>
  <si>
    <t>85,0</t>
  </si>
  <si>
    <t>50,0</t>
  </si>
  <si>
    <t xml:space="preserve">Поталета Е. А. </t>
  </si>
  <si>
    <t>Гаврина Екатерина</t>
  </si>
  <si>
    <t>2. Гаврина Екатерина</t>
  </si>
  <si>
    <t>Открытая (26.10.1983)/37</t>
  </si>
  <si>
    <t>63,40</t>
  </si>
  <si>
    <t>52,5</t>
  </si>
  <si>
    <t xml:space="preserve">Гаврина Е.А. </t>
  </si>
  <si>
    <t>Пулбере Милена</t>
  </si>
  <si>
    <t>1. Пулбере Милена</t>
  </si>
  <si>
    <t>Девушки 15-19 (03.04.2005)/15</t>
  </si>
  <si>
    <t>70,60</t>
  </si>
  <si>
    <t xml:space="preserve">Балашиха/Московская область </t>
  </si>
  <si>
    <t>107,5</t>
  </si>
  <si>
    <t xml:space="preserve">Нечпал В. В. </t>
  </si>
  <si>
    <t>Воробьев Михаил</t>
  </si>
  <si>
    <t>1. Воробьев Михаил</t>
  </si>
  <si>
    <t>Открытая (21.11.1990)/29</t>
  </si>
  <si>
    <t>79,10</t>
  </si>
  <si>
    <t xml:space="preserve">Люберцы/Московская область </t>
  </si>
  <si>
    <t>262,5</t>
  </si>
  <si>
    <t>Кулик Павел</t>
  </si>
  <si>
    <t>1. Кулик Павел</t>
  </si>
  <si>
    <t>Ветераны 40 - 44 (11.04.1977)/43</t>
  </si>
  <si>
    <t>80,00</t>
  </si>
  <si>
    <t>175,0</t>
  </si>
  <si>
    <t xml:space="preserve">Кулик П.Ю </t>
  </si>
  <si>
    <t>Джелялов Эльдар</t>
  </si>
  <si>
    <t>1. Джелялов Эльдар</t>
  </si>
  <si>
    <t>Ветераны 50 - 54 (15.08.1967)/53</t>
  </si>
  <si>
    <t>172,5</t>
  </si>
  <si>
    <t xml:space="preserve">Джелялов Э.А. </t>
  </si>
  <si>
    <t>Гвоздев Алексей</t>
  </si>
  <si>
    <t>1. Гвоздев Алексей</t>
  </si>
  <si>
    <t>Ветераны 45 - 49 (27.03.1972)/48</t>
  </si>
  <si>
    <t>82,70</t>
  </si>
  <si>
    <t>195,0</t>
  </si>
  <si>
    <t>Фоменко Михаил</t>
  </si>
  <si>
    <t>1. Фоменко Михаил</t>
  </si>
  <si>
    <t>Юноши 15-19 (21.09.2005)/15</t>
  </si>
  <si>
    <t>92,20</t>
  </si>
  <si>
    <t xml:space="preserve">Фоменко МА </t>
  </si>
  <si>
    <t>Севортьян Андрей</t>
  </si>
  <si>
    <t>1. Севортьян Андрей</t>
  </si>
  <si>
    <t>Юноши 15-19 (18.03.2003)/17</t>
  </si>
  <si>
    <t>102,80</t>
  </si>
  <si>
    <t xml:space="preserve">Севортьян А.Н. </t>
  </si>
  <si>
    <t>Абрамов Максим</t>
  </si>
  <si>
    <t>1. Абрамов Максим</t>
  </si>
  <si>
    <t>Открытая (19.04.1982)/38</t>
  </si>
  <si>
    <t>104,80</t>
  </si>
  <si>
    <t xml:space="preserve">Чехов/Московская область </t>
  </si>
  <si>
    <t>277,5</t>
  </si>
  <si>
    <t xml:space="preserve">Абрамов М.С. </t>
  </si>
  <si>
    <t>Фролов Александр</t>
  </si>
  <si>
    <t>1. Фролов Александр</t>
  </si>
  <si>
    <t>Открытая (17.01.1988)/32</t>
  </si>
  <si>
    <t>121,30</t>
  </si>
  <si>
    <t xml:space="preserve">Девушки </t>
  </si>
  <si>
    <t>274,4475</t>
  </si>
  <si>
    <t>56</t>
  </si>
  <si>
    <t>326,9783</t>
  </si>
  <si>
    <t>264,1000</t>
  </si>
  <si>
    <t>261,8560</t>
  </si>
  <si>
    <t>60</t>
  </si>
  <si>
    <t>302,5</t>
  </si>
  <si>
    <t>410,3190</t>
  </si>
  <si>
    <t>48</t>
  </si>
  <si>
    <t>294,5734</t>
  </si>
  <si>
    <t>485,0</t>
  </si>
  <si>
    <t>292,0185</t>
  </si>
  <si>
    <t>257,5</t>
  </si>
  <si>
    <t>162,4310</t>
  </si>
  <si>
    <t>660,0</t>
  </si>
  <si>
    <t>453,8160</t>
  </si>
  <si>
    <t>652,5</t>
  </si>
  <si>
    <t>390,1950</t>
  </si>
  <si>
    <t>542,5</t>
  </si>
  <si>
    <t>311,1237</t>
  </si>
  <si>
    <t>492,5</t>
  </si>
  <si>
    <t>395,2971</t>
  </si>
  <si>
    <t xml:space="preserve">Ветераны 45 - 49 </t>
  </si>
  <si>
    <t>390,7396</t>
  </si>
  <si>
    <t>292,1034</t>
  </si>
  <si>
    <t>Яшин Виктор</t>
  </si>
  <si>
    <t>1. Яшин Виктор</t>
  </si>
  <si>
    <t>Открытая (29.10.1989)/31</t>
  </si>
  <si>
    <t>87,50</t>
  </si>
  <si>
    <t>157,5</t>
  </si>
  <si>
    <t>162,5</t>
  </si>
  <si>
    <t xml:space="preserve">Ушков И.Д. </t>
  </si>
  <si>
    <t>617,5</t>
  </si>
  <si>
    <t>400,0782</t>
  </si>
  <si>
    <t>Агафонов Андрей</t>
  </si>
  <si>
    <t>1. Агафонов Андрей</t>
  </si>
  <si>
    <t>Юноши 15-19 (25.08.2003)/17</t>
  </si>
  <si>
    <t>61,20</t>
  </si>
  <si>
    <t xml:space="preserve">Наро-Фоминск/Московская област </t>
  </si>
  <si>
    <t xml:space="preserve">Агафонов Е.П. </t>
  </si>
  <si>
    <t>Ионов Николай</t>
  </si>
  <si>
    <t>1. Ионов Николай</t>
  </si>
  <si>
    <t>Ветераны 70 - 74 (20.05.1949)/71</t>
  </si>
  <si>
    <t>70,10</t>
  </si>
  <si>
    <t xml:space="preserve">Хуснетдинова Т.И. </t>
  </si>
  <si>
    <t>Санников Владислав</t>
  </si>
  <si>
    <t>1. Санников Владислав</t>
  </si>
  <si>
    <t>Ветераны 75 - 79 (29.10.1938)/82</t>
  </si>
  <si>
    <t>74,50</t>
  </si>
  <si>
    <t xml:space="preserve">Королёв/Московская область </t>
  </si>
  <si>
    <t>Распопов Юрий</t>
  </si>
  <si>
    <t>1. Распопов Юрий</t>
  </si>
  <si>
    <t>Открытая (16.12.1992)/27</t>
  </si>
  <si>
    <t xml:space="preserve">Донской/Тульская область </t>
  </si>
  <si>
    <t>187,5</t>
  </si>
  <si>
    <t xml:space="preserve">Распопов Ю. С. </t>
  </si>
  <si>
    <t>Кондаков Алексей</t>
  </si>
  <si>
    <t>2. Кондаков Алексей</t>
  </si>
  <si>
    <t>Открытая (22.07.1970)/50</t>
  </si>
  <si>
    <t>81,70</t>
  </si>
  <si>
    <t>Гусев Кирилл</t>
  </si>
  <si>
    <t>3. Гусев Кирилл</t>
  </si>
  <si>
    <t>Открытая (15.11.1986)/34</t>
  </si>
  <si>
    <t>81,00</t>
  </si>
  <si>
    <t xml:space="preserve">Дмитров/Московская область </t>
  </si>
  <si>
    <t>135,0</t>
  </si>
  <si>
    <t xml:space="preserve">Гусев КС </t>
  </si>
  <si>
    <t>1. Кондаков Алексей</t>
  </si>
  <si>
    <t>Ветераны 50 - 54 (22.07.1970)/50</t>
  </si>
  <si>
    <t>Лазуткин Андрей</t>
  </si>
  <si>
    <t>1. Лазуткин Андрей</t>
  </si>
  <si>
    <t>Ветераны 55 - 59 (27.11.1962)/57</t>
  </si>
  <si>
    <t>80,70</t>
  </si>
  <si>
    <t>Волчанов Владислав</t>
  </si>
  <si>
    <t>1. Волчанов Владислав</t>
  </si>
  <si>
    <t>Открытая (31.10.1975)/45</t>
  </si>
  <si>
    <t>83,10</t>
  </si>
  <si>
    <t xml:space="preserve">Сергиев Посад/Московская область </t>
  </si>
  <si>
    <t>Петрокович Николай</t>
  </si>
  <si>
    <t>1. Петрокович Николай</t>
  </si>
  <si>
    <t>Ветераны 40 - 44 (17.08.1979)/41</t>
  </si>
  <si>
    <t>86,50</t>
  </si>
  <si>
    <t>102,5</t>
  </si>
  <si>
    <t>Ануфриев Сергей</t>
  </si>
  <si>
    <t>1. Ануфриев Сергей</t>
  </si>
  <si>
    <t>Ветераны 50 - 54 (03.10.1969)/51</t>
  </si>
  <si>
    <t>88,50</t>
  </si>
  <si>
    <t>Таушунаев Эдуард</t>
  </si>
  <si>
    <t>2. Таушунаев Эдуард</t>
  </si>
  <si>
    <t>Ветераны 50 - 54 (16.05.1966)/54</t>
  </si>
  <si>
    <t>89,60</t>
  </si>
  <si>
    <t>Базанов Сергей</t>
  </si>
  <si>
    <t>1. Базанов Сергей</t>
  </si>
  <si>
    <t>Ветераны 55 - 59 (22.06.1962)/58</t>
  </si>
  <si>
    <t>87,10</t>
  </si>
  <si>
    <t xml:space="preserve">Ржев/Тверская область </t>
  </si>
  <si>
    <t>177,5</t>
  </si>
  <si>
    <t>Костев Николай</t>
  </si>
  <si>
    <t>1. Костев Николай</t>
  </si>
  <si>
    <t>Ветераны 60 - 64 (17.12.1959)/60</t>
  </si>
  <si>
    <t>85,70</t>
  </si>
  <si>
    <t>Хуснетдинов Амир</t>
  </si>
  <si>
    <t>1. Хуснетдинов Амир</t>
  </si>
  <si>
    <t>Ветераны 70 - 74 (01.03.1948)/72</t>
  </si>
  <si>
    <t>87,30</t>
  </si>
  <si>
    <t>Ефременков Владимир</t>
  </si>
  <si>
    <t>1. Ефременков Владимир</t>
  </si>
  <si>
    <t>Юниоры 20 - 23 (26.12.1996)/23</t>
  </si>
  <si>
    <t>99,40</t>
  </si>
  <si>
    <t xml:space="preserve">Трубичкин Я.О. </t>
  </si>
  <si>
    <t>Гаврилюк Сергей</t>
  </si>
  <si>
    <t>1. Гаврилюк Сергей</t>
  </si>
  <si>
    <t>Открытая (02.09.1988)/32</t>
  </si>
  <si>
    <t>98,40</t>
  </si>
  <si>
    <t>192,5</t>
  </si>
  <si>
    <t>Новиков Игорь</t>
  </si>
  <si>
    <t>2. Новиков Игорь</t>
  </si>
  <si>
    <t>Открытая (24.08.1984)/36</t>
  </si>
  <si>
    <t>98,50</t>
  </si>
  <si>
    <t>Асеев Алексей</t>
  </si>
  <si>
    <t>3. Асеев Алексей</t>
  </si>
  <si>
    <t>Открытая (16.06.1988)/32</t>
  </si>
  <si>
    <t>98,80</t>
  </si>
  <si>
    <t>-. Кяжкин Иван</t>
  </si>
  <si>
    <t>Открытая (19.01.1994)/26</t>
  </si>
  <si>
    <t xml:space="preserve">Кяжкина О.Е. </t>
  </si>
  <si>
    <t>Петросян Артур</t>
  </si>
  <si>
    <t>1. Петросян Артур</t>
  </si>
  <si>
    <t>Ветераны 50 - 54 (23.02.1970)/50</t>
  </si>
  <si>
    <t>98,10</t>
  </si>
  <si>
    <t xml:space="preserve">Петросян А В </t>
  </si>
  <si>
    <t>Аксентьев Игорь</t>
  </si>
  <si>
    <t>1. Аксентьев Игорь</t>
  </si>
  <si>
    <t>Ветераны 55 - 59 (08.05.1965)/55</t>
  </si>
  <si>
    <t>96,40</t>
  </si>
  <si>
    <t xml:space="preserve">Сургут/Ханты-Мансийский АО </t>
  </si>
  <si>
    <t>Комиссаров Константин</t>
  </si>
  <si>
    <t>1. Комиссаров Константин</t>
  </si>
  <si>
    <t>Открытая (12.05.1985)/35</t>
  </si>
  <si>
    <t>103,60</t>
  </si>
  <si>
    <t xml:space="preserve">Ульянов А.В. </t>
  </si>
  <si>
    <t>Евтеев Алексей</t>
  </si>
  <si>
    <t>2. Евтеев Алексей</t>
  </si>
  <si>
    <t>Открытая (08.08.1994)/26</t>
  </si>
  <si>
    <t>101,60</t>
  </si>
  <si>
    <t xml:space="preserve">Беловалов Е. </t>
  </si>
  <si>
    <t>Колганов Сергей</t>
  </si>
  <si>
    <t>1. Колганов Сергей</t>
  </si>
  <si>
    <t>Ветераны 40 - 44 (20.07.1978)/42</t>
  </si>
  <si>
    <t>108,90</t>
  </si>
  <si>
    <t>222,5</t>
  </si>
  <si>
    <t xml:space="preserve">Свищев И. </t>
  </si>
  <si>
    <t>Тарбин Дмитрий</t>
  </si>
  <si>
    <t>2. Тарбин Дмитрий</t>
  </si>
  <si>
    <t>Ветераны 40 - 44 (27.09.1979)/41</t>
  </si>
  <si>
    <t xml:space="preserve">Тарбин Д.В </t>
  </si>
  <si>
    <t>Григорьев Алексей</t>
  </si>
  <si>
    <t>1. Григорьев Алексей</t>
  </si>
  <si>
    <t>Ветераны 45 - 49 (04.02.1975)/45</t>
  </si>
  <si>
    <t>107,80</t>
  </si>
  <si>
    <t xml:space="preserve">Костин Д.В. </t>
  </si>
  <si>
    <t>Тихонов Олег</t>
  </si>
  <si>
    <t>1. Тихонов Олег</t>
  </si>
  <si>
    <t>Ветераны 50 - 54 (21.08.1969)/51</t>
  </si>
  <si>
    <t>106,40</t>
  </si>
  <si>
    <t xml:space="preserve">Зеленоград/Московская область </t>
  </si>
  <si>
    <t xml:space="preserve">Тихонов О.Н. </t>
  </si>
  <si>
    <t>Мынка Эрик</t>
  </si>
  <si>
    <t>1. Мынка Эрик</t>
  </si>
  <si>
    <t>Открытая (14.07.1996)/24</t>
  </si>
  <si>
    <t>115,60</t>
  </si>
  <si>
    <t xml:space="preserve">Колохин П. </t>
  </si>
  <si>
    <t>Ненартович Дмитрий</t>
  </si>
  <si>
    <t>2. Ненартович Дмитрий</t>
  </si>
  <si>
    <t>Открытая (21.12.1987)/32</t>
  </si>
  <si>
    <t>120,50</t>
  </si>
  <si>
    <t>197,5</t>
  </si>
  <si>
    <t>207,5</t>
  </si>
  <si>
    <t>Иванов Андрей</t>
  </si>
  <si>
    <t>3. Иванов Андрей</t>
  </si>
  <si>
    <t>Открытая (22.02.1976)/44</t>
  </si>
  <si>
    <t>115,90</t>
  </si>
  <si>
    <t xml:space="preserve">Егорьевск/Московская область </t>
  </si>
  <si>
    <t xml:space="preserve">Ушков Илья </t>
  </si>
  <si>
    <t>Анатольев Кирилл</t>
  </si>
  <si>
    <t>4. Анатольев Кирилл</t>
  </si>
  <si>
    <t>Открытая (18.03.1987)/33</t>
  </si>
  <si>
    <t>114,70</t>
  </si>
  <si>
    <t>Мишта Юрий</t>
  </si>
  <si>
    <t>1. Мишта Юрий</t>
  </si>
  <si>
    <t>Ветераны 60 - 64 (24.11.1958)/61</t>
  </si>
  <si>
    <t>121,10</t>
  </si>
  <si>
    <t xml:space="preserve">Полицковая Е.В. </t>
  </si>
  <si>
    <t>ВЕСОВАЯ КАТЕГОРИЯ   140</t>
  </si>
  <si>
    <t>Аладышев Сергей</t>
  </si>
  <si>
    <t>1. Аладышев Сергей</t>
  </si>
  <si>
    <t>Ветераны 45 - 49 (08.05.1971)/49</t>
  </si>
  <si>
    <t>139,10</t>
  </si>
  <si>
    <t xml:space="preserve">Результат </t>
  </si>
  <si>
    <t>75,4020</t>
  </si>
  <si>
    <t>97,6160</t>
  </si>
  <si>
    <t>141,0940</t>
  </si>
  <si>
    <t>139,1040</t>
  </si>
  <si>
    <t>128,9250</t>
  </si>
  <si>
    <t>127,6660</t>
  </si>
  <si>
    <t>122,5200</t>
  </si>
  <si>
    <t>120,0600</t>
  </si>
  <si>
    <t>116,3160</t>
  </si>
  <si>
    <t>111,1935</t>
  </si>
  <si>
    <t>107,2815</t>
  </si>
  <si>
    <t>102,5602</t>
  </si>
  <si>
    <t>102,4430</t>
  </si>
  <si>
    <t>94,8360</t>
  </si>
  <si>
    <t>84,3175</t>
  </si>
  <si>
    <t xml:space="preserve">Ветераны 70 - 74 </t>
  </si>
  <si>
    <t>156,0253</t>
  </si>
  <si>
    <t>153,0271</t>
  </si>
  <si>
    <t xml:space="preserve">Ветераны 60 - 64 </t>
  </si>
  <si>
    <t>140,4963</t>
  </si>
  <si>
    <t>137,1430</t>
  </si>
  <si>
    <t>130,9581</t>
  </si>
  <si>
    <t>125,6487</t>
  </si>
  <si>
    <t>123,0327</t>
  </si>
  <si>
    <t>120,2887</t>
  </si>
  <si>
    <t>119,3912</t>
  </si>
  <si>
    <t xml:space="preserve">Ветераны 75 - 79 </t>
  </si>
  <si>
    <t>118,8985</t>
  </si>
  <si>
    <t>118,1869</t>
  </si>
  <si>
    <t>115,5479</t>
  </si>
  <si>
    <t>113,5575</t>
  </si>
  <si>
    <t>113,2557</t>
  </si>
  <si>
    <t>140</t>
  </si>
  <si>
    <t>112,0502</t>
  </si>
  <si>
    <t>111,7881</t>
  </si>
  <si>
    <t>94,7069</t>
  </si>
  <si>
    <t>72,4261</t>
  </si>
  <si>
    <t>Результат</t>
  </si>
  <si>
    <t>Шалимова Татьяна</t>
  </si>
  <si>
    <t>1. Шалимова Татьяна</t>
  </si>
  <si>
    <t>Ветераны 40 - 44 (10.01.1976)/44</t>
  </si>
  <si>
    <t>82,5</t>
  </si>
  <si>
    <t>Киселев Павел</t>
  </si>
  <si>
    <t>1. Киселев Павел</t>
  </si>
  <si>
    <t>Юниоры 20 - 23 (03.11.1999)/21</t>
  </si>
  <si>
    <t xml:space="preserve">Саратов/Саратовская область </t>
  </si>
  <si>
    <t xml:space="preserve">Семенихин И.М. </t>
  </si>
  <si>
    <t>Семенихин Иван</t>
  </si>
  <si>
    <t>1. Семенихин Иван</t>
  </si>
  <si>
    <t>Открытая (30.03.1991)/29</t>
  </si>
  <si>
    <t>Кончаков Владимир</t>
  </si>
  <si>
    <t>1. Кончаков Владимир</t>
  </si>
  <si>
    <t>Открытая (25.05.1973)/47</t>
  </si>
  <si>
    <t>97,70</t>
  </si>
  <si>
    <t xml:space="preserve">Белкин Ю.В. </t>
  </si>
  <si>
    <t>Лазарев Владимир</t>
  </si>
  <si>
    <t>2. Лазарев Владимир</t>
  </si>
  <si>
    <t>Открытая (06.11.1979)/41</t>
  </si>
  <si>
    <t>99,00</t>
  </si>
  <si>
    <t xml:space="preserve">Истра/Московская область </t>
  </si>
  <si>
    <t xml:space="preserve">Маркин Н.И. </t>
  </si>
  <si>
    <t>-. Филиппов Кирилл</t>
  </si>
  <si>
    <t>Открытая (07.01.1989)/31</t>
  </si>
  <si>
    <t>97,00</t>
  </si>
  <si>
    <t xml:space="preserve">Тучково/Московская область </t>
  </si>
  <si>
    <t>1. Лазарев Владимир</t>
  </si>
  <si>
    <t>Ветераны 40 - 44 (06.11.1979)/41</t>
  </si>
  <si>
    <t>Ветераны 45 - 49 (25.05.1973)/47</t>
  </si>
  <si>
    <t>-. Рысцов Александр</t>
  </si>
  <si>
    <t>Открытая (02.12.1979)/40</t>
  </si>
  <si>
    <t>116,00</t>
  </si>
  <si>
    <t xml:space="preserve">Рассказово/Тамбовская область </t>
  </si>
  <si>
    <t>45,0242</t>
  </si>
  <si>
    <t>121,3312</t>
  </si>
  <si>
    <t>181,2480</t>
  </si>
  <si>
    <t>161,7750</t>
  </si>
  <si>
    <t>128,3310</t>
  </si>
  <si>
    <t>196,1103</t>
  </si>
  <si>
    <t>129,6143</t>
  </si>
  <si>
    <t>122,7339</t>
  </si>
  <si>
    <t>Брехов Роман</t>
  </si>
  <si>
    <t>1. Брехов Роман</t>
  </si>
  <si>
    <t>Открытая (24.02.1990)/30</t>
  </si>
  <si>
    <t>110,00</t>
  </si>
  <si>
    <t>282,5</t>
  </si>
  <si>
    <t>292,5</t>
  </si>
  <si>
    <t xml:space="preserve">Соловьёв В. </t>
  </si>
  <si>
    <t>172,1363</t>
  </si>
  <si>
    <t>-. Кошман Александр</t>
  </si>
  <si>
    <t>Открытая (05.08.1971)/49</t>
  </si>
  <si>
    <t>77,10</t>
  </si>
  <si>
    <t xml:space="preserve">Белгород/Белгородская область </t>
  </si>
  <si>
    <t>152,5</t>
  </si>
  <si>
    <t xml:space="preserve">Кошман А.П. </t>
  </si>
  <si>
    <t>Грушевская Вероника</t>
  </si>
  <si>
    <t>1. Грушевская Вероника</t>
  </si>
  <si>
    <t>Юниорки 20 - 23 (04.07.1999)/21</t>
  </si>
  <si>
    <t>47,60</t>
  </si>
  <si>
    <t xml:space="preserve">Клостер Э.С. </t>
  </si>
  <si>
    <t>Бажина Екатерина</t>
  </si>
  <si>
    <t>1. Бажина Екатерина</t>
  </si>
  <si>
    <t>Открытая (04.04.1983)/37</t>
  </si>
  <si>
    <t>47,30</t>
  </si>
  <si>
    <t xml:space="preserve">Бажина Е.В. </t>
  </si>
  <si>
    <t>ВЕСОВАЯ КАТЕГОРИЯ   52</t>
  </si>
  <si>
    <t>Староверова Виктория</t>
  </si>
  <si>
    <t>1. Староверова Виктория</t>
  </si>
  <si>
    <t>Открытая (02.08.1996)/24</t>
  </si>
  <si>
    <t>51,20</t>
  </si>
  <si>
    <t xml:space="preserve">Илья Ушков </t>
  </si>
  <si>
    <t>Сидорова Виктория</t>
  </si>
  <si>
    <t>2. Сидорова Виктория</t>
  </si>
  <si>
    <t>Открытая (26.08.1993)/27</t>
  </si>
  <si>
    <t>Ашукова Джамиля</t>
  </si>
  <si>
    <t>3. Ашукова Джамиля</t>
  </si>
  <si>
    <t>Открытая (05.08.1991)/29</t>
  </si>
  <si>
    <t>51,60</t>
  </si>
  <si>
    <t xml:space="preserve">Прагин Р.О. </t>
  </si>
  <si>
    <t>Аверина Мария</t>
  </si>
  <si>
    <t>4. Аверина Мария</t>
  </si>
  <si>
    <t>Открытая (23.12.1977)/42</t>
  </si>
  <si>
    <t>49,40</t>
  </si>
  <si>
    <t xml:space="preserve">Боев В.Ф. </t>
  </si>
  <si>
    <t>Толстикова Светлана</t>
  </si>
  <si>
    <t>1. Толстикова Светлана</t>
  </si>
  <si>
    <t>Ветераны 50 - 54 (04.08.1967)/53</t>
  </si>
  <si>
    <t>51,30</t>
  </si>
  <si>
    <t>42,5</t>
  </si>
  <si>
    <t>Кравцова Галина</t>
  </si>
  <si>
    <t>1. Кравцова Галина</t>
  </si>
  <si>
    <t>Открытая (29.11.1986)/33</t>
  </si>
  <si>
    <t>55,20</t>
  </si>
  <si>
    <t xml:space="preserve">Клостер Э. </t>
  </si>
  <si>
    <t>Сафина Светлана</t>
  </si>
  <si>
    <t>2. Сафина Светлана</t>
  </si>
  <si>
    <t>Открытая (02.04.1991)/29</t>
  </si>
  <si>
    <t>54,30</t>
  </si>
  <si>
    <t>35,0</t>
  </si>
  <si>
    <t xml:space="preserve">Клостер Э.С </t>
  </si>
  <si>
    <t>Ишбулатова Екатерина</t>
  </si>
  <si>
    <t>1. Ишбулатова Екатерина</t>
  </si>
  <si>
    <t>Открытая (17.04.1986)/34</t>
  </si>
  <si>
    <t>59,40</t>
  </si>
  <si>
    <t>Мигаева Лидия</t>
  </si>
  <si>
    <t>1. Мигаева Лидия</t>
  </si>
  <si>
    <t>Ветераны 45 - 49 (20.10.1974)/46</t>
  </si>
  <si>
    <t>56,10</t>
  </si>
  <si>
    <t xml:space="preserve">Химки/Московская область </t>
  </si>
  <si>
    <t xml:space="preserve">Акиньшин П.С. </t>
  </si>
  <si>
    <t>Делегеоз Юлия</t>
  </si>
  <si>
    <t>2. Делегеоз Юлия</t>
  </si>
  <si>
    <t>Ветераны 45 - 49 (03.01.1971)/49</t>
  </si>
  <si>
    <t>32,5</t>
  </si>
  <si>
    <t>Мирясева Полина</t>
  </si>
  <si>
    <t>1. Мирясева Полина</t>
  </si>
  <si>
    <t>Девушки 15-19 (22.05.2001)/19</t>
  </si>
  <si>
    <t>65,40</t>
  </si>
  <si>
    <t>67,5</t>
  </si>
  <si>
    <t>72,5</t>
  </si>
  <si>
    <t xml:space="preserve">Мирясев С.Н. </t>
  </si>
  <si>
    <t>Федюнина Яна</t>
  </si>
  <si>
    <t>1. Федюнина Яна</t>
  </si>
  <si>
    <t>Ветераны 45 - 49 (15.11.1975)/45</t>
  </si>
  <si>
    <t>66,60</t>
  </si>
  <si>
    <t xml:space="preserve">Прагин Р. О. </t>
  </si>
  <si>
    <t>Кузнецова Галина</t>
  </si>
  <si>
    <t>1. Кузнецова Галина</t>
  </si>
  <si>
    <t>Открытая (22.06.1982)/38</t>
  </si>
  <si>
    <t>72,00</t>
  </si>
  <si>
    <t xml:space="preserve">Кузнецова Галина Николаевна </t>
  </si>
  <si>
    <t>Котлярова Наталья</t>
  </si>
  <si>
    <t>1. Котлярова Наталья</t>
  </si>
  <si>
    <t>Ветераны 45 - 49 (31.12.1972)/47</t>
  </si>
  <si>
    <t>72,40</t>
  </si>
  <si>
    <t xml:space="preserve">Котлярова Н.И. </t>
  </si>
  <si>
    <t>Камельчук Светлана</t>
  </si>
  <si>
    <t>1. Камельчук Светлана</t>
  </si>
  <si>
    <t>Ветераны 50 - 54 (17.08.1967)/53</t>
  </si>
  <si>
    <t xml:space="preserve">Пивнов В.П. </t>
  </si>
  <si>
    <t>Хамидулин Марат</t>
  </si>
  <si>
    <t>1. Хамидулин Марат</t>
  </si>
  <si>
    <t>Юноши 15-19 (30.04.2007)/13</t>
  </si>
  <si>
    <t>49,70</t>
  </si>
  <si>
    <t>Громов Алексей</t>
  </si>
  <si>
    <t>2. Громов Алексей</t>
  </si>
  <si>
    <t>Юноши 15-19 (23.11.2004)/15</t>
  </si>
  <si>
    <t>54,50</t>
  </si>
  <si>
    <t>30,0</t>
  </si>
  <si>
    <t xml:space="preserve">Виноградов А.А </t>
  </si>
  <si>
    <t>Кизилов Илья</t>
  </si>
  <si>
    <t>1. Кизилов Илья</t>
  </si>
  <si>
    <t>Открытая (30.04.1982)/38</t>
  </si>
  <si>
    <t>53,80</t>
  </si>
  <si>
    <t xml:space="preserve">Кизилов И.М. </t>
  </si>
  <si>
    <t>Пан Борис</t>
  </si>
  <si>
    <t>1. Пан Борис</t>
  </si>
  <si>
    <t>Ветераны 75 - 79 (21.03.1943)/77</t>
  </si>
  <si>
    <t>54,80</t>
  </si>
  <si>
    <t>Мирошников Глеб</t>
  </si>
  <si>
    <t>1. Мирошников Глеб</t>
  </si>
  <si>
    <t>Юноши 15-19 (10.07.2004)/16</t>
  </si>
  <si>
    <t>65,20</t>
  </si>
  <si>
    <t xml:space="preserve">Видное/Московская область </t>
  </si>
  <si>
    <t xml:space="preserve">Киреев В.А. </t>
  </si>
  <si>
    <t>Кузнецов Родослав</t>
  </si>
  <si>
    <t>1. Кузнецов Родослав</t>
  </si>
  <si>
    <t>Юниоры 20 - 23 (24.10.2000)/20</t>
  </si>
  <si>
    <t>66,00</t>
  </si>
  <si>
    <t xml:space="preserve">Виноградов А. </t>
  </si>
  <si>
    <t>Якушин Максим</t>
  </si>
  <si>
    <t>1. Якушин Максим</t>
  </si>
  <si>
    <t>Открытая (31.10.1985)/35</t>
  </si>
  <si>
    <t>-. Тибилов Георгий</t>
  </si>
  <si>
    <t>Открытая (24.11.1997)/22</t>
  </si>
  <si>
    <t>60,20</t>
  </si>
  <si>
    <t xml:space="preserve">Владикавказ/Северная Осетия - Алания </t>
  </si>
  <si>
    <t>127,5</t>
  </si>
  <si>
    <t xml:space="preserve">Самостоятельно </t>
  </si>
  <si>
    <t>Соков Илья</t>
  </si>
  <si>
    <t>1. Соков Илья</t>
  </si>
  <si>
    <t>Юниоры 20 - 23 (13.02.1997)/23</t>
  </si>
  <si>
    <t>73,60</t>
  </si>
  <si>
    <t xml:space="preserve">Рак И. </t>
  </si>
  <si>
    <t>Забайрачный Дмитрий</t>
  </si>
  <si>
    <t>2. Забайрачный Дмитрий</t>
  </si>
  <si>
    <t>Юниоры 20 - 23 (23.09.1998)/22</t>
  </si>
  <si>
    <t>74,60</t>
  </si>
  <si>
    <t xml:space="preserve">Сидельников М.А. </t>
  </si>
  <si>
    <t>Кожевников Павел</t>
  </si>
  <si>
    <t>1. Кожевников Павел</t>
  </si>
  <si>
    <t>Открытая (06.06.1991)/29</t>
  </si>
  <si>
    <t>74,20</t>
  </si>
  <si>
    <t xml:space="preserve">Россия/ </t>
  </si>
  <si>
    <t xml:space="preserve">Кожевников А.И. </t>
  </si>
  <si>
    <t>Бурляев Сергей</t>
  </si>
  <si>
    <t>2. Бурляев Сергей</t>
  </si>
  <si>
    <t>Открытая (23.07.1993)/27</t>
  </si>
  <si>
    <t>73,80</t>
  </si>
  <si>
    <t xml:space="preserve">Пушкино/Московская область </t>
  </si>
  <si>
    <t xml:space="preserve">Бусов Алексей Борисови </t>
  </si>
  <si>
    <t>Демкин Андрей</t>
  </si>
  <si>
    <t>1. Демкин Андрей</t>
  </si>
  <si>
    <t>Ветераны 40 - 44 (02.12.1978)/41</t>
  </si>
  <si>
    <t>74,10</t>
  </si>
  <si>
    <t xml:space="preserve">Демкин </t>
  </si>
  <si>
    <t>2. Далгатов Тагир</t>
  </si>
  <si>
    <t xml:space="preserve">Далгатов. Т.Э </t>
  </si>
  <si>
    <t>Томинг Сергей</t>
  </si>
  <si>
    <t>1. Томинг Сергей</t>
  </si>
  <si>
    <t>Ветераны 50 - 54 (09.12.1968)/51</t>
  </si>
  <si>
    <t>70,50</t>
  </si>
  <si>
    <t xml:space="preserve">Санкт-Петербург/ </t>
  </si>
  <si>
    <t>Пивнов Владимир</t>
  </si>
  <si>
    <t>1. Пивнов Владимир</t>
  </si>
  <si>
    <t>Ветераны 65 - 69 (05.11.1953)/67</t>
  </si>
  <si>
    <t>74,30</t>
  </si>
  <si>
    <t xml:space="preserve">Новиков И.П. </t>
  </si>
  <si>
    <t>Стогов Кирилл</t>
  </si>
  <si>
    <t>1. Стогов Кирилл</t>
  </si>
  <si>
    <t>Юноши 15-19 (13.04.2005)/15</t>
  </si>
  <si>
    <t xml:space="preserve">Виноорадов Алеасей Александров </t>
  </si>
  <si>
    <t>Кожевников Алексей</t>
  </si>
  <si>
    <t>1. Кожевников Алексей</t>
  </si>
  <si>
    <t>Открытая (20.12.1983)/36</t>
  </si>
  <si>
    <t>82,30</t>
  </si>
  <si>
    <t xml:space="preserve">Домашевский А.В. </t>
  </si>
  <si>
    <t>Звейник Иван</t>
  </si>
  <si>
    <t>2. Звейник Иван</t>
  </si>
  <si>
    <t>Открытая (24.03.1997)/23</t>
  </si>
  <si>
    <t>78,50</t>
  </si>
  <si>
    <t xml:space="preserve">Звейник И.В </t>
  </si>
  <si>
    <t>Горячев Евгений</t>
  </si>
  <si>
    <t>3. Горячев Евгений</t>
  </si>
  <si>
    <t>Открытая (23.04.1991)/29</t>
  </si>
  <si>
    <t xml:space="preserve">Горячев Е.А. </t>
  </si>
  <si>
    <t>-. Воробьев Михаил</t>
  </si>
  <si>
    <t>1. Илькаев Олег</t>
  </si>
  <si>
    <t>Ветераны 40 - 44 (20.06.1976)/44</t>
  </si>
  <si>
    <t>81,60</t>
  </si>
  <si>
    <t xml:space="preserve">Сидельников М. А. </t>
  </si>
  <si>
    <t>Шигин Эдуард</t>
  </si>
  <si>
    <t>1. Шигин Эдуард</t>
  </si>
  <si>
    <t>Ветераны 50 - 54 (19.05.1968)/52</t>
  </si>
  <si>
    <t>80,30</t>
  </si>
  <si>
    <t xml:space="preserve">Нижний Новгород/Нижегородская </t>
  </si>
  <si>
    <t xml:space="preserve">Шигин Э.Ю. </t>
  </si>
  <si>
    <t>Пантин Олег</t>
  </si>
  <si>
    <t>1. Пантин Олег</t>
  </si>
  <si>
    <t>Ветераны 55 - 59 (08.07.1961)/59</t>
  </si>
  <si>
    <t>76,30</t>
  </si>
  <si>
    <t xml:space="preserve">Ухта/Коми </t>
  </si>
  <si>
    <t>Кондрашев Сергей</t>
  </si>
  <si>
    <t>2. Кондрашев Сергей</t>
  </si>
  <si>
    <t>Ветераны 55 - 59 (16.09.1963)/57</t>
  </si>
  <si>
    <t>79,50</t>
  </si>
  <si>
    <t>Агафонов Евгений</t>
  </si>
  <si>
    <t>1. Агафонов Евгений</t>
  </si>
  <si>
    <t>Ветераны 60 - 64 (25.10.1957)/63</t>
  </si>
  <si>
    <t>Филяков Анатолий</t>
  </si>
  <si>
    <t>1. Филяков Анатолий</t>
  </si>
  <si>
    <t>Ветераны 65 - 69 (05.08.1952)/68</t>
  </si>
  <si>
    <t>78,10</t>
  </si>
  <si>
    <t>Ветров Николай</t>
  </si>
  <si>
    <t>1. Ветров Николай</t>
  </si>
  <si>
    <t>Ветераны 75 - 79 (12.09.1945)/75</t>
  </si>
  <si>
    <t>79,70</t>
  </si>
  <si>
    <t xml:space="preserve">Санников В.М. </t>
  </si>
  <si>
    <t>Прохоров Арсений</t>
  </si>
  <si>
    <t>1. Прохоров Арсений</t>
  </si>
  <si>
    <t>Юниоры 20 - 23 (08.05.1997)/23</t>
  </si>
  <si>
    <t>88,20</t>
  </si>
  <si>
    <t>Мищенко Артем</t>
  </si>
  <si>
    <t>1. Мищенко Артем</t>
  </si>
  <si>
    <t>Открытая (26.06.1984)/36</t>
  </si>
  <si>
    <t>87,90</t>
  </si>
  <si>
    <t>191,0</t>
  </si>
  <si>
    <t>193,0</t>
  </si>
  <si>
    <t xml:space="preserve">Чокаев У. </t>
  </si>
  <si>
    <t>Овчаров Сергей</t>
  </si>
  <si>
    <t>2. Овчаров Сергей</t>
  </si>
  <si>
    <t>Открытая (14.08.1979)/41</t>
  </si>
  <si>
    <t>85,80</t>
  </si>
  <si>
    <t>Клостер Эрнест</t>
  </si>
  <si>
    <t>3. Клостер Эрнест</t>
  </si>
  <si>
    <t>Открытая (03.10.1991)/29</t>
  </si>
  <si>
    <t>87,00</t>
  </si>
  <si>
    <t>Талдыкин Алексей</t>
  </si>
  <si>
    <t>1. Талдыкин Алексей</t>
  </si>
  <si>
    <t>Ветераны 40 - 44 (29.03.1980)/40</t>
  </si>
  <si>
    <t>89,70</t>
  </si>
  <si>
    <t xml:space="preserve">Липецк/Липецкая область </t>
  </si>
  <si>
    <t>Девяткин Денис</t>
  </si>
  <si>
    <t>2. Девяткин Денис</t>
  </si>
  <si>
    <t>Ветераны 40 - 44 (02.08.1979)/41</t>
  </si>
  <si>
    <t>Девяткин Евгений</t>
  </si>
  <si>
    <t>1. Девяткин Евгений</t>
  </si>
  <si>
    <t>Ветераны 45 - 49 (19.01.1975)/45</t>
  </si>
  <si>
    <t>142,5</t>
  </si>
  <si>
    <t>Иванов Алексей</t>
  </si>
  <si>
    <t>2. Иванов Алексей</t>
  </si>
  <si>
    <t>Ветераны 45 - 49 (13.03.1975)/45</t>
  </si>
  <si>
    <t>88,60</t>
  </si>
  <si>
    <t xml:space="preserve">Иванов А.А. </t>
  </si>
  <si>
    <t>Сорокин Геннадий</t>
  </si>
  <si>
    <t>1. Сорокин Геннадий</t>
  </si>
  <si>
    <t>Ветераны 60 - 64 (08.09.1959)/61</t>
  </si>
  <si>
    <t>88,30</t>
  </si>
  <si>
    <t xml:space="preserve">Реутов/Московская область </t>
  </si>
  <si>
    <t xml:space="preserve">Лазариди Г.К. </t>
  </si>
  <si>
    <t>Смирнов Леонид</t>
  </si>
  <si>
    <t>2. Смирнов Леонид</t>
  </si>
  <si>
    <t>Ветераны 60 - 64 (26.09.1957)/63</t>
  </si>
  <si>
    <t>89,90</t>
  </si>
  <si>
    <t xml:space="preserve">Смирнов Л.А. </t>
  </si>
  <si>
    <t>Гулягин Степан</t>
  </si>
  <si>
    <t>1. Гулягин Степан</t>
  </si>
  <si>
    <t>Юниоры 20 - 23 (02.03.1998)/22</t>
  </si>
  <si>
    <t>97,30</t>
  </si>
  <si>
    <t xml:space="preserve">Ивантеевка/Московская область </t>
  </si>
  <si>
    <t xml:space="preserve">Дергачев Н. </t>
  </si>
  <si>
    <t>Алексеенко Максим</t>
  </si>
  <si>
    <t>2. Алексеенко Максим</t>
  </si>
  <si>
    <t>Юниоры 20 - 23 (17.09.1997)/23</t>
  </si>
  <si>
    <t>98,20</t>
  </si>
  <si>
    <t>Петров Дмитрий</t>
  </si>
  <si>
    <t>1. Петров Дмитрий</t>
  </si>
  <si>
    <t>Открытая (29.01.1986)/34</t>
  </si>
  <si>
    <t>98,00</t>
  </si>
  <si>
    <t xml:space="preserve">Шумилов Д.Е. </t>
  </si>
  <si>
    <t>Мякишев Сергей</t>
  </si>
  <si>
    <t>2. Мякишев Сергей</t>
  </si>
  <si>
    <t>Открытая (15.09.1977)/43</t>
  </si>
  <si>
    <t>183,0</t>
  </si>
  <si>
    <t xml:space="preserve">Цой Ю.Ф. </t>
  </si>
  <si>
    <t>Бакреу Артур</t>
  </si>
  <si>
    <t>3. Бакреу Артур</t>
  </si>
  <si>
    <t>Открытая (13.12.1980)/39</t>
  </si>
  <si>
    <t>97,50</t>
  </si>
  <si>
    <t xml:space="preserve">Донецкая область/ </t>
  </si>
  <si>
    <t xml:space="preserve">Бакреу </t>
  </si>
  <si>
    <t>Дьячков Михаил</t>
  </si>
  <si>
    <t>4. Дьячков Михаил</t>
  </si>
  <si>
    <t>Открытая (21.11.1992)/27</t>
  </si>
  <si>
    <t>99,60</t>
  </si>
  <si>
    <t xml:space="preserve">Савичев Д.А. </t>
  </si>
  <si>
    <t>1. Мякишев Сергей</t>
  </si>
  <si>
    <t>Ветераны 40 - 44 (15.09.1977)/43</t>
  </si>
  <si>
    <t>2. Долгушин Денис</t>
  </si>
  <si>
    <t>Ветераны 40 - 44 (24.04.1978)/42</t>
  </si>
  <si>
    <t>3. Шувалов Сергей</t>
  </si>
  <si>
    <t>Ветераны 40 - 44 (03.06.1979)/41</t>
  </si>
  <si>
    <t>96,00</t>
  </si>
  <si>
    <t xml:space="preserve">Шувалов </t>
  </si>
  <si>
    <t>1. Канищев Роман</t>
  </si>
  <si>
    <t>Ветераны 45 - 49 (05.09.1973)/47</t>
  </si>
  <si>
    <t xml:space="preserve">Московская область/Московская </t>
  </si>
  <si>
    <t xml:space="preserve">Канищев Р.В. </t>
  </si>
  <si>
    <t>Казанцев Иван</t>
  </si>
  <si>
    <t>1. Казанцев Иван</t>
  </si>
  <si>
    <t>Ветераны 50 - 54 (29.09.1967)/53</t>
  </si>
  <si>
    <t>98,90</t>
  </si>
  <si>
    <t xml:space="preserve">Камышлов/Свердловская область </t>
  </si>
  <si>
    <t xml:space="preserve">Пастухова Л. В. </t>
  </si>
  <si>
    <t>Данилов Юрий</t>
  </si>
  <si>
    <t>1. Данилов Юрий</t>
  </si>
  <si>
    <t>Ветераны 55 - 59 (26.02.1965)/55</t>
  </si>
  <si>
    <t>99,70</t>
  </si>
  <si>
    <t>Усачев Игорь</t>
  </si>
  <si>
    <t>2. Усачев Игорь</t>
  </si>
  <si>
    <t>Ветераны 55 - 59 (06.06.1965)/55</t>
  </si>
  <si>
    <t>94,00</t>
  </si>
  <si>
    <t xml:space="preserve">Брянск/Брянская область </t>
  </si>
  <si>
    <t>Васильев Виктор</t>
  </si>
  <si>
    <t>1. Васильев Виктор</t>
  </si>
  <si>
    <t>Ветераны 65 - 69 (09.02.1954)/66</t>
  </si>
  <si>
    <t xml:space="preserve">Калининград/Калининградская об </t>
  </si>
  <si>
    <t>136,0</t>
  </si>
  <si>
    <t xml:space="preserve">самостоятельно </t>
  </si>
  <si>
    <t>Гришин Евгений</t>
  </si>
  <si>
    <t>1. Гришин Евгений</t>
  </si>
  <si>
    <t>Открытая (05.07.1987)/33</t>
  </si>
  <si>
    <t>107,90</t>
  </si>
  <si>
    <t>Богатов Иван</t>
  </si>
  <si>
    <t>2. Богатов Иван</t>
  </si>
  <si>
    <t>Открытая (11.07.1990)/30</t>
  </si>
  <si>
    <t>105,90</t>
  </si>
  <si>
    <t>Буянов Александр</t>
  </si>
  <si>
    <t>3. Буянов Александр</t>
  </si>
  <si>
    <t>Открытая (24.03.1980)/40</t>
  </si>
  <si>
    <t xml:space="preserve">Тула/Тульская область </t>
  </si>
  <si>
    <t xml:space="preserve">Алексеев А.В. </t>
  </si>
  <si>
    <t>Динека Александр</t>
  </si>
  <si>
    <t>4. Динека Александр</t>
  </si>
  <si>
    <t>Открытая (12.09.1985)/35</t>
  </si>
  <si>
    <t xml:space="preserve">Динека А.В. </t>
  </si>
  <si>
    <t>-. Буханцев Павел</t>
  </si>
  <si>
    <t>Открытая (02.08.1969)/51</t>
  </si>
  <si>
    <t>108,70</t>
  </si>
  <si>
    <t xml:space="preserve">Кондаков А. </t>
  </si>
  <si>
    <t>Мишин Станислав</t>
  </si>
  <si>
    <t>1. Мишин Станислав</t>
  </si>
  <si>
    <t>Ветераны 40 - 44 (02.11.1978)/42</t>
  </si>
  <si>
    <t>109,10</t>
  </si>
  <si>
    <t xml:space="preserve">Фрязино/Московская область </t>
  </si>
  <si>
    <t>2. Буянов Александр</t>
  </si>
  <si>
    <t>Ветераны 40 - 44 (24.03.1980)/40</t>
  </si>
  <si>
    <t>Ремин Кирилл</t>
  </si>
  <si>
    <t>1. Ремин Кирилл</t>
  </si>
  <si>
    <t>Ветераны 45 - 49 (13.08.1975)/45</t>
  </si>
  <si>
    <t xml:space="preserve">Пушнин М. </t>
  </si>
  <si>
    <t>Иванов Владимир</t>
  </si>
  <si>
    <t>1. Иванов Владимир</t>
  </si>
  <si>
    <t>Ветераны 50 - 54 (17.08.1966)/54</t>
  </si>
  <si>
    <t>107,50</t>
  </si>
  <si>
    <t xml:space="preserve">Иванов В.П. </t>
  </si>
  <si>
    <t>Ветераны 50 - 54 (02.08.1969)/51</t>
  </si>
  <si>
    <t>Куротченко Игорь</t>
  </si>
  <si>
    <t>1. Куротченко Игорь</t>
  </si>
  <si>
    <t>Ветераны 55 - 59 (20.03.1962)/58</t>
  </si>
  <si>
    <t>107,70</t>
  </si>
  <si>
    <t>2. Кондратьев Валерий</t>
  </si>
  <si>
    <t>Ветераны 55 - 59 (15.01.1964)/56</t>
  </si>
  <si>
    <t>107,30</t>
  </si>
  <si>
    <t xml:space="preserve">Литвиново/Московская область </t>
  </si>
  <si>
    <t>Мищенко Сергей</t>
  </si>
  <si>
    <t>1. Мищенко Сергей</t>
  </si>
  <si>
    <t>Открытая (21.07.1988)/32</t>
  </si>
  <si>
    <t>120,10</t>
  </si>
  <si>
    <t>Усольцев Евгений</t>
  </si>
  <si>
    <t>1. Усольцев Евгений</t>
  </si>
  <si>
    <t>Ветераны 50 - 54 (01.02.1970)/50</t>
  </si>
  <si>
    <t>122,30</t>
  </si>
  <si>
    <t>215,5</t>
  </si>
  <si>
    <t xml:space="preserve">Усольцев Е.Ю. </t>
  </si>
  <si>
    <t>Яковенко Владимир</t>
  </si>
  <si>
    <t>1. Яковенко Владимир</t>
  </si>
  <si>
    <t>Ветераны 60 - 64 (27.03.1959)/61</t>
  </si>
  <si>
    <t>111,60</t>
  </si>
  <si>
    <t xml:space="preserve">Можайск/Московская область </t>
  </si>
  <si>
    <t xml:space="preserve">яковенко </t>
  </si>
  <si>
    <t>Чубаров Владимир</t>
  </si>
  <si>
    <t>1. Чубаров Владимир</t>
  </si>
  <si>
    <t>Ветераны 55 - 59 (03.04.1964)/56</t>
  </si>
  <si>
    <t>134,40</t>
  </si>
  <si>
    <t>75,7190</t>
  </si>
  <si>
    <t xml:space="preserve">Юниорки </t>
  </si>
  <si>
    <t>53,3040</t>
  </si>
  <si>
    <t>73,6285</t>
  </si>
  <si>
    <t>73,2000</t>
  </si>
  <si>
    <t>52</t>
  </si>
  <si>
    <t>72,5420</t>
  </si>
  <si>
    <t>69,3880</t>
  </si>
  <si>
    <t>65,8402</t>
  </si>
  <si>
    <t>61,5790</t>
  </si>
  <si>
    <t>56,1800</t>
  </si>
  <si>
    <t>47,6000</t>
  </si>
  <si>
    <t>42,1890</t>
  </si>
  <si>
    <t>84,2644</t>
  </si>
  <si>
    <t>78,4312</t>
  </si>
  <si>
    <t>63,3881</t>
  </si>
  <si>
    <t>52,6123</t>
  </si>
  <si>
    <t>46,8963</t>
  </si>
  <si>
    <t>44,0099</t>
  </si>
  <si>
    <t>55,5240</t>
  </si>
  <si>
    <t>50,9625</t>
  </si>
  <si>
    <t>36,2710</t>
  </si>
  <si>
    <t>36,0465</t>
  </si>
  <si>
    <t>28,0560</t>
  </si>
  <si>
    <t>99,9905</t>
  </si>
  <si>
    <t>99,2888</t>
  </si>
  <si>
    <t>95,4025</t>
  </si>
  <si>
    <t>94,7640</t>
  </si>
  <si>
    <t>88,8995</t>
  </si>
  <si>
    <t>78,5200</t>
  </si>
  <si>
    <t>123,4433</t>
  </si>
  <si>
    <t>119,0847</t>
  </si>
  <si>
    <t>115,4595</t>
  </si>
  <si>
    <t>115,0500</t>
  </si>
  <si>
    <t>114,9562</t>
  </si>
  <si>
    <t>109,6958</t>
  </si>
  <si>
    <t>104,5500</t>
  </si>
  <si>
    <t>100,7345</t>
  </si>
  <si>
    <t>98,7112</t>
  </si>
  <si>
    <t>98,3070</t>
  </si>
  <si>
    <t>97,7160</t>
  </si>
  <si>
    <t>96,2163</t>
  </si>
  <si>
    <t>93,3255</t>
  </si>
  <si>
    <t>92,1580</t>
  </si>
  <si>
    <t>89,8300</t>
  </si>
  <si>
    <t>80,5290</t>
  </si>
  <si>
    <t>76,2638</t>
  </si>
  <si>
    <t>70,1040</t>
  </si>
  <si>
    <t>68,4665</t>
  </si>
  <si>
    <t xml:space="preserve">Ветераны 65 - 69 </t>
  </si>
  <si>
    <t>149,4172</t>
  </si>
  <si>
    <t>135,8542</t>
  </si>
  <si>
    <t>135,7086</t>
  </si>
  <si>
    <t>132,0990</t>
  </si>
  <si>
    <t>126,1351</t>
  </si>
  <si>
    <t>125,0649</t>
  </si>
  <si>
    <t>120,1905</t>
  </si>
  <si>
    <t>118,5199</t>
  </si>
  <si>
    <t>118,0702</t>
  </si>
  <si>
    <t>116,0901</t>
  </si>
  <si>
    <t>115,7529</t>
  </si>
  <si>
    <t>112,4968</t>
  </si>
  <si>
    <t>111,9589</t>
  </si>
  <si>
    <t>111,4838</t>
  </si>
  <si>
    <t>109,8285</t>
  </si>
  <si>
    <t>107,1875</t>
  </si>
  <si>
    <t>107,0597</t>
  </si>
  <si>
    <t>106,6588</t>
  </si>
  <si>
    <t>104,2905</t>
  </si>
  <si>
    <t>103,1526</t>
  </si>
  <si>
    <t>102,5831</t>
  </si>
  <si>
    <t>102,3200</t>
  </si>
  <si>
    <t>100,8213</t>
  </si>
  <si>
    <t>99,4225</t>
  </si>
  <si>
    <t>Левенкова Наталья</t>
  </si>
  <si>
    <t>1. Левенкова Наталья</t>
  </si>
  <si>
    <t>Открытая (16.09.1988)/32</t>
  </si>
  <si>
    <t>56,00</t>
  </si>
  <si>
    <t xml:space="preserve">Филатов В.Г. </t>
  </si>
  <si>
    <t>-. Подгорнова Арина</t>
  </si>
  <si>
    <t>Девушки 15-19 (11.03.2002)/18</t>
  </si>
  <si>
    <t>63,70</t>
  </si>
  <si>
    <t xml:space="preserve">Орехово-Зуево/Московская область </t>
  </si>
  <si>
    <t>Сударев Максим</t>
  </si>
  <si>
    <t>1. Сударев Максим</t>
  </si>
  <si>
    <t>Юноши 15-19 (23.11.2000)/19</t>
  </si>
  <si>
    <t>81,30</t>
  </si>
  <si>
    <t>Игнатов Андрей</t>
  </si>
  <si>
    <t>1. Игнатов Андрей</t>
  </si>
  <si>
    <t>Открытая (22.02.1992)/28</t>
  </si>
  <si>
    <t>101,10</t>
  </si>
  <si>
    <t>Черемисин Артур</t>
  </si>
  <si>
    <t>2. Черемисин Артур</t>
  </si>
  <si>
    <t>Открытая (29.11.1989)/30</t>
  </si>
  <si>
    <t>104,70</t>
  </si>
  <si>
    <t xml:space="preserve">Орехово-Зуево/Московская облас </t>
  </si>
  <si>
    <t>100,0110</t>
  </si>
  <si>
    <t>87,8670</t>
  </si>
  <si>
    <t>169,6800</t>
  </si>
  <si>
    <t>157,0275</t>
  </si>
  <si>
    <t>Цветков Павел</t>
  </si>
  <si>
    <t>1. Цветков Павел</t>
  </si>
  <si>
    <t>Открытая (05.03.1991)/29</t>
  </si>
  <si>
    <t>71,80</t>
  </si>
  <si>
    <t xml:space="preserve">Аладышев С. </t>
  </si>
  <si>
    <t>Лебушкин Сергей</t>
  </si>
  <si>
    <t>1. Лебушкин Сергей</t>
  </si>
  <si>
    <t>Открытая (13.12.1990)/29</t>
  </si>
  <si>
    <t>285,0</t>
  </si>
  <si>
    <t>Елисеев Павел</t>
  </si>
  <si>
    <t>2. Елисеев Павел</t>
  </si>
  <si>
    <t>79,30</t>
  </si>
  <si>
    <t>Богданов Тимур</t>
  </si>
  <si>
    <t>3. Богданов Тимур</t>
  </si>
  <si>
    <t>Открытая (07.01.1988)/32</t>
  </si>
  <si>
    <t xml:space="preserve">Гагарин/Смоленская область </t>
  </si>
  <si>
    <t>252,5</t>
  </si>
  <si>
    <t xml:space="preserve">Мищенко С. </t>
  </si>
  <si>
    <t>4. Гусев Кирилл</t>
  </si>
  <si>
    <t>Зайцев Вадим</t>
  </si>
  <si>
    <t>1. Зайцев Вадим</t>
  </si>
  <si>
    <t>Ветераны 60 - 64 (26.08.1960)/60</t>
  </si>
  <si>
    <t>86,80</t>
  </si>
  <si>
    <t xml:space="preserve">Солнечногорск/Московская область </t>
  </si>
  <si>
    <t xml:space="preserve">Зайцев Вадим </t>
  </si>
  <si>
    <t>Неклюдов Андрей</t>
  </si>
  <si>
    <t>1. Неклюдов Андрей</t>
  </si>
  <si>
    <t>Юниоры 20 - 23 (24.11.1996)/23</t>
  </si>
  <si>
    <t>95,90</t>
  </si>
  <si>
    <t xml:space="preserve">Ананьин А.А. </t>
  </si>
  <si>
    <t>Кравченко Евгений</t>
  </si>
  <si>
    <t>1. Кравченко Евгений</t>
  </si>
  <si>
    <t>Открытая (03.09.1986)/34</t>
  </si>
  <si>
    <t>340,0</t>
  </si>
  <si>
    <t>370,0</t>
  </si>
  <si>
    <t>400,0</t>
  </si>
  <si>
    <t xml:space="preserve">Калита И.В. </t>
  </si>
  <si>
    <t>Павлов Дмитрий</t>
  </si>
  <si>
    <t>2. Павлов Дмитрий</t>
  </si>
  <si>
    <t>Открытая (15.11.1991)/29</t>
  </si>
  <si>
    <t>99,50</t>
  </si>
  <si>
    <t>347,5</t>
  </si>
  <si>
    <t>357,5</t>
  </si>
  <si>
    <t>Ананьин Алексей</t>
  </si>
  <si>
    <t>3. Ананьин Алексей</t>
  </si>
  <si>
    <t>Открытая (28.09.1976)/44</t>
  </si>
  <si>
    <t>315,0</t>
  </si>
  <si>
    <t>Громов Андрей</t>
  </si>
  <si>
    <t>4. Громов Андрей</t>
  </si>
  <si>
    <t>Открытая (12.06.1994)/26</t>
  </si>
  <si>
    <t>95,00</t>
  </si>
  <si>
    <t>Овчинников Андрей</t>
  </si>
  <si>
    <t>1. Овчинников Андрей</t>
  </si>
  <si>
    <t>Ветераны 50 - 54 (27.01.1969)/51</t>
  </si>
  <si>
    <t>96,90</t>
  </si>
  <si>
    <t xml:space="preserve">Нелидово/Тверская область </t>
  </si>
  <si>
    <t xml:space="preserve">Овчинников Андрей Васильевич </t>
  </si>
  <si>
    <t>Белкин Юрий</t>
  </si>
  <si>
    <t>1. Белкин Юрий</t>
  </si>
  <si>
    <t>Открытая (05.12.1990)/29</t>
  </si>
  <si>
    <t>103,00</t>
  </si>
  <si>
    <t xml:space="preserve">Хабаровск/Хабаровский край </t>
  </si>
  <si>
    <t>445,0</t>
  </si>
  <si>
    <t>Савосин Марат</t>
  </si>
  <si>
    <t>2. Савосин Марат</t>
  </si>
  <si>
    <t>Открытая (23.10.1990)/30</t>
  </si>
  <si>
    <t>105,00</t>
  </si>
  <si>
    <t xml:space="preserve">Подольск/Московская область </t>
  </si>
  <si>
    <t>325,0</t>
  </si>
  <si>
    <t>Сытников Валерий</t>
  </si>
  <si>
    <t>1. Сытников Валерий</t>
  </si>
  <si>
    <t>Ветераны 50 - 54 (28.02.1970)/50</t>
  </si>
  <si>
    <t>106,80</t>
  </si>
  <si>
    <t>287,5</t>
  </si>
  <si>
    <t xml:space="preserve">Тарасов Э.Н. </t>
  </si>
  <si>
    <t>144,0105</t>
  </si>
  <si>
    <t>267,7565</t>
  </si>
  <si>
    <t>228,6600</t>
  </si>
  <si>
    <t>218,0035</t>
  </si>
  <si>
    <t>194,2200</t>
  </si>
  <si>
    <t>193,8825</t>
  </si>
  <si>
    <t>192,2200</t>
  </si>
  <si>
    <t>191,7765</t>
  </si>
  <si>
    <t>170,1598</t>
  </si>
  <si>
    <t>167,9400</t>
  </si>
  <si>
    <t>158,0680</t>
  </si>
  <si>
    <t>149,0280</t>
  </si>
  <si>
    <t>207,0853</t>
  </si>
  <si>
    <t>189,6516</t>
  </si>
  <si>
    <t>187,4186</t>
  </si>
  <si>
    <t>Адамов Антонин</t>
  </si>
  <si>
    <t>1. Адамов Антонин</t>
  </si>
  <si>
    <t>Ветераны 60 - 64 (19.04.1958)/62</t>
  </si>
  <si>
    <t xml:space="preserve">Якутск/Якутия </t>
  </si>
  <si>
    <t xml:space="preserve">Давыдов П.Н. </t>
  </si>
  <si>
    <t>Скрыбыкин Александр</t>
  </si>
  <si>
    <t>1. Скрыбыкин Александр</t>
  </si>
  <si>
    <t>Ветераны 65 - 69 (19.06.1953)/67</t>
  </si>
  <si>
    <t>96,70</t>
  </si>
  <si>
    <t xml:space="preserve">Адамов А.Н. </t>
  </si>
  <si>
    <t>190,4679</t>
  </si>
  <si>
    <t>145,2592</t>
  </si>
  <si>
    <t>Демина Лариса</t>
  </si>
  <si>
    <t>1. Демина Лариса</t>
  </si>
  <si>
    <t>Девушки 15-19 (27.07.2001)/19</t>
  </si>
  <si>
    <t>52,00</t>
  </si>
  <si>
    <t xml:space="preserve">Афанасьев Н.Н. </t>
  </si>
  <si>
    <t>Открытая (27.07.2001)/19</t>
  </si>
  <si>
    <t>Цепелева Мария</t>
  </si>
  <si>
    <t>2. Цепелева Мария</t>
  </si>
  <si>
    <t>Открытая (28.04.1989)/31</t>
  </si>
  <si>
    <t>50,20</t>
  </si>
  <si>
    <t xml:space="preserve">Афанасьев Н. </t>
  </si>
  <si>
    <t>Кондакова София</t>
  </si>
  <si>
    <t>1. Кондакова София</t>
  </si>
  <si>
    <t>Девушки 15-19 (09.02.2004)/16</t>
  </si>
  <si>
    <t>Баринова Полина</t>
  </si>
  <si>
    <t>1. Баринова Полина</t>
  </si>
  <si>
    <t>Открытая (15.11.1998)/22</t>
  </si>
  <si>
    <t>54,90</t>
  </si>
  <si>
    <t xml:space="preserve">Бойко Ю.М. </t>
  </si>
  <si>
    <t>-. Литвиненко Екатерина</t>
  </si>
  <si>
    <t>Открытая (27.05.1985)/35</t>
  </si>
  <si>
    <t xml:space="preserve">Макунина М.Г. </t>
  </si>
  <si>
    <t>Пырсина Юлия</t>
  </si>
  <si>
    <t>1. Пырсина Юлия</t>
  </si>
  <si>
    <t>Открытая (09.05.1985)/35</t>
  </si>
  <si>
    <t>66,30</t>
  </si>
  <si>
    <t xml:space="preserve">Марченко В.В. </t>
  </si>
  <si>
    <t>Кудайкина Наталья</t>
  </si>
  <si>
    <t>2. Кудайкина Наталья</t>
  </si>
  <si>
    <t>Открытая (13.02.1981)/39</t>
  </si>
  <si>
    <t>66,90</t>
  </si>
  <si>
    <t xml:space="preserve">Юность/Московская область </t>
  </si>
  <si>
    <t xml:space="preserve">Лукоянов Е.Е. </t>
  </si>
  <si>
    <t>Жашкеев Егор</t>
  </si>
  <si>
    <t>1. Жашкеев Егор</t>
  </si>
  <si>
    <t>Юноши 15-19 (14.08.2002)/18</t>
  </si>
  <si>
    <t>65,00</t>
  </si>
  <si>
    <t xml:space="preserve">Лаханов Иван Андреевич </t>
  </si>
  <si>
    <t>Щербаков Дмитрий</t>
  </si>
  <si>
    <t>1. Щербаков Дмитрий</t>
  </si>
  <si>
    <t>Открытая (27.04.1984)/36</t>
  </si>
  <si>
    <t>64,20</t>
  </si>
  <si>
    <t>Спирин Артем</t>
  </si>
  <si>
    <t>1. Спирин Артем</t>
  </si>
  <si>
    <t>Юноши 15-19 (14.09.2004)/16</t>
  </si>
  <si>
    <t>71,20</t>
  </si>
  <si>
    <t>2. Распопов Юрий</t>
  </si>
  <si>
    <t>Юноши 15-19 (08.02.2004)/16</t>
  </si>
  <si>
    <t>72,60</t>
  </si>
  <si>
    <t xml:space="preserve">посёлок Юность/Московская обла </t>
  </si>
  <si>
    <t xml:space="preserve">Лукоянов Е. </t>
  </si>
  <si>
    <t>Константинов Сергей</t>
  </si>
  <si>
    <t>1. Константинов Сергей</t>
  </si>
  <si>
    <t>Открытая (12.10.1979)/41</t>
  </si>
  <si>
    <t>74,40</t>
  </si>
  <si>
    <t xml:space="preserve">Калининград/Калининградская область </t>
  </si>
  <si>
    <t xml:space="preserve">Поляков А. </t>
  </si>
  <si>
    <t>Буянов Михаил</t>
  </si>
  <si>
    <t>1. Буянов Михаил</t>
  </si>
  <si>
    <t>Ветераны 45 - 49 (18.11.1974)/45</t>
  </si>
  <si>
    <t>74,80</t>
  </si>
  <si>
    <t xml:space="preserve">Буянов М.В </t>
  </si>
  <si>
    <t>Судобичер Кирилл</t>
  </si>
  <si>
    <t>1. Судобичер Кирилл</t>
  </si>
  <si>
    <t>Юниоры 20 - 23 (28.12.1999)/20</t>
  </si>
  <si>
    <t>82,10</t>
  </si>
  <si>
    <t>Подгорнов Никита</t>
  </si>
  <si>
    <t>1. Подгорнов Никита</t>
  </si>
  <si>
    <t>Открытая (06.06.1996)/24</t>
  </si>
  <si>
    <t>81,10</t>
  </si>
  <si>
    <t>Скокин Виктор</t>
  </si>
  <si>
    <t>1. Скокин Виктор</t>
  </si>
  <si>
    <t>Ветераны 60 - 64 (20.07.1957)/63</t>
  </si>
  <si>
    <t>76,00</t>
  </si>
  <si>
    <t xml:space="preserve">Воскресенск/Московская область </t>
  </si>
  <si>
    <t>227,5</t>
  </si>
  <si>
    <t xml:space="preserve">Хламков А.Е. </t>
  </si>
  <si>
    <t>Семёнов Роман</t>
  </si>
  <si>
    <t>1. Семёнов Роман</t>
  </si>
  <si>
    <t>Открытая (12.07.1988)/32</t>
  </si>
  <si>
    <t>242,5</t>
  </si>
  <si>
    <t xml:space="preserve">Лапатынская И.С. </t>
  </si>
  <si>
    <t>Прокопченко Антон</t>
  </si>
  <si>
    <t>2. Прокопченко Антон</t>
  </si>
  <si>
    <t>Открытая (10.07.1986)/34</t>
  </si>
  <si>
    <t>87,60</t>
  </si>
  <si>
    <t xml:space="preserve">Елисеев П </t>
  </si>
  <si>
    <t>Маслаков Никита</t>
  </si>
  <si>
    <t>3. Маслаков Никита</t>
  </si>
  <si>
    <t>Открытая (19.07.1988)/32</t>
  </si>
  <si>
    <t>Богачев Иван</t>
  </si>
  <si>
    <t>1. Богачев Иван</t>
  </si>
  <si>
    <t>Открытая (08.06.1978)/42</t>
  </si>
  <si>
    <t xml:space="preserve">Лазарев В. </t>
  </si>
  <si>
    <t>Открытая (06.06.1965)/55</t>
  </si>
  <si>
    <t>Ветераны 40 - 44 (08.06.1978)/42</t>
  </si>
  <si>
    <t>Коваленко Алексей</t>
  </si>
  <si>
    <t>1. Коваленко Алексей</t>
  </si>
  <si>
    <t>Ветераны 45 - 49 (07.01.1972)/48</t>
  </si>
  <si>
    <t>1. Усачев Игорь</t>
  </si>
  <si>
    <t>Коробов Сергей</t>
  </si>
  <si>
    <t>1. Коробов Сергей</t>
  </si>
  <si>
    <t>Ветераны 60 - 64 (19.06.1958)/62</t>
  </si>
  <si>
    <t>96,10</t>
  </si>
  <si>
    <t xml:space="preserve">Электросталь/Московская область </t>
  </si>
  <si>
    <t xml:space="preserve">коробов с в </t>
  </si>
  <si>
    <t>2. Адамов Антонин</t>
  </si>
  <si>
    <t>Ушаков Артем</t>
  </si>
  <si>
    <t>1. Ушаков Артем</t>
  </si>
  <si>
    <t>Открытая (21.01.1986)/34</t>
  </si>
  <si>
    <t>103,50</t>
  </si>
  <si>
    <t>Рыбак Борис</t>
  </si>
  <si>
    <t>1. Рыбак Борис</t>
  </si>
  <si>
    <t>Ветераны 60 - 64 (19.08.1956)/64</t>
  </si>
  <si>
    <t xml:space="preserve">Кишинёв/Приднестровье </t>
  </si>
  <si>
    <t xml:space="preserve">Рыбак Борис Борисович </t>
  </si>
  <si>
    <t>Дьячев Андрей</t>
  </si>
  <si>
    <t>1. Дьячев Андрей</t>
  </si>
  <si>
    <t>Открытая (15.04.1984)/36</t>
  </si>
  <si>
    <t>110,10</t>
  </si>
  <si>
    <t xml:space="preserve">Шумский С.Ю. </t>
  </si>
  <si>
    <t>Баранов Михаил</t>
  </si>
  <si>
    <t>1. Баранов Михаил</t>
  </si>
  <si>
    <t>Ветераны 60 - 64 (02.03.1957)/63</t>
  </si>
  <si>
    <t>120,60</t>
  </si>
  <si>
    <t xml:space="preserve">Санкт-Петербург </t>
  </si>
  <si>
    <t xml:space="preserve">Киречек Е.Ф. </t>
  </si>
  <si>
    <t>174,5240</t>
  </si>
  <si>
    <t>138,2185</t>
  </si>
  <si>
    <t>156,8980</t>
  </si>
  <si>
    <t>155,3500</t>
  </si>
  <si>
    <t>155,0850</t>
  </si>
  <si>
    <t>147,2570</t>
  </si>
  <si>
    <t>146,3760</t>
  </si>
  <si>
    <t>127,7930</t>
  </si>
  <si>
    <t>120,2175</t>
  </si>
  <si>
    <t>107,3520</t>
  </si>
  <si>
    <t>96,6323</t>
  </si>
  <si>
    <t>75,6960</t>
  </si>
  <si>
    <t>131,5210</t>
  </si>
  <si>
    <t>104,1445</t>
  </si>
  <si>
    <t>164,7175</t>
  </si>
  <si>
    <t>155,8995</t>
  </si>
  <si>
    <t>149,4770</t>
  </si>
  <si>
    <t>148,9250</t>
  </si>
  <si>
    <t>148,9180</t>
  </si>
  <si>
    <t>147,2160</t>
  </si>
  <si>
    <t>146,9030</t>
  </si>
  <si>
    <t>143,7500</t>
  </si>
  <si>
    <t>138,1380</t>
  </si>
  <si>
    <t>123,8610</t>
  </si>
  <si>
    <t>213,2157</t>
  </si>
  <si>
    <t>197,8995</t>
  </si>
  <si>
    <t>193,5315</t>
  </si>
  <si>
    <t>182,0751</t>
  </si>
  <si>
    <t>176,1828</t>
  </si>
  <si>
    <t>176,0938</t>
  </si>
  <si>
    <t>172,3977</t>
  </si>
  <si>
    <t>165,6962</t>
  </si>
  <si>
    <t>162,3486</t>
  </si>
  <si>
    <t>150,1603</t>
  </si>
  <si>
    <t>147,5311</t>
  </si>
  <si>
    <t>Казарина Елена</t>
  </si>
  <si>
    <t>1. Казарина Елена</t>
  </si>
  <si>
    <t>Ветераны 40 - 44 (14.10.1980)/40</t>
  </si>
  <si>
    <t xml:space="preserve">Постнов Д. М. </t>
  </si>
  <si>
    <t>152,0910</t>
  </si>
  <si>
    <t>Gloss</t>
  </si>
  <si>
    <t>Яковлев Юрий</t>
  </si>
  <si>
    <t>1. Яковлев Юрий</t>
  </si>
  <si>
    <t>Открытая (01.06.1973)/47</t>
  </si>
  <si>
    <t xml:space="preserve">Лосино-Петровский/Московская о </t>
  </si>
  <si>
    <t>82,0</t>
  </si>
  <si>
    <t xml:space="preserve">Рассказов Г. И. </t>
  </si>
  <si>
    <t>Осипов Сергей</t>
  </si>
  <si>
    <t>1. Осипов Сергей</t>
  </si>
  <si>
    <t>Открытая (01.06.1990)/30</t>
  </si>
  <si>
    <t>77,90</t>
  </si>
  <si>
    <t xml:space="preserve">Щелково-3/Московская </t>
  </si>
  <si>
    <t>27,0</t>
  </si>
  <si>
    <t xml:space="preserve">Рассказов Г.И. </t>
  </si>
  <si>
    <t>Румянцев Дмитрий</t>
  </si>
  <si>
    <t>1. Румянцев Дмитрий</t>
  </si>
  <si>
    <t>Ветераны 40 - 44 (24.05.1978)/42</t>
  </si>
  <si>
    <t>81,40</t>
  </si>
  <si>
    <t xml:space="preserve">Красногорск/Московская область </t>
  </si>
  <si>
    <t>32,0</t>
  </si>
  <si>
    <t xml:space="preserve">Сорокин С. </t>
  </si>
  <si>
    <t>Наумов Павел</t>
  </si>
  <si>
    <t>1. Наумов Павел</t>
  </si>
  <si>
    <t>Открытая (12.07.1985)/35</t>
  </si>
  <si>
    <t>71,0</t>
  </si>
  <si>
    <t xml:space="preserve">Свиридов Д.С. </t>
  </si>
  <si>
    <t>Меженин Иван</t>
  </si>
  <si>
    <t>2. Меженин Иван</t>
  </si>
  <si>
    <t>Открытая (08.01.1973)/47</t>
  </si>
  <si>
    <t>87,40</t>
  </si>
  <si>
    <t xml:space="preserve">Алексеев В. </t>
  </si>
  <si>
    <t>1. Меженин Иван</t>
  </si>
  <si>
    <t>Ветераны 45 - 49 (08.01.1973)/47</t>
  </si>
  <si>
    <t>Рассказов Геннадий</t>
  </si>
  <si>
    <t>1. Рассказов Геннадий</t>
  </si>
  <si>
    <t>Ветераны 50 - 54 (04.09.1966)/54</t>
  </si>
  <si>
    <t>88,90</t>
  </si>
  <si>
    <t xml:space="preserve">Лосино-Петровский/Московская область </t>
  </si>
  <si>
    <t xml:space="preserve">Ларионов С. М. </t>
  </si>
  <si>
    <t>-. Ануфриев Сергей</t>
  </si>
  <si>
    <t>1,0</t>
  </si>
  <si>
    <t>Прагин Роман</t>
  </si>
  <si>
    <t>1. Прагин Роман</t>
  </si>
  <si>
    <t>Открытая (02.06.1986)/34</t>
  </si>
  <si>
    <t>90,40</t>
  </si>
  <si>
    <t>Зотиков Сергей</t>
  </si>
  <si>
    <t>1. Зотиков Сергей</t>
  </si>
  <si>
    <t>Ветераны 55 - 59 (15.04.1964)/56</t>
  </si>
  <si>
    <t>94,30</t>
  </si>
  <si>
    <t>18,0</t>
  </si>
  <si>
    <t xml:space="preserve">Зотиков С.Т. </t>
  </si>
  <si>
    <t>Виноградов Алексей</t>
  </si>
  <si>
    <t>1. Виноградов Алексей</t>
  </si>
  <si>
    <t>Открытая (22.12.1983)/36</t>
  </si>
  <si>
    <t>101,50</t>
  </si>
  <si>
    <t>33,0</t>
  </si>
  <si>
    <t xml:space="preserve">Наумова Наталья </t>
  </si>
  <si>
    <t>Гринберг Игорс</t>
  </si>
  <si>
    <t>1. Гринберг Игорс</t>
  </si>
  <si>
    <t>Ветераны 50 - 54 (24.08.1969)/51</t>
  </si>
  <si>
    <t>102,50</t>
  </si>
  <si>
    <t>10,0</t>
  </si>
  <si>
    <t>14,0</t>
  </si>
  <si>
    <t xml:space="preserve">Gloss </t>
  </si>
  <si>
    <t>6150,0</t>
  </si>
  <si>
    <t>4268,1000</t>
  </si>
  <si>
    <t>6390,0</t>
  </si>
  <si>
    <t>3912,2773</t>
  </si>
  <si>
    <t>5687,5</t>
  </si>
  <si>
    <t>3538,4781</t>
  </si>
  <si>
    <t>3237,5</t>
  </si>
  <si>
    <t>1976,1701</t>
  </si>
  <si>
    <t>3382,5</t>
  </si>
  <si>
    <t>1954,4084</t>
  </si>
  <si>
    <t>2160,0</t>
  </si>
  <si>
    <t>1447,0920</t>
  </si>
  <si>
    <t>7200,0</t>
  </si>
  <si>
    <t>5340,4143</t>
  </si>
  <si>
    <t>3828,6334</t>
  </si>
  <si>
    <t>2767,5</t>
  </si>
  <si>
    <t>1827,2987</t>
  </si>
  <si>
    <t>2640,0</t>
  </si>
  <si>
    <t>1750,9932</t>
  </si>
  <si>
    <t>1715,0</t>
  </si>
  <si>
    <t>1288,0109</t>
  </si>
  <si>
    <t>1710,0</t>
  </si>
  <si>
    <t>1272,2171</t>
  </si>
  <si>
    <t>1100,0</t>
  </si>
  <si>
    <t>803,7056</t>
  </si>
  <si>
    <t>Тоннаж</t>
  </si>
  <si>
    <t>Киселев Лев</t>
  </si>
  <si>
    <t>1. Киселев Лев</t>
  </si>
  <si>
    <t>Открытая (28.09.2005)/15</t>
  </si>
  <si>
    <t>51,70</t>
  </si>
  <si>
    <t>Незнамов Игорь</t>
  </si>
  <si>
    <t>1. Незнамов Игорь</t>
  </si>
  <si>
    <t>Открытая (05.09.1970)/50</t>
  </si>
  <si>
    <t>59,30</t>
  </si>
  <si>
    <t>36,0</t>
  </si>
  <si>
    <t xml:space="preserve">Незнамов И.В. </t>
  </si>
  <si>
    <t>Ветераны 50 - 54 (05.09.1970)/50</t>
  </si>
  <si>
    <t>Демьянов Станислав</t>
  </si>
  <si>
    <t>1. Демьянов Станислав</t>
  </si>
  <si>
    <t>Юноши 15-19 (08.04.2004)/16</t>
  </si>
  <si>
    <t>64,50</t>
  </si>
  <si>
    <t>21,0</t>
  </si>
  <si>
    <t xml:space="preserve">Демьянов С.А </t>
  </si>
  <si>
    <t>2. Агафонов Андрей</t>
  </si>
  <si>
    <t>Заболотников Иван</t>
  </si>
  <si>
    <t>1. Заболотников Иван</t>
  </si>
  <si>
    <t>Открытая (17.06.1979)/41</t>
  </si>
  <si>
    <t>64,70</t>
  </si>
  <si>
    <t>104,0</t>
  </si>
  <si>
    <t xml:space="preserve">Никулин Е. </t>
  </si>
  <si>
    <t>2. Якушин Максим</t>
  </si>
  <si>
    <t>Стрельников Валерий</t>
  </si>
  <si>
    <t>1. Стрельников Валерий</t>
  </si>
  <si>
    <t>Открытая (25.03.1981)/39</t>
  </si>
  <si>
    <t>72,20</t>
  </si>
  <si>
    <t xml:space="preserve">Заболотников И.А. </t>
  </si>
  <si>
    <t>Поликарпов Олег</t>
  </si>
  <si>
    <t>2. Поликарпов Олег</t>
  </si>
  <si>
    <t>Открытая (07.11.1973)/47</t>
  </si>
  <si>
    <t>68,60</t>
  </si>
  <si>
    <t>48,0</t>
  </si>
  <si>
    <t xml:space="preserve">Поликарпов О.А. </t>
  </si>
  <si>
    <t>Шагайда Константин</t>
  </si>
  <si>
    <t>3. Шагайда Константин</t>
  </si>
  <si>
    <t>Открытая (15.01.1996)/24</t>
  </si>
  <si>
    <t>73,30</t>
  </si>
  <si>
    <t xml:space="preserve">Шагайда Константин Валерьевич </t>
  </si>
  <si>
    <t>Пиндак Семен</t>
  </si>
  <si>
    <t>4. Пиндак Семен</t>
  </si>
  <si>
    <t>Открытая (18.09.1984)/36</t>
  </si>
  <si>
    <t>71,00</t>
  </si>
  <si>
    <t>20,0</t>
  </si>
  <si>
    <t xml:space="preserve">Пиндак С. И. </t>
  </si>
  <si>
    <t>Никитченко Сергей</t>
  </si>
  <si>
    <t>1. Никитченко Сергей</t>
  </si>
  <si>
    <t>Ветераны 40 - 44 (10.09.1978)/42</t>
  </si>
  <si>
    <t>69,70</t>
  </si>
  <si>
    <t>26,0</t>
  </si>
  <si>
    <t xml:space="preserve">Никитченко Ю.Ю. </t>
  </si>
  <si>
    <t>1. Поликарпов Олег</t>
  </si>
  <si>
    <t>Ветераны 45 - 49 (07.11.1973)/47</t>
  </si>
  <si>
    <t>Асланян Эрик</t>
  </si>
  <si>
    <t>1. Асланян Эрик</t>
  </si>
  <si>
    <t>Юноши 15-19 (30.03.2004)/16</t>
  </si>
  <si>
    <t>77,50</t>
  </si>
  <si>
    <t>37,0</t>
  </si>
  <si>
    <t>Киреев Владимир</t>
  </si>
  <si>
    <t>1. Киреев Владимир</t>
  </si>
  <si>
    <t>Открытая (02.05.1986)/34</t>
  </si>
  <si>
    <t>16,0</t>
  </si>
  <si>
    <t xml:space="preserve">Клостер Э. С. </t>
  </si>
  <si>
    <t>Калинин Сергей</t>
  </si>
  <si>
    <t>1. Калинин Сергей</t>
  </si>
  <si>
    <t>Ветераны 40 - 44 (19.11.1975)/44</t>
  </si>
  <si>
    <t>28,0</t>
  </si>
  <si>
    <t xml:space="preserve">Калинин Сергей Иванович </t>
  </si>
  <si>
    <t>Лебедев Илья</t>
  </si>
  <si>
    <t>1. Лебедев Илья</t>
  </si>
  <si>
    <t>Ветераны 45 - 49 (12.02.1972)/48</t>
  </si>
  <si>
    <t>29,0</t>
  </si>
  <si>
    <t>Терехин Юрий</t>
  </si>
  <si>
    <t>1. Терехин Юрий</t>
  </si>
  <si>
    <t>Открытая (23.05.1975)/45</t>
  </si>
  <si>
    <t>84,10</t>
  </si>
  <si>
    <t>51,0</t>
  </si>
  <si>
    <t xml:space="preserve">Барышников А.В. </t>
  </si>
  <si>
    <t>Чернов Георгий</t>
  </si>
  <si>
    <t>2. Чернов Георгий</t>
  </si>
  <si>
    <t>Открытая (13.09.2001)/19</t>
  </si>
  <si>
    <t>82,60</t>
  </si>
  <si>
    <t>41,0</t>
  </si>
  <si>
    <t xml:space="preserve">Петров П.П. </t>
  </si>
  <si>
    <t>3. Мищенко Артем</t>
  </si>
  <si>
    <t>31,0</t>
  </si>
  <si>
    <t>4. Клостер Эрнест</t>
  </si>
  <si>
    <t>Болдинов Александр</t>
  </si>
  <si>
    <t>5. Болдинов Александр</t>
  </si>
  <si>
    <t>Открытая (17.10.1992)/28</t>
  </si>
  <si>
    <t>83,70</t>
  </si>
  <si>
    <t xml:space="preserve">Мишеронь/Московская область </t>
  </si>
  <si>
    <t>24,0</t>
  </si>
  <si>
    <t>1. Девяткин Денис</t>
  </si>
  <si>
    <t>23,0</t>
  </si>
  <si>
    <t>Ветераны 45 - 49 (23.05.1975)/45</t>
  </si>
  <si>
    <t>2. Девяткин Евгений</t>
  </si>
  <si>
    <t>3. Иванов Алексей</t>
  </si>
  <si>
    <t>17,0</t>
  </si>
  <si>
    <t>Бакулин Руслан</t>
  </si>
  <si>
    <t>1. Бакулин Руслан</t>
  </si>
  <si>
    <t>Открытая (18.06.1988)/32</t>
  </si>
  <si>
    <t>8,0</t>
  </si>
  <si>
    <t>Савин Руслан</t>
  </si>
  <si>
    <t>1. Савин Руслан</t>
  </si>
  <si>
    <t>Открытая (26.12.1978)/41</t>
  </si>
  <si>
    <t>133,50</t>
  </si>
  <si>
    <t>25,0</t>
  </si>
  <si>
    <t xml:space="preserve">Никитин С.И. </t>
  </si>
  <si>
    <t>Ветераны 40 - 44 (26.12.1978)/41</t>
  </si>
  <si>
    <t>2867,5</t>
  </si>
  <si>
    <t>1928,1070</t>
  </si>
  <si>
    <t>1312,5</t>
  </si>
  <si>
    <t>1072,5750</t>
  </si>
  <si>
    <t>1365,0</t>
  </si>
  <si>
    <t>1062,7890</t>
  </si>
  <si>
    <t>6760,0</t>
  </si>
  <si>
    <t>5248,8019</t>
  </si>
  <si>
    <t>4335,0</t>
  </si>
  <si>
    <t>2760,5280</t>
  </si>
  <si>
    <t>3625,0</t>
  </si>
  <si>
    <t>2568,8562</t>
  </si>
  <si>
    <t>2625,0</t>
  </si>
  <si>
    <t>2553,2062</t>
  </si>
  <si>
    <t>3360,0</t>
  </si>
  <si>
    <t>2480,8559</t>
  </si>
  <si>
    <t>3485,0</t>
  </si>
  <si>
    <t>2244,6885</t>
  </si>
  <si>
    <t>1819,6920</t>
  </si>
  <si>
    <t>3375,0</t>
  </si>
  <si>
    <t>1812,1050</t>
  </si>
  <si>
    <t>2790,0</t>
  </si>
  <si>
    <t>1730,0791</t>
  </si>
  <si>
    <t>2062,5</t>
  </si>
  <si>
    <t>1685,4750</t>
  </si>
  <si>
    <t>2400,0</t>
  </si>
  <si>
    <t>1681,0800</t>
  </si>
  <si>
    <t>1637,6062</t>
  </si>
  <si>
    <t>2040,0</t>
  </si>
  <si>
    <t>1302,9480</t>
  </si>
  <si>
    <t>1450,0</t>
  </si>
  <si>
    <t>1041,1725</t>
  </si>
  <si>
    <t>1320,0</t>
  </si>
  <si>
    <t>863,2800</t>
  </si>
  <si>
    <t>900,0</t>
  </si>
  <si>
    <t>506,1150</t>
  </si>
  <si>
    <t>2912,3570</t>
  </si>
  <si>
    <t>2684,2861</t>
  </si>
  <si>
    <t>2056,2520</t>
  </si>
  <si>
    <t>2247,5</t>
  </si>
  <si>
    <t>2009,5667</t>
  </si>
  <si>
    <t>1830,2261</t>
  </si>
  <si>
    <t>2227,5</t>
  </si>
  <si>
    <t>1590,2737</t>
  </si>
  <si>
    <t>2240,0</t>
  </si>
  <si>
    <t>1562,4140</t>
  </si>
  <si>
    <t>2100,0</t>
  </si>
  <si>
    <t>1497,3237</t>
  </si>
  <si>
    <t>1700,0</t>
  </si>
  <si>
    <t>1493,1854</t>
  </si>
  <si>
    <t>2275,0</t>
  </si>
  <si>
    <t>1492,2777</t>
  </si>
  <si>
    <t>1820,0</t>
  </si>
  <si>
    <t>1352,9443</t>
  </si>
  <si>
    <t>2012,5</t>
  </si>
  <si>
    <t>1272,3216</t>
  </si>
  <si>
    <t>1530,0</t>
  </si>
  <si>
    <t>996,4148</t>
  </si>
  <si>
    <t>Саакян Анна</t>
  </si>
  <si>
    <t>1. Саакян Анна</t>
  </si>
  <si>
    <t>Открытая (10.08.1987)/33</t>
  </si>
  <si>
    <t>49,20</t>
  </si>
  <si>
    <t>47,0</t>
  </si>
  <si>
    <t xml:space="preserve">Никитин С. </t>
  </si>
  <si>
    <t>27,5</t>
  </si>
  <si>
    <t>Белькова Ильмира</t>
  </si>
  <si>
    <t>1. Белькова Ильмира</t>
  </si>
  <si>
    <t>Ветераны 50 - 54 (10.07.1968)/52</t>
  </si>
  <si>
    <t>59,00</t>
  </si>
  <si>
    <t xml:space="preserve">Муравьёв Владимир </t>
  </si>
  <si>
    <t>Ветераны 40 - 44 (15.11.1975)/45</t>
  </si>
  <si>
    <t>44,0</t>
  </si>
  <si>
    <t>Дорофеева Елена</t>
  </si>
  <si>
    <t>1. Дорофеева Елена</t>
  </si>
  <si>
    <t>Открытая (03.12.1981)/38</t>
  </si>
  <si>
    <t>79,40</t>
  </si>
  <si>
    <t>96,0</t>
  </si>
  <si>
    <t>Лютикова Наталья</t>
  </si>
  <si>
    <t>2. Лютикова Наталья</t>
  </si>
  <si>
    <t>Открытая (14.04.1983)/37</t>
  </si>
  <si>
    <t>79,00</t>
  </si>
  <si>
    <t>22,0</t>
  </si>
  <si>
    <t>81,25</t>
  </si>
  <si>
    <t>57,0</t>
  </si>
  <si>
    <t>61,0</t>
  </si>
  <si>
    <t>1. Смирнов Леонид</t>
  </si>
  <si>
    <t>Морозов Михаил</t>
  </si>
  <si>
    <t>1. Морозов Михаил</t>
  </si>
  <si>
    <t>Юноши 15-19 (24.08.2006)/14</t>
  </si>
  <si>
    <t>92,30</t>
  </si>
  <si>
    <t>625,0</t>
  </si>
  <si>
    <t>741,5625</t>
  </si>
  <si>
    <t>3840,0</t>
  </si>
  <si>
    <t>3093,5040</t>
  </si>
  <si>
    <t>1175,0</t>
  </si>
  <si>
    <t>1359,2400</t>
  </si>
  <si>
    <t>1200,0</t>
  </si>
  <si>
    <t>969,8400</t>
  </si>
  <si>
    <t>896,0400</t>
  </si>
  <si>
    <t>792,0750</t>
  </si>
  <si>
    <t>467,5</t>
  </si>
  <si>
    <t>500,2717</t>
  </si>
  <si>
    <t>1540,0</t>
  </si>
  <si>
    <t>1477,0960</t>
  </si>
  <si>
    <t>1080,0</t>
  </si>
  <si>
    <t>1259,4583</t>
  </si>
  <si>
    <t>797,5</t>
  </si>
  <si>
    <t>1057,0767</t>
  </si>
  <si>
    <t>3562,5</t>
  </si>
  <si>
    <t>2150,5030</t>
  </si>
  <si>
    <t>770,0</t>
  </si>
  <si>
    <t>593,8240</t>
  </si>
  <si>
    <t>575,0</t>
  </si>
  <si>
    <t>584,6887</t>
  </si>
  <si>
    <t>2440,0</t>
  </si>
  <si>
    <t>2571,6380</t>
  </si>
  <si>
    <t>2700,0</t>
  </si>
  <si>
    <t>2349,0195</t>
  </si>
  <si>
    <t>2422,5</t>
  </si>
  <si>
    <t>2241,1565</t>
  </si>
  <si>
    <t>Чемпионат мира WPF 2020
WPF с ДК Пауэрлифтинг в однослойной экипировке
Москва / 14 - 15 ноября 2020 г.</t>
  </si>
  <si>
    <t>Чемпионат мира WPF 2020
WPF Пауэрлифтинг в однослойной экипировке
Москва / 14 - 15 ноября 2020 г.</t>
  </si>
  <si>
    <t>Чемпионат мира WPF 2020
WPF Пауэрлифтинг классический
Москва / 14 - 15 ноября 2020 г.</t>
  </si>
  <si>
    <t>Чемпионат мира WPF 2020
WPF Пауэрлифтинг безэкипировочный
Москва / 14 - 15 ноября 2020 г.</t>
  </si>
  <si>
    <t>Чемпионат мира WPF 2020
WPF Жим лежа в многослойной экипировке
Москва / 14 - 15 ноября 2020 г.</t>
  </si>
  <si>
    <t>Чемпионат мира WPF 2020
WPF Жим лежа в однослойной экипировке
Москва / 14 - 15 ноября 2020 г.</t>
  </si>
  <si>
    <t>Чемпионат мира WPF 2020
WPF Жим лежа безэкипировочный
Москва / 14 - 15 ноября 2020 г.</t>
  </si>
  <si>
    <t>Чемпионат мира WPF 2020
WPF Становая тяга в однослойной экипировке
Москва / 14 - 15 ноября 2020 г.</t>
  </si>
  <si>
    <t>Чемпионат мира WPF 2020
WPF Становая тяга безэкипировочная
Москва / 14 - 15 ноября 2020 г.</t>
  </si>
  <si>
    <t>Многоповторный жим</t>
  </si>
  <si>
    <t>Чемпионат мира WPF 2020
WPF Многоповторный жим лежа 1 вес
Москва / 14 - 15 ноября 2020 г.</t>
  </si>
  <si>
    <t>Чемпионат мира WPF 2020
WPF с ДК Пауэрлифтинг классический
Москва / 14 - 15 ноября 2020 г.</t>
  </si>
  <si>
    <t>Чемпионат мира WPF 2020
WPF с ДК Пауэрлифтинг безэкипировочный
Москва / 14 - 15 ноября 2020 г.</t>
  </si>
  <si>
    <t>Чемпионат мира WPF 2020
WPF с ДК Жим лежа в многослойной экипировке
Москва / 14 - 15 ноября 2020 г.</t>
  </si>
  <si>
    <t>Чемпионат мира WPF 2020
WPF с ДК Жим лежа в однослойной экипировке
Москва / 14 - 15 ноября 2020 г.</t>
  </si>
  <si>
    <t>Чемпионат мира WPF 2020
WPF с ДК Жим лежа безэкипировочный
Москва / 14 - 15 ноября 2020 г.</t>
  </si>
  <si>
    <t>Чемпионат мира WPF 2020
WPF с ДК Становая тяга в однослойной экипировке
Москва / 14 - 15 ноября 2020 г.</t>
  </si>
  <si>
    <t>Чемпионат мира WPF 2020
WPF с ДК Становая тяга безэкипировочная
Москва / 14 - 15 ноября 2020 г.</t>
  </si>
  <si>
    <t>Чемпионат мира WPF 2020
WPF с ДК Многоповторный жим лежа 1 вес
Москва / 14 - 15 ноября 2020 г.</t>
  </si>
  <si>
    <t>Чемпионат мира WPF 2020
WPF с ДК Многоповторный жим лежа 1/2 веса
Москва / 14 - 15 ноября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</si>
</sst>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8.42578125" style="4" bestFit="1" customWidth="1"/>
    <col min="5" max="5" width="22.7109375" style="4" bestFit="1" customWidth="1"/>
    <col min="6" max="6" width="25.57031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9" bestFit="1" customWidth="1"/>
    <col min="20" max="20" width="8.5703125" style="2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41" t="s">
        <v>1726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11</v>
      </c>
      <c r="E3" s="35" t="s">
        <v>4</v>
      </c>
      <c r="F3" s="35" t="s">
        <v>7</v>
      </c>
      <c r="G3" s="35" t="s">
        <v>12</v>
      </c>
      <c r="H3" s="35"/>
      <c r="I3" s="35"/>
      <c r="J3" s="35"/>
      <c r="K3" s="35" t="s">
        <v>13</v>
      </c>
      <c r="L3" s="35"/>
      <c r="M3" s="35"/>
      <c r="N3" s="35"/>
      <c r="O3" s="35" t="s">
        <v>14</v>
      </c>
      <c r="P3" s="35"/>
      <c r="Q3" s="35"/>
      <c r="R3" s="35"/>
      <c r="S3" s="35" t="s">
        <v>1</v>
      </c>
      <c r="T3" s="35" t="s">
        <v>3</v>
      </c>
      <c r="U3" s="37" t="s">
        <v>2</v>
      </c>
    </row>
    <row r="4" spans="1:21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6"/>
      <c r="T4" s="36"/>
      <c r="U4" s="38"/>
    </row>
    <row r="5" spans="1:21" ht="15" x14ac:dyDescent="0.2">
      <c r="A5" s="39" t="s">
        <v>131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 x14ac:dyDescent="0.2">
      <c r="A6" s="6" t="s">
        <v>161</v>
      </c>
      <c r="B6" s="6" t="s">
        <v>162</v>
      </c>
      <c r="C6" s="6" t="s">
        <v>163</v>
      </c>
      <c r="D6" s="6" t="str">
        <f>"0,6086"</f>
        <v>0,6086</v>
      </c>
      <c r="E6" s="6" t="s">
        <v>20</v>
      </c>
      <c r="F6" s="6" t="s">
        <v>164</v>
      </c>
      <c r="G6" s="7" t="s">
        <v>165</v>
      </c>
      <c r="H6" s="7" t="s">
        <v>166</v>
      </c>
      <c r="I6" s="8" t="s">
        <v>167</v>
      </c>
      <c r="J6" s="8"/>
      <c r="K6" s="7" t="s">
        <v>47</v>
      </c>
      <c r="L6" s="7" t="s">
        <v>51</v>
      </c>
      <c r="M6" s="7" t="s">
        <v>52</v>
      </c>
      <c r="N6" s="8"/>
      <c r="O6" s="7" t="s">
        <v>76</v>
      </c>
      <c r="P6" s="7" t="s">
        <v>77</v>
      </c>
      <c r="Q6" s="8" t="s">
        <v>165</v>
      </c>
      <c r="R6" s="8"/>
      <c r="S6" s="20" t="str">
        <f>"885,0"</f>
        <v>885,0</v>
      </c>
      <c r="T6" s="21" t="str">
        <f>"538,6110"</f>
        <v>538,6110</v>
      </c>
      <c r="U6" s="6" t="s">
        <v>28</v>
      </c>
    </row>
    <row r="8" spans="1:21" ht="15" x14ac:dyDescent="0.2">
      <c r="E8" s="18" t="s">
        <v>80</v>
      </c>
    </row>
    <row r="9" spans="1:21" ht="15" x14ac:dyDescent="0.2">
      <c r="E9" s="18" t="s">
        <v>81</v>
      </c>
    </row>
    <row r="10" spans="1:21" ht="15" x14ac:dyDescent="0.2">
      <c r="E10" s="18" t="s">
        <v>82</v>
      </c>
    </row>
    <row r="11" spans="1:21" ht="15" x14ac:dyDescent="0.2">
      <c r="E11" s="18" t="s">
        <v>83</v>
      </c>
    </row>
    <row r="12" spans="1:21" ht="15" x14ac:dyDescent="0.2">
      <c r="E12" s="18" t="s">
        <v>83</v>
      </c>
    </row>
    <row r="13" spans="1:21" ht="15" x14ac:dyDescent="0.2">
      <c r="E13" s="18" t="s">
        <v>84</v>
      </c>
    </row>
    <row r="14" spans="1:21" ht="15" x14ac:dyDescent="0.2">
      <c r="E14" s="18"/>
    </row>
    <row r="16" spans="1:21" ht="18" x14ac:dyDescent="0.25">
      <c r="A16" s="28" t="s">
        <v>85</v>
      </c>
      <c r="B16" s="28"/>
    </row>
    <row r="17" spans="1:5" ht="15" x14ac:dyDescent="0.2">
      <c r="A17" s="29" t="s">
        <v>97</v>
      </c>
      <c r="B17" s="29"/>
    </row>
    <row r="18" spans="1:5" ht="14.25" x14ac:dyDescent="0.2">
      <c r="A18" s="31"/>
      <c r="B18" s="32" t="s">
        <v>103</v>
      </c>
    </row>
    <row r="19" spans="1:5" ht="15" x14ac:dyDescent="0.2">
      <c r="A19" s="33" t="s">
        <v>88</v>
      </c>
      <c r="B19" s="33" t="s">
        <v>89</v>
      </c>
      <c r="C19" s="33" t="s">
        <v>90</v>
      </c>
      <c r="D19" s="33" t="s">
        <v>91</v>
      </c>
      <c r="E19" s="33" t="s">
        <v>92</v>
      </c>
    </row>
    <row r="20" spans="1:5" x14ac:dyDescent="0.2">
      <c r="A20" s="30" t="s">
        <v>160</v>
      </c>
      <c r="B20" s="4" t="s">
        <v>103</v>
      </c>
      <c r="C20" s="4" t="s">
        <v>152</v>
      </c>
      <c r="D20" s="4" t="s">
        <v>168</v>
      </c>
      <c r="E20" s="19" t="s">
        <v>169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P11" sqref="P11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8.42578125" style="4" bestFit="1" customWidth="1"/>
    <col min="5" max="5" width="22.7109375" style="4" bestFit="1" customWidth="1"/>
    <col min="6" max="6" width="17.285156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9" bestFit="1" customWidth="1"/>
    <col min="20" max="20" width="8.5703125" style="2" bestFit="1" customWidth="1"/>
    <col min="21" max="21" width="11.42578125" style="4" bestFit="1" customWidth="1"/>
    <col min="22" max="16384" width="9.140625" style="3"/>
  </cols>
  <sheetData>
    <row r="1" spans="1:21" s="2" customFormat="1" ht="29.1" customHeight="1" x14ac:dyDescent="0.2">
      <c r="A1" s="41" t="s">
        <v>1725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11</v>
      </c>
      <c r="E3" s="35" t="s">
        <v>4</v>
      </c>
      <c r="F3" s="35" t="s">
        <v>7</v>
      </c>
      <c r="G3" s="35" t="s">
        <v>12</v>
      </c>
      <c r="H3" s="35"/>
      <c r="I3" s="35"/>
      <c r="J3" s="35"/>
      <c r="K3" s="35" t="s">
        <v>13</v>
      </c>
      <c r="L3" s="35"/>
      <c r="M3" s="35"/>
      <c r="N3" s="35"/>
      <c r="O3" s="35" t="s">
        <v>14</v>
      </c>
      <c r="P3" s="35"/>
      <c r="Q3" s="35"/>
      <c r="R3" s="35"/>
      <c r="S3" s="35" t="s">
        <v>1</v>
      </c>
      <c r="T3" s="35" t="s">
        <v>3</v>
      </c>
      <c r="U3" s="37" t="s">
        <v>2</v>
      </c>
    </row>
    <row r="4" spans="1:21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6"/>
      <c r="T4" s="36"/>
      <c r="U4" s="38"/>
    </row>
    <row r="5" spans="1:21" ht="15" x14ac:dyDescent="0.2">
      <c r="A5" s="39" t="s">
        <v>201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 x14ac:dyDescent="0.2">
      <c r="A6" s="6" t="s">
        <v>377</v>
      </c>
      <c r="B6" s="6" t="s">
        <v>378</v>
      </c>
      <c r="C6" s="6" t="s">
        <v>379</v>
      </c>
      <c r="D6" s="6" t="str">
        <f>"0,6479"</f>
        <v>0,6479</v>
      </c>
      <c r="E6" s="6" t="s">
        <v>20</v>
      </c>
      <c r="F6" s="6" t="s">
        <v>33</v>
      </c>
      <c r="G6" s="7" t="s">
        <v>75</v>
      </c>
      <c r="H6" s="7" t="s">
        <v>48</v>
      </c>
      <c r="I6" s="7" t="s">
        <v>49</v>
      </c>
      <c r="J6" s="8"/>
      <c r="K6" s="7" t="s">
        <v>23</v>
      </c>
      <c r="L6" s="8" t="s">
        <v>380</v>
      </c>
      <c r="M6" s="7" t="s">
        <v>381</v>
      </c>
      <c r="N6" s="8"/>
      <c r="O6" s="7" t="s">
        <v>216</v>
      </c>
      <c r="P6" s="8" t="s">
        <v>150</v>
      </c>
      <c r="Q6" s="8" t="s">
        <v>150</v>
      </c>
      <c r="R6" s="8"/>
      <c r="S6" s="20" t="str">
        <f>"617,5"</f>
        <v>617,5</v>
      </c>
      <c r="T6" s="21" t="str">
        <f>"400,0782"</f>
        <v>400,0782</v>
      </c>
      <c r="U6" s="6" t="s">
        <v>382</v>
      </c>
    </row>
    <row r="8" spans="1:21" ht="15" x14ac:dyDescent="0.2">
      <c r="E8" s="18" t="s">
        <v>80</v>
      </c>
    </row>
    <row r="9" spans="1:21" ht="15" x14ac:dyDescent="0.2">
      <c r="E9" s="18" t="s">
        <v>81</v>
      </c>
    </row>
    <row r="10" spans="1:21" ht="15" x14ac:dyDescent="0.2">
      <c r="E10" s="18" t="s">
        <v>82</v>
      </c>
    </row>
    <row r="11" spans="1:21" ht="15" x14ac:dyDescent="0.2">
      <c r="E11" s="18" t="s">
        <v>83</v>
      </c>
    </row>
    <row r="12" spans="1:21" ht="15" x14ac:dyDescent="0.2">
      <c r="E12" s="18" t="s">
        <v>83</v>
      </c>
    </row>
    <row r="13" spans="1:21" ht="15" x14ac:dyDescent="0.2">
      <c r="E13" s="18" t="s">
        <v>84</v>
      </c>
    </row>
    <row r="14" spans="1:21" ht="15" x14ac:dyDescent="0.2">
      <c r="E14" s="18"/>
    </row>
    <row r="16" spans="1:21" ht="18" x14ac:dyDescent="0.25">
      <c r="A16" s="28" t="s">
        <v>85</v>
      </c>
      <c r="B16" s="28"/>
    </row>
    <row r="17" spans="1:5" ht="15" x14ac:dyDescent="0.2">
      <c r="A17" s="29" t="s">
        <v>97</v>
      </c>
      <c r="B17" s="29"/>
    </row>
    <row r="18" spans="1:5" ht="14.25" x14ac:dyDescent="0.2">
      <c r="A18" s="31"/>
      <c r="B18" s="32" t="s">
        <v>103</v>
      </c>
    </row>
    <row r="19" spans="1:5" ht="15" x14ac:dyDescent="0.2">
      <c r="A19" s="33" t="s">
        <v>88</v>
      </c>
      <c r="B19" s="33" t="s">
        <v>89</v>
      </c>
      <c r="C19" s="33" t="s">
        <v>90</v>
      </c>
      <c r="D19" s="33" t="s">
        <v>91</v>
      </c>
      <c r="E19" s="33" t="s">
        <v>92</v>
      </c>
    </row>
    <row r="20" spans="1:5" x14ac:dyDescent="0.2">
      <c r="A20" s="30" t="s">
        <v>376</v>
      </c>
      <c r="B20" s="4" t="s">
        <v>103</v>
      </c>
      <c r="C20" s="4" t="s">
        <v>248</v>
      </c>
      <c r="D20" s="4" t="s">
        <v>383</v>
      </c>
      <c r="E20" s="19" t="s">
        <v>384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workbookViewId="0">
      <selection activeCell="N30" sqref="N30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8.42578125" style="4" bestFit="1" customWidth="1"/>
    <col min="5" max="5" width="22.7109375" style="4" bestFit="1" customWidth="1"/>
    <col min="6" max="6" width="31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9" bestFit="1" customWidth="1"/>
    <col min="20" max="20" width="8.5703125" style="2" bestFit="1" customWidth="1"/>
    <col min="21" max="21" width="16.42578125" style="4" bestFit="1" customWidth="1"/>
    <col min="22" max="16384" width="9.140625" style="3"/>
  </cols>
  <sheetData>
    <row r="1" spans="1:21" s="2" customFormat="1" ht="29.1" customHeight="1" x14ac:dyDescent="0.2">
      <c r="A1" s="41" t="s">
        <v>1736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11</v>
      </c>
      <c r="E3" s="35" t="s">
        <v>4</v>
      </c>
      <c r="F3" s="35" t="s">
        <v>7</v>
      </c>
      <c r="G3" s="35" t="s">
        <v>12</v>
      </c>
      <c r="H3" s="35"/>
      <c r="I3" s="35"/>
      <c r="J3" s="35"/>
      <c r="K3" s="35" t="s">
        <v>13</v>
      </c>
      <c r="L3" s="35"/>
      <c r="M3" s="35"/>
      <c r="N3" s="35"/>
      <c r="O3" s="35" t="s">
        <v>14</v>
      </c>
      <c r="P3" s="35"/>
      <c r="Q3" s="35"/>
      <c r="R3" s="35"/>
      <c r="S3" s="35" t="s">
        <v>1</v>
      </c>
      <c r="T3" s="35" t="s">
        <v>3</v>
      </c>
      <c r="U3" s="37" t="s">
        <v>2</v>
      </c>
    </row>
    <row r="4" spans="1:21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6"/>
      <c r="T4" s="36"/>
      <c r="U4" s="38"/>
    </row>
    <row r="5" spans="1:21" ht="15" x14ac:dyDescent="0.2">
      <c r="A5" s="39" t="s">
        <v>15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 x14ac:dyDescent="0.2">
      <c r="A6" s="6" t="s">
        <v>171</v>
      </c>
      <c r="B6" s="6" t="s">
        <v>172</v>
      </c>
      <c r="C6" s="6" t="s">
        <v>173</v>
      </c>
      <c r="D6" s="6" t="str">
        <f>"1,0601"</f>
        <v>1,0601</v>
      </c>
      <c r="E6" s="6" t="s">
        <v>20</v>
      </c>
      <c r="F6" s="6" t="s">
        <v>174</v>
      </c>
      <c r="G6" s="8" t="s">
        <v>22</v>
      </c>
      <c r="H6" s="8" t="s">
        <v>23</v>
      </c>
      <c r="I6" s="7" t="s">
        <v>23</v>
      </c>
      <c r="J6" s="8"/>
      <c r="K6" s="7" t="s">
        <v>175</v>
      </c>
      <c r="L6" s="7" t="s">
        <v>116</v>
      </c>
      <c r="M6" s="8" t="s">
        <v>176</v>
      </c>
      <c r="N6" s="8"/>
      <c r="O6" s="7" t="s">
        <v>36</v>
      </c>
      <c r="P6" s="7" t="s">
        <v>177</v>
      </c>
      <c r="Q6" s="8"/>
      <c r="R6" s="8"/>
      <c r="S6" s="20" t="str">
        <f>"337,5"</f>
        <v>337,5</v>
      </c>
      <c r="T6" s="21" t="str">
        <f>"357,7837"</f>
        <v>357,7837</v>
      </c>
      <c r="U6" s="6" t="s">
        <v>178</v>
      </c>
    </row>
    <row r="8" spans="1:21" ht="15" x14ac:dyDescent="0.2">
      <c r="A8" s="34" t="s">
        <v>29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21" x14ac:dyDescent="0.2">
      <c r="A9" s="6" t="s">
        <v>180</v>
      </c>
      <c r="B9" s="6" t="s">
        <v>181</v>
      </c>
      <c r="C9" s="6" t="s">
        <v>182</v>
      </c>
      <c r="D9" s="6" t="str">
        <f>"0,9689"</f>
        <v>0,9689</v>
      </c>
      <c r="E9" s="6" t="s">
        <v>20</v>
      </c>
      <c r="F9" s="6" t="s">
        <v>33</v>
      </c>
      <c r="G9" s="7" t="s">
        <v>27</v>
      </c>
      <c r="H9" s="7" t="s">
        <v>36</v>
      </c>
      <c r="I9" s="7" t="s">
        <v>38</v>
      </c>
      <c r="J9" s="8"/>
      <c r="K9" s="7" t="s">
        <v>115</v>
      </c>
      <c r="L9" s="7" t="s">
        <v>175</v>
      </c>
      <c r="M9" s="8" t="s">
        <v>183</v>
      </c>
      <c r="N9" s="8"/>
      <c r="O9" s="7" t="s">
        <v>22</v>
      </c>
      <c r="P9" s="7" t="s">
        <v>129</v>
      </c>
      <c r="Q9" s="7" t="s">
        <v>184</v>
      </c>
      <c r="R9" s="8"/>
      <c r="S9" s="20" t="str">
        <f>"327,5"</f>
        <v>327,5</v>
      </c>
      <c r="T9" s="21" t="str">
        <f>"330,9593"</f>
        <v>330,9593</v>
      </c>
      <c r="U9" s="6" t="s">
        <v>28</v>
      </c>
    </row>
    <row r="11" spans="1:21" ht="15" x14ac:dyDescent="0.2">
      <c r="A11" s="34" t="s">
        <v>41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21" x14ac:dyDescent="0.2">
      <c r="A12" s="9" t="s">
        <v>186</v>
      </c>
      <c r="B12" s="9" t="s">
        <v>187</v>
      </c>
      <c r="C12" s="9" t="s">
        <v>188</v>
      </c>
      <c r="D12" s="9" t="str">
        <f>"0,6795"</f>
        <v>0,6795</v>
      </c>
      <c r="E12" s="9" t="s">
        <v>20</v>
      </c>
      <c r="F12" s="9" t="s">
        <v>189</v>
      </c>
      <c r="G12" s="11" t="s">
        <v>190</v>
      </c>
      <c r="H12" s="10" t="s">
        <v>190</v>
      </c>
      <c r="I12" s="11" t="s">
        <v>23</v>
      </c>
      <c r="J12" s="11"/>
      <c r="K12" s="10" t="s">
        <v>36</v>
      </c>
      <c r="L12" s="10" t="s">
        <v>38</v>
      </c>
      <c r="M12" s="11" t="s">
        <v>190</v>
      </c>
      <c r="N12" s="11"/>
      <c r="O12" s="10" t="s">
        <v>23</v>
      </c>
      <c r="P12" s="10" t="s">
        <v>50</v>
      </c>
      <c r="Q12" s="11" t="s">
        <v>191</v>
      </c>
      <c r="R12" s="11"/>
      <c r="S12" s="22" t="str">
        <f>"415,0"</f>
        <v>415,0</v>
      </c>
      <c r="T12" s="23" t="str">
        <f>"281,9925"</f>
        <v>281,9925</v>
      </c>
      <c r="U12" s="9" t="s">
        <v>192</v>
      </c>
    </row>
    <row r="13" spans="1:21" x14ac:dyDescent="0.2">
      <c r="A13" s="15" t="s">
        <v>194</v>
      </c>
      <c r="B13" s="15" t="s">
        <v>195</v>
      </c>
      <c r="C13" s="15" t="s">
        <v>196</v>
      </c>
      <c r="D13" s="15" t="str">
        <f>"0,6987"</f>
        <v>0,6987</v>
      </c>
      <c r="E13" s="15" t="s">
        <v>20</v>
      </c>
      <c r="F13" s="15" t="s">
        <v>33</v>
      </c>
      <c r="G13" s="16" t="s">
        <v>141</v>
      </c>
      <c r="H13" s="17" t="s">
        <v>197</v>
      </c>
      <c r="I13" s="17" t="s">
        <v>198</v>
      </c>
      <c r="J13" s="17"/>
      <c r="K13" s="16" t="s">
        <v>129</v>
      </c>
      <c r="L13" s="16" t="s">
        <v>199</v>
      </c>
      <c r="M13" s="17" t="s">
        <v>24</v>
      </c>
      <c r="N13" s="17"/>
      <c r="O13" s="16" t="s">
        <v>200</v>
      </c>
      <c r="P13" s="16" t="s">
        <v>75</v>
      </c>
      <c r="Q13" s="16" t="s">
        <v>51</v>
      </c>
      <c r="R13" s="17"/>
      <c r="S13" s="26" t="str">
        <f>"620,0"</f>
        <v>620,0</v>
      </c>
      <c r="T13" s="27" t="str">
        <f>"433,1940"</f>
        <v>433,1940</v>
      </c>
      <c r="U13" s="15" t="s">
        <v>28</v>
      </c>
    </row>
    <row r="15" spans="1:21" ht="15" x14ac:dyDescent="0.2">
      <c r="A15" s="34" t="s">
        <v>201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21" x14ac:dyDescent="0.2">
      <c r="A16" s="9" t="s">
        <v>203</v>
      </c>
      <c r="B16" s="9" t="s">
        <v>204</v>
      </c>
      <c r="C16" s="9" t="s">
        <v>205</v>
      </c>
      <c r="D16" s="9" t="str">
        <f>"0,6410"</f>
        <v>0,6410</v>
      </c>
      <c r="E16" s="9" t="s">
        <v>20</v>
      </c>
      <c r="F16" s="9" t="s">
        <v>206</v>
      </c>
      <c r="G16" s="10" t="s">
        <v>127</v>
      </c>
      <c r="H16" s="10" t="s">
        <v>39</v>
      </c>
      <c r="I16" s="11"/>
      <c r="J16" s="11"/>
      <c r="K16" s="10" t="s">
        <v>207</v>
      </c>
      <c r="L16" s="11" t="s">
        <v>208</v>
      </c>
      <c r="M16" s="11" t="s">
        <v>208</v>
      </c>
      <c r="N16" s="11"/>
      <c r="O16" s="10" t="s">
        <v>48</v>
      </c>
      <c r="P16" s="11" t="s">
        <v>49</v>
      </c>
      <c r="Q16" s="11"/>
      <c r="R16" s="11"/>
      <c r="S16" s="22" t="str">
        <f>"565,0"</f>
        <v>565,0</v>
      </c>
      <c r="T16" s="23" t="str">
        <f>"362,1650"</f>
        <v>362,1650</v>
      </c>
      <c r="U16" s="9" t="s">
        <v>209</v>
      </c>
    </row>
    <row r="17" spans="1:21" x14ac:dyDescent="0.2">
      <c r="A17" s="12" t="s">
        <v>211</v>
      </c>
      <c r="B17" s="12" t="s">
        <v>212</v>
      </c>
      <c r="C17" s="12" t="s">
        <v>213</v>
      </c>
      <c r="D17" s="12" t="str">
        <f>"0,6467"</f>
        <v>0,6467</v>
      </c>
      <c r="E17" s="12" t="s">
        <v>20</v>
      </c>
      <c r="F17" s="12" t="s">
        <v>214</v>
      </c>
      <c r="G17" s="14" t="s">
        <v>127</v>
      </c>
      <c r="H17" s="13" t="s">
        <v>215</v>
      </c>
      <c r="I17" s="14" t="s">
        <v>216</v>
      </c>
      <c r="J17" s="13"/>
      <c r="K17" s="14" t="s">
        <v>217</v>
      </c>
      <c r="L17" s="13" t="s">
        <v>38</v>
      </c>
      <c r="M17" s="13" t="s">
        <v>38</v>
      </c>
      <c r="N17" s="13"/>
      <c r="O17" s="14" t="s">
        <v>39</v>
      </c>
      <c r="P17" s="14" t="s">
        <v>200</v>
      </c>
      <c r="Q17" s="13" t="s">
        <v>218</v>
      </c>
      <c r="R17" s="13"/>
      <c r="S17" s="24" t="str">
        <f>"532,5"</f>
        <v>532,5</v>
      </c>
      <c r="T17" s="25" t="str">
        <f>"351,2551"</f>
        <v>351,2551</v>
      </c>
      <c r="U17" s="12" t="s">
        <v>40</v>
      </c>
    </row>
    <row r="18" spans="1:21" x14ac:dyDescent="0.2">
      <c r="A18" s="15" t="s">
        <v>219</v>
      </c>
      <c r="B18" s="15" t="s">
        <v>220</v>
      </c>
      <c r="C18" s="15" t="s">
        <v>221</v>
      </c>
      <c r="D18" s="15" t="str">
        <f>"0,6471"</f>
        <v>0,6471</v>
      </c>
      <c r="E18" s="15" t="s">
        <v>20</v>
      </c>
      <c r="F18" s="15" t="s">
        <v>33</v>
      </c>
      <c r="G18" s="17" t="s">
        <v>48</v>
      </c>
      <c r="H18" s="17" t="s">
        <v>48</v>
      </c>
      <c r="I18" s="17" t="s">
        <v>51</v>
      </c>
      <c r="J18" s="17"/>
      <c r="K18" s="17" t="s">
        <v>129</v>
      </c>
      <c r="L18" s="17"/>
      <c r="M18" s="17"/>
      <c r="N18" s="17"/>
      <c r="O18" s="17" t="s">
        <v>48</v>
      </c>
      <c r="P18" s="17"/>
      <c r="Q18" s="17"/>
      <c r="R18" s="17"/>
      <c r="S18" s="26" t="str">
        <f>"0.00"</f>
        <v>0.00</v>
      </c>
      <c r="T18" s="27" t="str">
        <f>"0,0000"</f>
        <v>0,0000</v>
      </c>
      <c r="U18" s="15" t="s">
        <v>222</v>
      </c>
    </row>
    <row r="20" spans="1:21" ht="15" x14ac:dyDescent="0.2">
      <c r="A20" s="34" t="s">
        <v>223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21" x14ac:dyDescent="0.2">
      <c r="A21" s="9" t="s">
        <v>225</v>
      </c>
      <c r="B21" s="9" t="s">
        <v>226</v>
      </c>
      <c r="C21" s="9" t="s">
        <v>227</v>
      </c>
      <c r="D21" s="9" t="str">
        <f>"0,5782"</f>
        <v>0,5782</v>
      </c>
      <c r="E21" s="9" t="s">
        <v>20</v>
      </c>
      <c r="F21" s="9" t="s">
        <v>228</v>
      </c>
      <c r="G21" s="11" t="s">
        <v>62</v>
      </c>
      <c r="H21" s="10" t="s">
        <v>62</v>
      </c>
      <c r="I21" s="10" t="s">
        <v>229</v>
      </c>
      <c r="J21" s="11"/>
      <c r="K21" s="10" t="s">
        <v>34</v>
      </c>
      <c r="L21" s="10" t="s">
        <v>61</v>
      </c>
      <c r="M21" s="11" t="s">
        <v>127</v>
      </c>
      <c r="N21" s="11"/>
      <c r="O21" s="10" t="s">
        <v>48</v>
      </c>
      <c r="P21" s="10" t="s">
        <v>62</v>
      </c>
      <c r="Q21" s="10" t="s">
        <v>230</v>
      </c>
      <c r="R21" s="11"/>
      <c r="S21" s="22" t="str">
        <f>"750,0"</f>
        <v>750,0</v>
      </c>
      <c r="T21" s="23" t="str">
        <f>"433,6500"</f>
        <v>433,6500</v>
      </c>
      <c r="U21" s="9" t="s">
        <v>231</v>
      </c>
    </row>
    <row r="22" spans="1:21" x14ac:dyDescent="0.2">
      <c r="A22" s="15" t="s">
        <v>225</v>
      </c>
      <c r="B22" s="15" t="s">
        <v>232</v>
      </c>
      <c r="C22" s="15" t="s">
        <v>227</v>
      </c>
      <c r="D22" s="15" t="str">
        <f>"0,5782"</f>
        <v>0,5782</v>
      </c>
      <c r="E22" s="15" t="s">
        <v>20</v>
      </c>
      <c r="F22" s="15" t="s">
        <v>228</v>
      </c>
      <c r="G22" s="17" t="s">
        <v>62</v>
      </c>
      <c r="H22" s="16" t="s">
        <v>62</v>
      </c>
      <c r="I22" s="16" t="s">
        <v>229</v>
      </c>
      <c r="J22" s="17"/>
      <c r="K22" s="16" t="s">
        <v>34</v>
      </c>
      <c r="L22" s="16" t="s">
        <v>61</v>
      </c>
      <c r="M22" s="17" t="s">
        <v>127</v>
      </c>
      <c r="N22" s="17"/>
      <c r="O22" s="16" t="s">
        <v>48</v>
      </c>
      <c r="P22" s="16" t="s">
        <v>62</v>
      </c>
      <c r="Q22" s="16" t="s">
        <v>230</v>
      </c>
      <c r="R22" s="17"/>
      <c r="S22" s="26" t="str">
        <f>"750,0"</f>
        <v>750,0</v>
      </c>
      <c r="T22" s="27" t="str">
        <f>"442,3230"</f>
        <v>442,3230</v>
      </c>
      <c r="U22" s="15" t="s">
        <v>231</v>
      </c>
    </row>
    <row r="24" spans="1:21" ht="15" x14ac:dyDescent="0.2">
      <c r="A24" s="34" t="s">
        <v>233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21" x14ac:dyDescent="0.2">
      <c r="A25" s="6" t="s">
        <v>235</v>
      </c>
      <c r="B25" s="6" t="s">
        <v>236</v>
      </c>
      <c r="C25" s="6" t="s">
        <v>237</v>
      </c>
      <c r="D25" s="6" t="str">
        <f>"0,5438"</f>
        <v>0,5438</v>
      </c>
      <c r="E25" s="6" t="s">
        <v>20</v>
      </c>
      <c r="F25" s="6" t="s">
        <v>33</v>
      </c>
      <c r="G25" s="7" t="s">
        <v>48</v>
      </c>
      <c r="H25" s="8" t="s">
        <v>62</v>
      </c>
      <c r="I25" s="8"/>
      <c r="J25" s="8"/>
      <c r="K25" s="7" t="s">
        <v>37</v>
      </c>
      <c r="L25" s="7" t="s">
        <v>177</v>
      </c>
      <c r="M25" s="8" t="s">
        <v>190</v>
      </c>
      <c r="N25" s="8"/>
      <c r="O25" s="7" t="s">
        <v>141</v>
      </c>
      <c r="P25" s="7" t="s">
        <v>47</v>
      </c>
      <c r="Q25" s="8" t="s">
        <v>238</v>
      </c>
      <c r="R25" s="8"/>
      <c r="S25" s="20" t="str">
        <f>"597,5"</f>
        <v>597,5</v>
      </c>
      <c r="T25" s="21" t="str">
        <f>"324,9205"</f>
        <v>324,9205</v>
      </c>
      <c r="U25" s="6" t="s">
        <v>239</v>
      </c>
    </row>
    <row r="27" spans="1:21" ht="15" x14ac:dyDescent="0.2">
      <c r="E27" s="18" t="s">
        <v>80</v>
      </c>
    </row>
    <row r="28" spans="1:21" ht="15" x14ac:dyDescent="0.2">
      <c r="E28" s="18" t="s">
        <v>81</v>
      </c>
    </row>
    <row r="29" spans="1:21" ht="15" x14ac:dyDescent="0.2">
      <c r="E29" s="18" t="s">
        <v>82</v>
      </c>
    </row>
    <row r="30" spans="1:21" ht="15" x14ac:dyDescent="0.2">
      <c r="E30" s="18" t="s">
        <v>83</v>
      </c>
    </row>
    <row r="31" spans="1:21" ht="15" x14ac:dyDescent="0.2">
      <c r="E31" s="18" t="s">
        <v>83</v>
      </c>
    </row>
    <row r="32" spans="1:21" ht="15" x14ac:dyDescent="0.2">
      <c r="E32" s="18" t="s">
        <v>84</v>
      </c>
    </row>
    <row r="33" spans="1:5" ht="15" x14ac:dyDescent="0.2">
      <c r="E33" s="18"/>
    </row>
    <row r="35" spans="1:5" ht="18" x14ac:dyDescent="0.25">
      <c r="A35" s="28" t="s">
        <v>85</v>
      </c>
      <c r="B35" s="28"/>
    </row>
    <row r="36" spans="1:5" ht="15" x14ac:dyDescent="0.2">
      <c r="A36" s="29" t="s">
        <v>86</v>
      </c>
      <c r="B36" s="29"/>
    </row>
    <row r="37" spans="1:5" ht="14.25" x14ac:dyDescent="0.2">
      <c r="A37" s="31"/>
      <c r="B37" s="32" t="s">
        <v>103</v>
      </c>
    </row>
    <row r="38" spans="1:5" ht="15" x14ac:dyDescent="0.2">
      <c r="A38" s="33" t="s">
        <v>88</v>
      </c>
      <c r="B38" s="33" t="s">
        <v>89</v>
      </c>
      <c r="C38" s="33" t="s">
        <v>90</v>
      </c>
      <c r="D38" s="33" t="s">
        <v>91</v>
      </c>
      <c r="E38" s="33" t="s">
        <v>92</v>
      </c>
    </row>
    <row r="39" spans="1:5" x14ac:dyDescent="0.2">
      <c r="A39" s="30" t="s">
        <v>170</v>
      </c>
      <c r="B39" s="4" t="s">
        <v>103</v>
      </c>
      <c r="C39" s="4" t="s">
        <v>94</v>
      </c>
      <c r="D39" s="4" t="s">
        <v>240</v>
      </c>
      <c r="E39" s="19" t="s">
        <v>241</v>
      </c>
    </row>
    <row r="41" spans="1:5" ht="14.25" x14ac:dyDescent="0.2">
      <c r="A41" s="31"/>
      <c r="B41" s="32" t="s">
        <v>87</v>
      </c>
    </row>
    <row r="42" spans="1:5" ht="15" x14ac:dyDescent="0.2">
      <c r="A42" s="33" t="s">
        <v>88</v>
      </c>
      <c r="B42" s="33" t="s">
        <v>89</v>
      </c>
      <c r="C42" s="33" t="s">
        <v>90</v>
      </c>
      <c r="D42" s="33" t="s">
        <v>91</v>
      </c>
      <c r="E42" s="33" t="s">
        <v>92</v>
      </c>
    </row>
    <row r="43" spans="1:5" x14ac:dyDescent="0.2">
      <c r="A43" s="30" t="s">
        <v>179</v>
      </c>
      <c r="B43" s="4" t="s">
        <v>109</v>
      </c>
      <c r="C43" s="4" t="s">
        <v>242</v>
      </c>
      <c r="D43" s="4" t="s">
        <v>243</v>
      </c>
      <c r="E43" s="19" t="s">
        <v>244</v>
      </c>
    </row>
    <row r="46" spans="1:5" ht="15" x14ac:dyDescent="0.2">
      <c r="A46" s="29" t="s">
        <v>97</v>
      </c>
      <c r="B46" s="29"/>
    </row>
    <row r="47" spans="1:5" ht="14.25" x14ac:dyDescent="0.2">
      <c r="A47" s="31"/>
      <c r="B47" s="32" t="s">
        <v>148</v>
      </c>
    </row>
    <row r="48" spans="1:5" ht="15" x14ac:dyDescent="0.2">
      <c r="A48" s="33" t="s">
        <v>88</v>
      </c>
      <c r="B48" s="33" t="s">
        <v>89</v>
      </c>
      <c r="C48" s="33" t="s">
        <v>90</v>
      </c>
      <c r="D48" s="33" t="s">
        <v>91</v>
      </c>
      <c r="E48" s="33" t="s">
        <v>92</v>
      </c>
    </row>
    <row r="49" spans="1:5" x14ac:dyDescent="0.2">
      <c r="A49" s="30" t="s">
        <v>234</v>
      </c>
      <c r="B49" s="4" t="s">
        <v>149</v>
      </c>
      <c r="C49" s="4" t="s">
        <v>245</v>
      </c>
      <c r="D49" s="4" t="s">
        <v>246</v>
      </c>
      <c r="E49" s="19" t="s">
        <v>247</v>
      </c>
    </row>
    <row r="51" spans="1:5" ht="14.25" x14ac:dyDescent="0.2">
      <c r="A51" s="31"/>
      <c r="B51" s="32" t="s">
        <v>98</v>
      </c>
    </row>
    <row r="52" spans="1:5" ht="15" x14ac:dyDescent="0.2">
      <c r="A52" s="33" t="s">
        <v>88</v>
      </c>
      <c r="B52" s="33" t="s">
        <v>89</v>
      </c>
      <c r="C52" s="33" t="s">
        <v>90</v>
      </c>
      <c r="D52" s="33" t="s">
        <v>91</v>
      </c>
      <c r="E52" s="33" t="s">
        <v>92</v>
      </c>
    </row>
    <row r="53" spans="1:5" x14ac:dyDescent="0.2">
      <c r="A53" s="30" t="s">
        <v>202</v>
      </c>
      <c r="B53" s="4" t="s">
        <v>99</v>
      </c>
      <c r="C53" s="4" t="s">
        <v>248</v>
      </c>
      <c r="D53" s="4" t="s">
        <v>249</v>
      </c>
      <c r="E53" s="19" t="s">
        <v>250</v>
      </c>
    </row>
    <row r="54" spans="1:5" x14ac:dyDescent="0.2">
      <c r="A54" s="30" t="s">
        <v>185</v>
      </c>
      <c r="B54" s="4" t="s">
        <v>99</v>
      </c>
      <c r="C54" s="4" t="s">
        <v>100</v>
      </c>
      <c r="D54" s="4" t="s">
        <v>251</v>
      </c>
      <c r="E54" s="19" t="s">
        <v>252</v>
      </c>
    </row>
    <row r="56" spans="1:5" ht="14.25" x14ac:dyDescent="0.2">
      <c r="A56" s="31"/>
      <c r="B56" s="32" t="s">
        <v>103</v>
      </c>
    </row>
    <row r="57" spans="1:5" ht="15" x14ac:dyDescent="0.2">
      <c r="A57" s="33" t="s">
        <v>88</v>
      </c>
      <c r="B57" s="33" t="s">
        <v>89</v>
      </c>
      <c r="C57" s="33" t="s">
        <v>90</v>
      </c>
      <c r="D57" s="33" t="s">
        <v>91</v>
      </c>
      <c r="E57" s="33" t="s">
        <v>92</v>
      </c>
    </row>
    <row r="58" spans="1:5" x14ac:dyDescent="0.2">
      <c r="A58" s="30" t="s">
        <v>224</v>
      </c>
      <c r="B58" s="4" t="s">
        <v>103</v>
      </c>
      <c r="C58" s="4" t="s">
        <v>253</v>
      </c>
      <c r="D58" s="4" t="s">
        <v>254</v>
      </c>
      <c r="E58" s="19" t="s">
        <v>255</v>
      </c>
    </row>
    <row r="59" spans="1:5" x14ac:dyDescent="0.2">
      <c r="A59" s="30" t="s">
        <v>193</v>
      </c>
      <c r="B59" s="4" t="s">
        <v>103</v>
      </c>
      <c r="C59" s="4" t="s">
        <v>100</v>
      </c>
      <c r="D59" s="4" t="s">
        <v>256</v>
      </c>
      <c r="E59" s="19" t="s">
        <v>257</v>
      </c>
    </row>
    <row r="61" spans="1:5" ht="14.25" x14ac:dyDescent="0.2">
      <c r="A61" s="31"/>
      <c r="B61" s="32" t="s">
        <v>87</v>
      </c>
    </row>
    <row r="62" spans="1:5" ht="15" x14ac:dyDescent="0.2">
      <c r="A62" s="33" t="s">
        <v>88</v>
      </c>
      <c r="B62" s="33" t="s">
        <v>89</v>
      </c>
      <c r="C62" s="33" t="s">
        <v>90</v>
      </c>
      <c r="D62" s="33" t="s">
        <v>91</v>
      </c>
      <c r="E62" s="33" t="s">
        <v>92</v>
      </c>
    </row>
    <row r="63" spans="1:5" x14ac:dyDescent="0.2">
      <c r="A63" s="30" t="s">
        <v>224</v>
      </c>
      <c r="B63" s="4" t="s">
        <v>109</v>
      </c>
      <c r="C63" s="4" t="s">
        <v>253</v>
      </c>
      <c r="D63" s="4" t="s">
        <v>254</v>
      </c>
      <c r="E63" s="19" t="s">
        <v>258</v>
      </c>
    </row>
    <row r="64" spans="1:5" x14ac:dyDescent="0.2">
      <c r="A64" s="30" t="s">
        <v>210</v>
      </c>
      <c r="B64" s="4" t="s">
        <v>109</v>
      </c>
      <c r="C64" s="4" t="s">
        <v>248</v>
      </c>
      <c r="D64" s="4" t="s">
        <v>259</v>
      </c>
      <c r="E64" s="19" t="s">
        <v>260</v>
      </c>
    </row>
  </sheetData>
  <mergeCells count="19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5:R15"/>
    <mergeCell ref="A20:R20"/>
    <mergeCell ref="A24:R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workbookViewId="0">
      <selection activeCell="X5" sqref="X5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8.42578125" style="4" bestFit="1" customWidth="1"/>
    <col min="5" max="5" width="22.7109375" style="4" bestFit="1" customWidth="1"/>
    <col min="6" max="6" width="29.1406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8" width="5.5703125" style="3" customWidth="1"/>
    <col min="19" max="19" width="7.85546875" style="19" bestFit="1" customWidth="1"/>
    <col min="20" max="20" width="8.5703125" style="2" bestFit="1" customWidth="1"/>
    <col min="21" max="21" width="15" style="4" bestFit="1" customWidth="1"/>
    <col min="22" max="16384" width="9.140625" style="3"/>
  </cols>
  <sheetData>
    <row r="1" spans="1:21" s="2" customFormat="1" ht="29.1" customHeight="1" x14ac:dyDescent="0.2">
      <c r="A1" s="41" t="s">
        <v>1737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11</v>
      </c>
      <c r="E3" s="35" t="s">
        <v>4</v>
      </c>
      <c r="F3" s="35" t="s">
        <v>7</v>
      </c>
      <c r="G3" s="35" t="s">
        <v>12</v>
      </c>
      <c r="H3" s="35"/>
      <c r="I3" s="35"/>
      <c r="J3" s="35"/>
      <c r="K3" s="35" t="s">
        <v>13</v>
      </c>
      <c r="L3" s="35"/>
      <c r="M3" s="35"/>
      <c r="N3" s="35"/>
      <c r="O3" s="35" t="s">
        <v>14</v>
      </c>
      <c r="P3" s="35"/>
      <c r="Q3" s="35"/>
      <c r="R3" s="35"/>
      <c r="S3" s="35" t="s">
        <v>1</v>
      </c>
      <c r="T3" s="35" t="s">
        <v>3</v>
      </c>
      <c r="U3" s="37" t="s">
        <v>2</v>
      </c>
    </row>
    <row r="4" spans="1:21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6"/>
      <c r="T4" s="36"/>
      <c r="U4" s="38"/>
    </row>
    <row r="5" spans="1:21" ht="15" x14ac:dyDescent="0.2">
      <c r="A5" s="39" t="s">
        <v>261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 x14ac:dyDescent="0.2">
      <c r="A6" s="6" t="s">
        <v>263</v>
      </c>
      <c r="B6" s="6" t="s">
        <v>264</v>
      </c>
      <c r="C6" s="6" t="s">
        <v>265</v>
      </c>
      <c r="D6" s="6" t="str">
        <f>"1,3449"</f>
        <v>1,3449</v>
      </c>
      <c r="E6" s="6" t="s">
        <v>20</v>
      </c>
      <c r="F6" s="6" t="s">
        <v>33</v>
      </c>
      <c r="G6" s="7" t="s">
        <v>176</v>
      </c>
      <c r="H6" s="7" t="s">
        <v>117</v>
      </c>
      <c r="I6" s="7" t="s">
        <v>266</v>
      </c>
      <c r="J6" s="8"/>
      <c r="K6" s="7" t="s">
        <v>267</v>
      </c>
      <c r="L6" s="7" t="s">
        <v>120</v>
      </c>
      <c r="M6" s="8" t="s">
        <v>268</v>
      </c>
      <c r="N6" s="8"/>
      <c r="O6" s="7" t="s">
        <v>117</v>
      </c>
      <c r="P6" s="7" t="s">
        <v>269</v>
      </c>
      <c r="Q6" s="8" t="s">
        <v>270</v>
      </c>
      <c r="R6" s="8"/>
      <c r="S6" s="20" t="str">
        <f>"210,0"</f>
        <v>210,0</v>
      </c>
      <c r="T6" s="21" t="str">
        <f>"294,5734"</f>
        <v>294,5734</v>
      </c>
      <c r="U6" s="6" t="s">
        <v>271</v>
      </c>
    </row>
    <row r="8" spans="1:21" ht="15" x14ac:dyDescent="0.2">
      <c r="A8" s="34" t="s">
        <v>272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21" x14ac:dyDescent="0.2">
      <c r="A9" s="6" t="s">
        <v>274</v>
      </c>
      <c r="B9" s="6" t="s">
        <v>275</v>
      </c>
      <c r="C9" s="6" t="s">
        <v>276</v>
      </c>
      <c r="D9" s="6" t="str">
        <f>"1,1783"</f>
        <v>1,1783</v>
      </c>
      <c r="E9" s="6" t="s">
        <v>20</v>
      </c>
      <c r="F9" s="6" t="s">
        <v>33</v>
      </c>
      <c r="G9" s="7" t="s">
        <v>36</v>
      </c>
      <c r="H9" s="8" t="s">
        <v>37</v>
      </c>
      <c r="I9" s="8" t="s">
        <v>38</v>
      </c>
      <c r="J9" s="8"/>
      <c r="K9" s="7" t="s">
        <v>175</v>
      </c>
      <c r="L9" s="7" t="s">
        <v>183</v>
      </c>
      <c r="M9" s="8" t="s">
        <v>116</v>
      </c>
      <c r="N9" s="8"/>
      <c r="O9" s="7" t="s">
        <v>277</v>
      </c>
      <c r="P9" s="7" t="s">
        <v>27</v>
      </c>
      <c r="Q9" s="7" t="s">
        <v>278</v>
      </c>
      <c r="R9" s="8"/>
      <c r="S9" s="20" t="str">
        <f>"277,5"</f>
        <v>277,5</v>
      </c>
      <c r="T9" s="21" t="str">
        <f>"326,9783"</f>
        <v>326,9783</v>
      </c>
      <c r="U9" s="6" t="s">
        <v>279</v>
      </c>
    </row>
    <row r="11" spans="1:21" ht="15" x14ac:dyDescent="0.2">
      <c r="A11" s="34" t="s">
        <v>280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21" x14ac:dyDescent="0.2">
      <c r="A12" s="6" t="s">
        <v>282</v>
      </c>
      <c r="B12" s="6" t="s">
        <v>283</v>
      </c>
      <c r="C12" s="6" t="s">
        <v>284</v>
      </c>
      <c r="D12" s="6" t="str">
        <f>"1,1266"</f>
        <v>1,1266</v>
      </c>
      <c r="E12" s="6" t="s">
        <v>20</v>
      </c>
      <c r="F12" s="6" t="s">
        <v>33</v>
      </c>
      <c r="G12" s="7" t="s">
        <v>285</v>
      </c>
      <c r="H12" s="7" t="s">
        <v>38</v>
      </c>
      <c r="I12" s="7" t="s">
        <v>207</v>
      </c>
      <c r="J12" s="8"/>
      <c r="K12" s="7" t="s">
        <v>286</v>
      </c>
      <c r="L12" s="7" t="s">
        <v>175</v>
      </c>
      <c r="M12" s="8" t="s">
        <v>183</v>
      </c>
      <c r="N12" s="8"/>
      <c r="O12" s="7" t="s">
        <v>36</v>
      </c>
      <c r="P12" s="7" t="s">
        <v>217</v>
      </c>
      <c r="Q12" s="8" t="s">
        <v>207</v>
      </c>
      <c r="R12" s="8"/>
      <c r="S12" s="20" t="str">
        <f>"302,5"</f>
        <v>302,5</v>
      </c>
      <c r="T12" s="21" t="str">
        <f>"410,3190"</f>
        <v>410,3190</v>
      </c>
      <c r="U12" s="6" t="s">
        <v>28</v>
      </c>
    </row>
    <row r="14" spans="1:21" ht="15" x14ac:dyDescent="0.2">
      <c r="A14" s="34" t="s">
        <v>15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21" x14ac:dyDescent="0.2">
      <c r="A15" s="9" t="s">
        <v>288</v>
      </c>
      <c r="B15" s="9" t="s">
        <v>289</v>
      </c>
      <c r="C15" s="9" t="s">
        <v>290</v>
      </c>
      <c r="D15" s="9" t="str">
        <f>"1,0564"</f>
        <v>1,0564</v>
      </c>
      <c r="E15" s="9" t="s">
        <v>20</v>
      </c>
      <c r="F15" s="9" t="s">
        <v>33</v>
      </c>
      <c r="G15" s="10" t="s">
        <v>25</v>
      </c>
      <c r="H15" s="10" t="s">
        <v>291</v>
      </c>
      <c r="I15" s="10" t="s">
        <v>26</v>
      </c>
      <c r="J15" s="11"/>
      <c r="K15" s="10" t="s">
        <v>120</v>
      </c>
      <c r="L15" s="10" t="s">
        <v>268</v>
      </c>
      <c r="M15" s="10" t="s">
        <v>292</v>
      </c>
      <c r="N15" s="11"/>
      <c r="O15" s="10" t="s">
        <v>27</v>
      </c>
      <c r="P15" s="10" t="s">
        <v>278</v>
      </c>
      <c r="Q15" s="10" t="s">
        <v>36</v>
      </c>
      <c r="R15" s="11"/>
      <c r="S15" s="22" t="str">
        <f>"250,0"</f>
        <v>250,0</v>
      </c>
      <c r="T15" s="23" t="str">
        <f>"264,1000"</f>
        <v>264,1000</v>
      </c>
      <c r="U15" s="9" t="s">
        <v>293</v>
      </c>
    </row>
    <row r="16" spans="1:21" x14ac:dyDescent="0.2">
      <c r="A16" s="15" t="s">
        <v>295</v>
      </c>
      <c r="B16" s="15" t="s">
        <v>296</v>
      </c>
      <c r="C16" s="15" t="s">
        <v>297</v>
      </c>
      <c r="D16" s="15" t="str">
        <f>"1,0688"</f>
        <v>1,0688</v>
      </c>
      <c r="E16" s="15" t="s">
        <v>20</v>
      </c>
      <c r="F16" s="15" t="s">
        <v>33</v>
      </c>
      <c r="G16" s="16" t="s">
        <v>25</v>
      </c>
      <c r="H16" s="16" t="s">
        <v>26</v>
      </c>
      <c r="I16" s="17" t="s">
        <v>27</v>
      </c>
      <c r="J16" s="17"/>
      <c r="K16" s="16" t="s">
        <v>268</v>
      </c>
      <c r="L16" s="16" t="s">
        <v>298</v>
      </c>
      <c r="M16" s="16" t="s">
        <v>115</v>
      </c>
      <c r="N16" s="17"/>
      <c r="O16" s="16" t="s">
        <v>26</v>
      </c>
      <c r="P16" s="16" t="s">
        <v>27</v>
      </c>
      <c r="Q16" s="17" t="s">
        <v>36</v>
      </c>
      <c r="R16" s="17"/>
      <c r="S16" s="26" t="str">
        <f>"245,0"</f>
        <v>245,0</v>
      </c>
      <c r="T16" s="27" t="str">
        <f>"261,8560"</f>
        <v>261,8560</v>
      </c>
      <c r="U16" s="15" t="s">
        <v>299</v>
      </c>
    </row>
    <row r="18" spans="1:21" ht="15" x14ac:dyDescent="0.2">
      <c r="A18" s="34" t="s">
        <v>29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21" x14ac:dyDescent="0.2">
      <c r="A19" s="6" t="s">
        <v>301</v>
      </c>
      <c r="B19" s="6" t="s">
        <v>302</v>
      </c>
      <c r="C19" s="6" t="s">
        <v>303</v>
      </c>
      <c r="D19" s="6" t="str">
        <f>"0,9890"</f>
        <v>0,9890</v>
      </c>
      <c r="E19" s="6" t="s">
        <v>20</v>
      </c>
      <c r="F19" s="6" t="s">
        <v>304</v>
      </c>
      <c r="G19" s="7" t="s">
        <v>27</v>
      </c>
      <c r="H19" s="7" t="s">
        <v>305</v>
      </c>
      <c r="I19" s="7" t="s">
        <v>37</v>
      </c>
      <c r="J19" s="8"/>
      <c r="K19" s="7" t="s">
        <v>115</v>
      </c>
      <c r="L19" s="8" t="s">
        <v>175</v>
      </c>
      <c r="M19" s="8" t="s">
        <v>175</v>
      </c>
      <c r="N19" s="8"/>
      <c r="O19" s="7" t="s">
        <v>26</v>
      </c>
      <c r="P19" s="7" t="s">
        <v>27</v>
      </c>
      <c r="Q19" s="7" t="s">
        <v>305</v>
      </c>
      <c r="R19" s="8"/>
      <c r="S19" s="20" t="str">
        <f>"277,5"</f>
        <v>277,5</v>
      </c>
      <c r="T19" s="21" t="str">
        <f>"274,4475"</f>
        <v>274,4475</v>
      </c>
      <c r="U19" s="6" t="s">
        <v>306</v>
      </c>
    </row>
    <row r="21" spans="1:21" ht="15" x14ac:dyDescent="0.2">
      <c r="A21" s="34" t="s">
        <v>41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21" x14ac:dyDescent="0.2">
      <c r="A22" s="9" t="s">
        <v>308</v>
      </c>
      <c r="B22" s="9" t="s">
        <v>309</v>
      </c>
      <c r="C22" s="9" t="s">
        <v>310</v>
      </c>
      <c r="D22" s="9" t="str">
        <f>"0,6876"</f>
        <v>0,6876</v>
      </c>
      <c r="E22" s="9" t="s">
        <v>20</v>
      </c>
      <c r="F22" s="9" t="s">
        <v>311</v>
      </c>
      <c r="G22" s="10" t="s">
        <v>200</v>
      </c>
      <c r="H22" s="11" t="s">
        <v>74</v>
      </c>
      <c r="I22" s="10" t="s">
        <v>75</v>
      </c>
      <c r="J22" s="11"/>
      <c r="K22" s="10" t="s">
        <v>34</v>
      </c>
      <c r="L22" s="11" t="s">
        <v>61</v>
      </c>
      <c r="M22" s="11" t="s">
        <v>61</v>
      </c>
      <c r="N22" s="11"/>
      <c r="O22" s="10" t="s">
        <v>75</v>
      </c>
      <c r="P22" s="10" t="s">
        <v>49</v>
      </c>
      <c r="Q22" s="10" t="s">
        <v>62</v>
      </c>
      <c r="R22" s="10" t="s">
        <v>312</v>
      </c>
      <c r="S22" s="22" t="str">
        <f>"660,0"</f>
        <v>660,0</v>
      </c>
      <c r="T22" s="23" t="str">
        <f>"453,8160"</f>
        <v>453,8160</v>
      </c>
      <c r="U22" s="9" t="s">
        <v>28</v>
      </c>
    </row>
    <row r="23" spans="1:21" x14ac:dyDescent="0.2">
      <c r="A23" s="12" t="s">
        <v>314</v>
      </c>
      <c r="B23" s="12" t="s">
        <v>315</v>
      </c>
      <c r="C23" s="12" t="s">
        <v>316</v>
      </c>
      <c r="D23" s="12" t="str">
        <f>"0,6827"</f>
        <v>0,6827</v>
      </c>
      <c r="E23" s="12" t="s">
        <v>20</v>
      </c>
      <c r="F23" s="12" t="s">
        <v>33</v>
      </c>
      <c r="G23" s="13" t="s">
        <v>38</v>
      </c>
      <c r="H23" s="14" t="s">
        <v>38</v>
      </c>
      <c r="I23" s="14" t="s">
        <v>190</v>
      </c>
      <c r="J23" s="13"/>
      <c r="K23" s="14" t="s">
        <v>36</v>
      </c>
      <c r="L23" s="13" t="s">
        <v>37</v>
      </c>
      <c r="M23" s="13" t="s">
        <v>37</v>
      </c>
      <c r="N23" s="13"/>
      <c r="O23" s="14" t="s">
        <v>24</v>
      </c>
      <c r="P23" s="14" t="s">
        <v>34</v>
      </c>
      <c r="Q23" s="14" t="s">
        <v>317</v>
      </c>
      <c r="R23" s="13"/>
      <c r="S23" s="24" t="str">
        <f>"415,0"</f>
        <v>415,0</v>
      </c>
      <c r="T23" s="25" t="str">
        <f>"292,1034"</f>
        <v>292,1034</v>
      </c>
      <c r="U23" s="12" t="s">
        <v>318</v>
      </c>
    </row>
    <row r="24" spans="1:21" x14ac:dyDescent="0.2">
      <c r="A24" s="15" t="s">
        <v>320</v>
      </c>
      <c r="B24" s="15" t="s">
        <v>321</v>
      </c>
      <c r="C24" s="15" t="s">
        <v>45</v>
      </c>
      <c r="D24" s="15" t="str">
        <f>"0,6779"</f>
        <v>0,6779</v>
      </c>
      <c r="E24" s="15" t="s">
        <v>20</v>
      </c>
      <c r="F24" s="15" t="s">
        <v>33</v>
      </c>
      <c r="G24" s="17" t="s">
        <v>199</v>
      </c>
      <c r="H24" s="16" t="s">
        <v>50</v>
      </c>
      <c r="I24" s="16" t="s">
        <v>322</v>
      </c>
      <c r="J24" s="17"/>
      <c r="K24" s="16" t="s">
        <v>37</v>
      </c>
      <c r="L24" s="17" t="s">
        <v>38</v>
      </c>
      <c r="M24" s="16" t="s">
        <v>38</v>
      </c>
      <c r="N24" s="17"/>
      <c r="O24" s="16" t="s">
        <v>61</v>
      </c>
      <c r="P24" s="16" t="s">
        <v>127</v>
      </c>
      <c r="Q24" s="16" t="s">
        <v>39</v>
      </c>
      <c r="R24" s="17"/>
      <c r="S24" s="26" t="str">
        <f>"492,5"</f>
        <v>492,5</v>
      </c>
      <c r="T24" s="27" t="str">
        <f>"395,2971"</f>
        <v>395,2971</v>
      </c>
      <c r="U24" s="15" t="s">
        <v>323</v>
      </c>
    </row>
    <row r="26" spans="1:21" ht="15" x14ac:dyDescent="0.2">
      <c r="A26" s="34" t="s">
        <v>201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 x14ac:dyDescent="0.2">
      <c r="A27" s="6" t="s">
        <v>325</v>
      </c>
      <c r="B27" s="6" t="s">
        <v>326</v>
      </c>
      <c r="C27" s="6" t="s">
        <v>327</v>
      </c>
      <c r="D27" s="6" t="str">
        <f>"0,6689"</f>
        <v>0,6689</v>
      </c>
      <c r="E27" s="6" t="s">
        <v>20</v>
      </c>
      <c r="F27" s="6" t="s">
        <v>33</v>
      </c>
      <c r="G27" s="7" t="s">
        <v>191</v>
      </c>
      <c r="H27" s="7" t="s">
        <v>328</v>
      </c>
      <c r="I27" s="8" t="s">
        <v>39</v>
      </c>
      <c r="J27" s="8"/>
      <c r="K27" s="7" t="s">
        <v>305</v>
      </c>
      <c r="L27" s="7" t="s">
        <v>285</v>
      </c>
      <c r="M27" s="8" t="s">
        <v>37</v>
      </c>
      <c r="N27" s="8"/>
      <c r="O27" s="7" t="s">
        <v>150</v>
      </c>
      <c r="P27" s="7" t="s">
        <v>74</v>
      </c>
      <c r="Q27" s="8" t="s">
        <v>197</v>
      </c>
      <c r="R27" s="8"/>
      <c r="S27" s="20" t="str">
        <f>"532,5"</f>
        <v>532,5</v>
      </c>
      <c r="T27" s="21" t="str">
        <f>"390,7396"</f>
        <v>390,7396</v>
      </c>
      <c r="U27" s="6" t="s">
        <v>28</v>
      </c>
    </row>
    <row r="29" spans="1:21" ht="15" x14ac:dyDescent="0.2">
      <c r="A29" s="34" t="s">
        <v>131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1" x14ac:dyDescent="0.2">
      <c r="A30" s="6" t="s">
        <v>330</v>
      </c>
      <c r="B30" s="6" t="s">
        <v>331</v>
      </c>
      <c r="C30" s="6" t="s">
        <v>332</v>
      </c>
      <c r="D30" s="6" t="str">
        <f>"0,6308"</f>
        <v>0,6308</v>
      </c>
      <c r="E30" s="6" t="s">
        <v>20</v>
      </c>
      <c r="F30" s="6" t="s">
        <v>33</v>
      </c>
      <c r="G30" s="8" t="s">
        <v>175</v>
      </c>
      <c r="H30" s="7" t="s">
        <v>117</v>
      </c>
      <c r="I30" s="7" t="s">
        <v>291</v>
      </c>
      <c r="J30" s="8"/>
      <c r="K30" s="7" t="s">
        <v>298</v>
      </c>
      <c r="L30" s="7" t="s">
        <v>286</v>
      </c>
      <c r="M30" s="8" t="s">
        <v>175</v>
      </c>
      <c r="N30" s="8"/>
      <c r="O30" s="7" t="s">
        <v>176</v>
      </c>
      <c r="P30" s="7" t="s">
        <v>26</v>
      </c>
      <c r="Q30" s="7" t="s">
        <v>37</v>
      </c>
      <c r="R30" s="8"/>
      <c r="S30" s="20" t="str">
        <f>"257,5"</f>
        <v>257,5</v>
      </c>
      <c r="T30" s="21" t="str">
        <f>"162,4310"</f>
        <v>162,4310</v>
      </c>
      <c r="U30" s="6" t="s">
        <v>333</v>
      </c>
    </row>
    <row r="32" spans="1:21" ht="15" x14ac:dyDescent="0.2">
      <c r="A32" s="34" t="s">
        <v>66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</row>
    <row r="33" spans="1:21" x14ac:dyDescent="0.2">
      <c r="A33" s="9" t="s">
        <v>335</v>
      </c>
      <c r="B33" s="9" t="s">
        <v>336</v>
      </c>
      <c r="C33" s="9" t="s">
        <v>337</v>
      </c>
      <c r="D33" s="9" t="str">
        <f>"0,6021"</f>
        <v>0,6021</v>
      </c>
      <c r="E33" s="9" t="s">
        <v>20</v>
      </c>
      <c r="F33" s="9" t="s">
        <v>33</v>
      </c>
      <c r="G33" s="10" t="s">
        <v>24</v>
      </c>
      <c r="H33" s="10" t="s">
        <v>34</v>
      </c>
      <c r="I33" s="10" t="s">
        <v>191</v>
      </c>
      <c r="J33" s="11"/>
      <c r="K33" s="10" t="s">
        <v>27</v>
      </c>
      <c r="L33" s="10" t="s">
        <v>36</v>
      </c>
      <c r="M33" s="11" t="s">
        <v>217</v>
      </c>
      <c r="N33" s="11"/>
      <c r="O33" s="10" t="s">
        <v>127</v>
      </c>
      <c r="P33" s="11" t="s">
        <v>39</v>
      </c>
      <c r="Q33" s="11" t="s">
        <v>216</v>
      </c>
      <c r="R33" s="11"/>
      <c r="S33" s="22" t="str">
        <f>"485,0"</f>
        <v>485,0</v>
      </c>
      <c r="T33" s="23" t="str">
        <f>"292,0185"</f>
        <v>292,0185</v>
      </c>
      <c r="U33" s="9" t="s">
        <v>338</v>
      </c>
    </row>
    <row r="34" spans="1:21" x14ac:dyDescent="0.2">
      <c r="A34" s="15" t="s">
        <v>340</v>
      </c>
      <c r="B34" s="15" t="s">
        <v>341</v>
      </c>
      <c r="C34" s="15" t="s">
        <v>342</v>
      </c>
      <c r="D34" s="15" t="str">
        <f>"0,5980"</f>
        <v>0,5980</v>
      </c>
      <c r="E34" s="15" t="s">
        <v>20</v>
      </c>
      <c r="F34" s="15" t="s">
        <v>343</v>
      </c>
      <c r="G34" s="16" t="s">
        <v>141</v>
      </c>
      <c r="H34" s="16" t="s">
        <v>75</v>
      </c>
      <c r="I34" s="17" t="s">
        <v>48</v>
      </c>
      <c r="J34" s="17"/>
      <c r="K34" s="16" t="s">
        <v>190</v>
      </c>
      <c r="L34" s="16" t="s">
        <v>129</v>
      </c>
      <c r="M34" s="17"/>
      <c r="N34" s="17"/>
      <c r="O34" s="16" t="s">
        <v>51</v>
      </c>
      <c r="P34" s="16" t="s">
        <v>344</v>
      </c>
      <c r="Q34" s="17"/>
      <c r="R34" s="17"/>
      <c r="S34" s="26" t="str">
        <f>"652,5"</f>
        <v>652,5</v>
      </c>
      <c r="T34" s="27" t="str">
        <f>"390,1950"</f>
        <v>390,1950</v>
      </c>
      <c r="U34" s="15" t="s">
        <v>345</v>
      </c>
    </row>
    <row r="36" spans="1:21" ht="15" x14ac:dyDescent="0.2">
      <c r="A36" s="34" t="s">
        <v>223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</row>
    <row r="37" spans="1:21" x14ac:dyDescent="0.2">
      <c r="A37" s="6" t="s">
        <v>347</v>
      </c>
      <c r="B37" s="6" t="s">
        <v>348</v>
      </c>
      <c r="C37" s="6" t="s">
        <v>349</v>
      </c>
      <c r="D37" s="6" t="str">
        <f>"0,5735"</f>
        <v>0,5735</v>
      </c>
      <c r="E37" s="6" t="s">
        <v>20</v>
      </c>
      <c r="F37" s="6" t="s">
        <v>33</v>
      </c>
      <c r="G37" s="8" t="s">
        <v>50</v>
      </c>
      <c r="H37" s="7" t="s">
        <v>50</v>
      </c>
      <c r="I37" s="7" t="s">
        <v>317</v>
      </c>
      <c r="J37" s="8"/>
      <c r="K37" s="7" t="s">
        <v>50</v>
      </c>
      <c r="L37" s="8" t="s">
        <v>322</v>
      </c>
      <c r="M37" s="8" t="s">
        <v>322</v>
      </c>
      <c r="N37" s="8"/>
      <c r="O37" s="7" t="s">
        <v>127</v>
      </c>
      <c r="P37" s="7" t="s">
        <v>215</v>
      </c>
      <c r="Q37" s="8" t="s">
        <v>216</v>
      </c>
      <c r="R37" s="8"/>
      <c r="S37" s="20" t="str">
        <f>"542,5"</f>
        <v>542,5</v>
      </c>
      <c r="T37" s="21" t="str">
        <f>"311,1237"</f>
        <v>311,1237</v>
      </c>
      <c r="U37" s="6" t="s">
        <v>28</v>
      </c>
    </row>
    <row r="39" spans="1:21" ht="15" x14ac:dyDescent="0.2">
      <c r="E39" s="18" t="s">
        <v>80</v>
      </c>
    </row>
    <row r="40" spans="1:21" ht="15" x14ac:dyDescent="0.2">
      <c r="E40" s="18" t="s">
        <v>81</v>
      </c>
    </row>
    <row r="41" spans="1:21" ht="15" x14ac:dyDescent="0.2">
      <c r="E41" s="18" t="s">
        <v>82</v>
      </c>
    </row>
    <row r="42" spans="1:21" ht="15" x14ac:dyDescent="0.2">
      <c r="E42" s="18" t="s">
        <v>83</v>
      </c>
    </row>
    <row r="43" spans="1:21" ht="15" x14ac:dyDescent="0.2">
      <c r="E43" s="18" t="s">
        <v>83</v>
      </c>
    </row>
    <row r="44" spans="1:21" ht="15" x14ac:dyDescent="0.2">
      <c r="E44" s="18" t="s">
        <v>84</v>
      </c>
    </row>
    <row r="45" spans="1:21" ht="15" x14ac:dyDescent="0.2">
      <c r="E45" s="18"/>
    </row>
    <row r="47" spans="1:21" ht="18" x14ac:dyDescent="0.25">
      <c r="A47" s="28" t="s">
        <v>85</v>
      </c>
      <c r="B47" s="28"/>
    </row>
    <row r="48" spans="1:21" ht="15" x14ac:dyDescent="0.2">
      <c r="A48" s="29" t="s">
        <v>86</v>
      </c>
      <c r="B48" s="29"/>
    </row>
    <row r="49" spans="1:5" ht="14.25" x14ac:dyDescent="0.2">
      <c r="A49" s="31"/>
      <c r="B49" s="32" t="s">
        <v>350</v>
      </c>
    </row>
    <row r="50" spans="1:5" ht="15" x14ac:dyDescent="0.2">
      <c r="A50" s="33" t="s">
        <v>88</v>
      </c>
      <c r="B50" s="33" t="s">
        <v>89</v>
      </c>
      <c r="C50" s="33" t="s">
        <v>90</v>
      </c>
      <c r="D50" s="33" t="s">
        <v>91</v>
      </c>
      <c r="E50" s="33" t="s">
        <v>92</v>
      </c>
    </row>
    <row r="51" spans="1:5" x14ac:dyDescent="0.2">
      <c r="A51" s="30" t="s">
        <v>300</v>
      </c>
      <c r="B51" s="4" t="s">
        <v>149</v>
      </c>
      <c r="C51" s="4" t="s">
        <v>242</v>
      </c>
      <c r="D51" s="4" t="s">
        <v>344</v>
      </c>
      <c r="E51" s="19" t="s">
        <v>351</v>
      </c>
    </row>
    <row r="53" spans="1:5" ht="14.25" x14ac:dyDescent="0.2">
      <c r="A53" s="31"/>
      <c r="B53" s="32" t="s">
        <v>103</v>
      </c>
    </row>
    <row r="54" spans="1:5" ht="15" x14ac:dyDescent="0.2">
      <c r="A54" s="33" t="s">
        <v>88</v>
      </c>
      <c r="B54" s="33" t="s">
        <v>89</v>
      </c>
      <c r="C54" s="33" t="s">
        <v>90</v>
      </c>
      <c r="D54" s="33" t="s">
        <v>91</v>
      </c>
      <c r="E54" s="33" t="s">
        <v>92</v>
      </c>
    </row>
    <row r="55" spans="1:5" x14ac:dyDescent="0.2">
      <c r="A55" s="30" t="s">
        <v>273</v>
      </c>
      <c r="B55" s="4" t="s">
        <v>103</v>
      </c>
      <c r="C55" s="4" t="s">
        <v>352</v>
      </c>
      <c r="D55" s="4" t="s">
        <v>344</v>
      </c>
      <c r="E55" s="19" t="s">
        <v>353</v>
      </c>
    </row>
    <row r="56" spans="1:5" x14ac:dyDescent="0.2">
      <c r="A56" s="30" t="s">
        <v>287</v>
      </c>
      <c r="B56" s="4" t="s">
        <v>103</v>
      </c>
      <c r="C56" s="4" t="s">
        <v>94</v>
      </c>
      <c r="D56" s="4" t="s">
        <v>49</v>
      </c>
      <c r="E56" s="19" t="s">
        <v>354</v>
      </c>
    </row>
    <row r="57" spans="1:5" x14ac:dyDescent="0.2">
      <c r="A57" s="30" t="s">
        <v>294</v>
      </c>
      <c r="B57" s="4" t="s">
        <v>103</v>
      </c>
      <c r="C57" s="4" t="s">
        <v>94</v>
      </c>
      <c r="D57" s="4" t="s">
        <v>51</v>
      </c>
      <c r="E57" s="19" t="s">
        <v>355</v>
      </c>
    </row>
    <row r="59" spans="1:5" ht="14.25" x14ac:dyDescent="0.2">
      <c r="A59" s="31"/>
      <c r="B59" s="32" t="s">
        <v>87</v>
      </c>
    </row>
    <row r="60" spans="1:5" ht="15" x14ac:dyDescent="0.2">
      <c r="A60" s="33" t="s">
        <v>88</v>
      </c>
      <c r="B60" s="33" t="s">
        <v>89</v>
      </c>
      <c r="C60" s="33" t="s">
        <v>90</v>
      </c>
      <c r="D60" s="33" t="s">
        <v>91</v>
      </c>
      <c r="E60" s="33" t="s">
        <v>92</v>
      </c>
    </row>
    <row r="61" spans="1:5" x14ac:dyDescent="0.2">
      <c r="A61" s="30" t="s">
        <v>281</v>
      </c>
      <c r="B61" s="4" t="s">
        <v>93</v>
      </c>
      <c r="C61" s="4" t="s">
        <v>356</v>
      </c>
      <c r="D61" s="4" t="s">
        <v>357</v>
      </c>
      <c r="E61" s="19" t="s">
        <v>358</v>
      </c>
    </row>
    <row r="62" spans="1:5" x14ac:dyDescent="0.2">
      <c r="A62" s="30" t="s">
        <v>262</v>
      </c>
      <c r="B62" s="4" t="s">
        <v>109</v>
      </c>
      <c r="C62" s="4" t="s">
        <v>359</v>
      </c>
      <c r="D62" s="4" t="s">
        <v>200</v>
      </c>
      <c r="E62" s="19" t="s">
        <v>360</v>
      </c>
    </row>
    <row r="65" spans="1:5" ht="15" x14ac:dyDescent="0.2">
      <c r="A65" s="29" t="s">
        <v>97</v>
      </c>
      <c r="B65" s="29"/>
    </row>
    <row r="66" spans="1:5" ht="14.25" x14ac:dyDescent="0.2">
      <c r="A66" s="31"/>
      <c r="B66" s="32" t="s">
        <v>148</v>
      </c>
    </row>
    <row r="67" spans="1:5" ht="15" x14ac:dyDescent="0.2">
      <c r="A67" s="33" t="s">
        <v>88</v>
      </c>
      <c r="B67" s="33" t="s">
        <v>89</v>
      </c>
      <c r="C67" s="33" t="s">
        <v>90</v>
      </c>
      <c r="D67" s="33" t="s">
        <v>91</v>
      </c>
      <c r="E67" s="33" t="s">
        <v>92</v>
      </c>
    </row>
    <row r="68" spans="1:5" x14ac:dyDescent="0.2">
      <c r="A68" s="30" t="s">
        <v>334</v>
      </c>
      <c r="B68" s="4" t="s">
        <v>149</v>
      </c>
      <c r="C68" s="4" t="s">
        <v>104</v>
      </c>
      <c r="D68" s="4" t="s">
        <v>361</v>
      </c>
      <c r="E68" s="19" t="s">
        <v>362</v>
      </c>
    </row>
    <row r="69" spans="1:5" x14ac:dyDescent="0.2">
      <c r="A69" s="30" t="s">
        <v>329</v>
      </c>
      <c r="B69" s="4" t="s">
        <v>149</v>
      </c>
      <c r="C69" s="4" t="s">
        <v>152</v>
      </c>
      <c r="D69" s="4" t="s">
        <v>363</v>
      </c>
      <c r="E69" s="19" t="s">
        <v>364</v>
      </c>
    </row>
    <row r="71" spans="1:5" ht="14.25" x14ac:dyDescent="0.2">
      <c r="A71" s="31"/>
      <c r="B71" s="32" t="s">
        <v>103</v>
      </c>
    </row>
    <row r="72" spans="1:5" ht="15" x14ac:dyDescent="0.2">
      <c r="A72" s="33" t="s">
        <v>88</v>
      </c>
      <c r="B72" s="33" t="s">
        <v>89</v>
      </c>
      <c r="C72" s="33" t="s">
        <v>90</v>
      </c>
      <c r="D72" s="33" t="s">
        <v>91</v>
      </c>
      <c r="E72" s="33" t="s">
        <v>92</v>
      </c>
    </row>
    <row r="73" spans="1:5" x14ac:dyDescent="0.2">
      <c r="A73" s="30" t="s">
        <v>307</v>
      </c>
      <c r="B73" s="4" t="s">
        <v>103</v>
      </c>
      <c r="C73" s="4" t="s">
        <v>100</v>
      </c>
      <c r="D73" s="4" t="s">
        <v>365</v>
      </c>
      <c r="E73" s="19" t="s">
        <v>366</v>
      </c>
    </row>
    <row r="74" spans="1:5" x14ac:dyDescent="0.2">
      <c r="A74" s="30" t="s">
        <v>339</v>
      </c>
      <c r="B74" s="4" t="s">
        <v>103</v>
      </c>
      <c r="C74" s="4" t="s">
        <v>104</v>
      </c>
      <c r="D74" s="4" t="s">
        <v>367</v>
      </c>
      <c r="E74" s="19" t="s">
        <v>368</v>
      </c>
    </row>
    <row r="75" spans="1:5" x14ac:dyDescent="0.2">
      <c r="A75" s="30" t="s">
        <v>346</v>
      </c>
      <c r="B75" s="4" t="s">
        <v>103</v>
      </c>
      <c r="C75" s="4" t="s">
        <v>253</v>
      </c>
      <c r="D75" s="4" t="s">
        <v>369</v>
      </c>
      <c r="E75" s="19" t="s">
        <v>370</v>
      </c>
    </row>
    <row r="77" spans="1:5" ht="14.25" x14ac:dyDescent="0.2">
      <c r="A77" s="31"/>
      <c r="B77" s="32" t="s">
        <v>87</v>
      </c>
    </row>
    <row r="78" spans="1:5" ht="15" x14ac:dyDescent="0.2">
      <c r="A78" s="33" t="s">
        <v>88</v>
      </c>
      <c r="B78" s="33" t="s">
        <v>89</v>
      </c>
      <c r="C78" s="33" t="s">
        <v>90</v>
      </c>
      <c r="D78" s="33" t="s">
        <v>91</v>
      </c>
      <c r="E78" s="33" t="s">
        <v>92</v>
      </c>
    </row>
    <row r="79" spans="1:5" x14ac:dyDescent="0.2">
      <c r="A79" s="30" t="s">
        <v>319</v>
      </c>
      <c r="B79" s="4" t="s">
        <v>93</v>
      </c>
      <c r="C79" s="4" t="s">
        <v>100</v>
      </c>
      <c r="D79" s="4" t="s">
        <v>371</v>
      </c>
      <c r="E79" s="19" t="s">
        <v>372</v>
      </c>
    </row>
    <row r="80" spans="1:5" x14ac:dyDescent="0.2">
      <c r="A80" s="30" t="s">
        <v>324</v>
      </c>
      <c r="B80" s="4" t="s">
        <v>373</v>
      </c>
      <c r="C80" s="4" t="s">
        <v>248</v>
      </c>
      <c r="D80" s="4" t="s">
        <v>259</v>
      </c>
      <c r="E80" s="19" t="s">
        <v>374</v>
      </c>
    </row>
    <row r="81" spans="1:5" x14ac:dyDescent="0.2">
      <c r="A81" s="30" t="s">
        <v>313</v>
      </c>
      <c r="B81" s="4" t="s">
        <v>109</v>
      </c>
      <c r="C81" s="4" t="s">
        <v>100</v>
      </c>
      <c r="D81" s="4" t="s">
        <v>251</v>
      </c>
      <c r="E81" s="19" t="s">
        <v>375</v>
      </c>
    </row>
  </sheetData>
  <mergeCells count="23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29:R29"/>
    <mergeCell ref="A32:R32"/>
    <mergeCell ref="A36:R36"/>
    <mergeCell ref="A8:R8"/>
    <mergeCell ref="A11:R11"/>
    <mergeCell ref="A14:R14"/>
    <mergeCell ref="A18:R18"/>
    <mergeCell ref="A21:R21"/>
    <mergeCell ref="A26:R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B25" sqref="B25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6.5703125" style="4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1" width="12.7109375" style="19" customWidth="1"/>
    <col min="12" max="12" width="6.5703125" style="2" bestFit="1" customWidth="1"/>
    <col min="13" max="13" width="12.85546875" style="4" bestFit="1" customWidth="1"/>
    <col min="14" max="16384" width="9.140625" style="3"/>
  </cols>
  <sheetData>
    <row r="1" spans="1:13" s="2" customFormat="1" ht="29.1" customHeight="1" x14ac:dyDescent="0.2">
      <c r="A1" s="41" t="s">
        <v>1738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11</v>
      </c>
      <c r="E3" s="35" t="s">
        <v>4</v>
      </c>
      <c r="F3" s="35" t="s">
        <v>7</v>
      </c>
      <c r="G3" s="35" t="s">
        <v>13</v>
      </c>
      <c r="H3" s="35"/>
      <c r="I3" s="35"/>
      <c r="J3" s="35"/>
      <c r="K3" s="35" t="s">
        <v>587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41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638</v>
      </c>
      <c r="B6" s="6" t="s">
        <v>639</v>
      </c>
      <c r="C6" s="6" t="s">
        <v>640</v>
      </c>
      <c r="D6" s="6" t="str">
        <f>"0,6993"</f>
        <v>0,6993</v>
      </c>
      <c r="E6" s="6" t="s">
        <v>20</v>
      </c>
      <c r="F6" s="6" t="s">
        <v>641</v>
      </c>
      <c r="G6" s="8" t="s">
        <v>642</v>
      </c>
      <c r="H6" s="8" t="s">
        <v>642</v>
      </c>
      <c r="I6" s="8" t="s">
        <v>642</v>
      </c>
      <c r="J6" s="8"/>
      <c r="K6" s="20" t="str">
        <f>"0.00"</f>
        <v>0.00</v>
      </c>
      <c r="L6" s="21" t="str">
        <f>"0,0000"</f>
        <v>0,0000</v>
      </c>
      <c r="M6" s="6" t="s">
        <v>643</v>
      </c>
    </row>
    <row r="8" spans="1:13" ht="15" x14ac:dyDescent="0.2">
      <c r="E8" s="18" t="s">
        <v>80</v>
      </c>
    </row>
    <row r="9" spans="1:13" ht="15" x14ac:dyDescent="0.2">
      <c r="E9" s="18" t="s">
        <v>81</v>
      </c>
    </row>
    <row r="10" spans="1:13" ht="15" x14ac:dyDescent="0.2">
      <c r="E10" s="18" t="s">
        <v>82</v>
      </c>
    </row>
    <row r="11" spans="1:13" ht="15" x14ac:dyDescent="0.2">
      <c r="E11" s="18" t="s">
        <v>83</v>
      </c>
    </row>
    <row r="12" spans="1:13" ht="15" x14ac:dyDescent="0.2">
      <c r="E12" s="18" t="s">
        <v>83</v>
      </c>
    </row>
    <row r="13" spans="1:13" ht="15" x14ac:dyDescent="0.2">
      <c r="E13" s="18" t="s">
        <v>84</v>
      </c>
    </row>
    <row r="14" spans="1:13" ht="15" x14ac:dyDescent="0.2">
      <c r="E14" s="18"/>
    </row>
    <row r="16" spans="1:13" ht="18" x14ac:dyDescent="0.25">
      <c r="A16" s="28" t="s">
        <v>85</v>
      </c>
      <c r="B16" s="28"/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J25" sqref="J25"/>
    </sheetView>
  </sheetViews>
  <sheetFormatPr defaultRowHeight="12.75" x14ac:dyDescent="0.2"/>
  <cols>
    <col min="1" max="1" width="26" style="4" bestFit="1" customWidth="1"/>
    <col min="2" max="2" width="27.85546875" style="4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3.5703125" style="4" bestFit="1" customWidth="1"/>
    <col min="7" max="9" width="5.5703125" style="3" customWidth="1"/>
    <col min="10" max="10" width="4.85546875" style="3" customWidth="1"/>
    <col min="11" max="11" width="14.7109375" style="19" customWidth="1"/>
    <col min="12" max="12" width="8.5703125" style="2" bestFit="1" customWidth="1"/>
    <col min="13" max="13" width="12.85546875" style="4" bestFit="1" customWidth="1"/>
    <col min="14" max="16384" width="9.140625" style="3"/>
  </cols>
  <sheetData>
    <row r="1" spans="1:13" s="2" customFormat="1" ht="29.1" customHeight="1" x14ac:dyDescent="0.2">
      <c r="A1" s="41" t="s">
        <v>1739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11</v>
      </c>
      <c r="E3" s="35" t="s">
        <v>4</v>
      </c>
      <c r="F3" s="35" t="s">
        <v>7</v>
      </c>
      <c r="G3" s="35" t="s">
        <v>13</v>
      </c>
      <c r="H3" s="35"/>
      <c r="I3" s="35"/>
      <c r="J3" s="35"/>
      <c r="K3" s="35" t="s">
        <v>587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272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1109</v>
      </c>
      <c r="B6" s="6" t="s">
        <v>1110</v>
      </c>
      <c r="C6" s="6" t="s">
        <v>1111</v>
      </c>
      <c r="D6" s="6" t="str">
        <f>"1,1766"</f>
        <v>1,1766</v>
      </c>
      <c r="E6" s="6" t="s">
        <v>20</v>
      </c>
      <c r="F6" s="6" t="s">
        <v>33</v>
      </c>
      <c r="G6" s="7" t="s">
        <v>266</v>
      </c>
      <c r="H6" s="7" t="s">
        <v>291</v>
      </c>
      <c r="I6" s="8" t="s">
        <v>26</v>
      </c>
      <c r="J6" s="8"/>
      <c r="K6" s="20" t="str">
        <f>"85,0"</f>
        <v>85,0</v>
      </c>
      <c r="L6" s="21" t="str">
        <f>"100,0110"</f>
        <v>100,0110</v>
      </c>
      <c r="M6" s="6" t="s">
        <v>1112</v>
      </c>
    </row>
    <row r="8" spans="1:13" ht="15" x14ac:dyDescent="0.2">
      <c r="A8" s="34" t="s">
        <v>15</v>
      </c>
      <c r="B8" s="34"/>
      <c r="C8" s="34"/>
      <c r="D8" s="34"/>
      <c r="E8" s="34"/>
      <c r="F8" s="34"/>
      <c r="G8" s="34"/>
      <c r="H8" s="34"/>
      <c r="I8" s="34"/>
      <c r="J8" s="34"/>
    </row>
    <row r="9" spans="1:13" x14ac:dyDescent="0.2">
      <c r="A9" s="6" t="s">
        <v>1113</v>
      </c>
      <c r="B9" s="6" t="s">
        <v>1114</v>
      </c>
      <c r="C9" s="6" t="s">
        <v>1115</v>
      </c>
      <c r="D9" s="6" t="str">
        <f>"1,0650"</f>
        <v>1,0650</v>
      </c>
      <c r="E9" s="6" t="s">
        <v>20</v>
      </c>
      <c r="F9" s="6" t="s">
        <v>1116</v>
      </c>
      <c r="G9" s="8" t="s">
        <v>26</v>
      </c>
      <c r="H9" s="8" t="s">
        <v>26</v>
      </c>
      <c r="I9" s="8" t="s">
        <v>26</v>
      </c>
      <c r="J9" s="8"/>
      <c r="K9" s="20" t="str">
        <f>"0.00"</f>
        <v>0.00</v>
      </c>
      <c r="L9" s="21" t="str">
        <f>"0,0000"</f>
        <v>0,0000</v>
      </c>
      <c r="M9" s="6" t="s">
        <v>382</v>
      </c>
    </row>
    <row r="11" spans="1:13" ht="15" x14ac:dyDescent="0.2">
      <c r="A11" s="34" t="s">
        <v>41</v>
      </c>
      <c r="B11" s="34"/>
      <c r="C11" s="34"/>
      <c r="D11" s="34"/>
      <c r="E11" s="34"/>
      <c r="F11" s="34"/>
      <c r="G11" s="34"/>
      <c r="H11" s="34"/>
      <c r="I11" s="34"/>
      <c r="J11" s="34"/>
    </row>
    <row r="12" spans="1:13" x14ac:dyDescent="0.2">
      <c r="A12" s="6" t="s">
        <v>1118</v>
      </c>
      <c r="B12" s="6" t="s">
        <v>1119</v>
      </c>
      <c r="C12" s="6" t="s">
        <v>1120</v>
      </c>
      <c r="D12" s="6" t="str">
        <f>"0,6759"</f>
        <v>0,6759</v>
      </c>
      <c r="E12" s="6" t="s">
        <v>20</v>
      </c>
      <c r="F12" s="6" t="s">
        <v>533</v>
      </c>
      <c r="G12" s="7" t="s">
        <v>38</v>
      </c>
      <c r="H12" s="7" t="s">
        <v>190</v>
      </c>
      <c r="I12" s="8" t="s">
        <v>184</v>
      </c>
      <c r="J12" s="8"/>
      <c r="K12" s="20" t="str">
        <f>"130,0"</f>
        <v>130,0</v>
      </c>
      <c r="L12" s="21" t="str">
        <f>"87,8670"</f>
        <v>87,8670</v>
      </c>
      <c r="M12" s="6" t="s">
        <v>534</v>
      </c>
    </row>
    <row r="14" spans="1:13" ht="15" x14ac:dyDescent="0.2">
      <c r="A14" s="34" t="s">
        <v>66</v>
      </c>
      <c r="B14" s="34"/>
      <c r="C14" s="34"/>
      <c r="D14" s="34"/>
      <c r="E14" s="34"/>
      <c r="F14" s="34"/>
      <c r="G14" s="34"/>
      <c r="H14" s="34"/>
      <c r="I14" s="34"/>
      <c r="J14" s="34"/>
    </row>
    <row r="15" spans="1:13" x14ac:dyDescent="0.2">
      <c r="A15" s="9" t="s">
        <v>1122</v>
      </c>
      <c r="B15" s="9" t="s">
        <v>1123</v>
      </c>
      <c r="C15" s="9" t="s">
        <v>1124</v>
      </c>
      <c r="D15" s="9" t="str">
        <f>"0,6060"</f>
        <v>0,6060</v>
      </c>
      <c r="E15" s="9" t="s">
        <v>20</v>
      </c>
      <c r="F15" s="9" t="s">
        <v>533</v>
      </c>
      <c r="G15" s="10" t="s">
        <v>62</v>
      </c>
      <c r="H15" s="10" t="s">
        <v>71</v>
      </c>
      <c r="I15" s="10" t="s">
        <v>76</v>
      </c>
      <c r="J15" s="11"/>
      <c r="K15" s="22" t="str">
        <f>"280,0"</f>
        <v>280,0</v>
      </c>
      <c r="L15" s="23" t="str">
        <f>"169,6800"</f>
        <v>169,6800</v>
      </c>
      <c r="M15" s="9" t="s">
        <v>382</v>
      </c>
    </row>
    <row r="16" spans="1:13" x14ac:dyDescent="0.2">
      <c r="A16" s="15" t="s">
        <v>1126</v>
      </c>
      <c r="B16" s="15" t="s">
        <v>1127</v>
      </c>
      <c r="C16" s="15" t="s">
        <v>1128</v>
      </c>
      <c r="D16" s="15" t="str">
        <f>"0,5982"</f>
        <v>0,5982</v>
      </c>
      <c r="E16" s="15" t="s">
        <v>20</v>
      </c>
      <c r="F16" s="15" t="s">
        <v>1129</v>
      </c>
      <c r="G16" s="16" t="s">
        <v>49</v>
      </c>
      <c r="H16" s="17" t="s">
        <v>363</v>
      </c>
      <c r="I16" s="16" t="s">
        <v>312</v>
      </c>
      <c r="J16" s="17"/>
      <c r="K16" s="26" t="str">
        <f>"262,5"</f>
        <v>262,5</v>
      </c>
      <c r="L16" s="27" t="str">
        <f>"157,0275"</f>
        <v>157,0275</v>
      </c>
      <c r="M16" s="15" t="s">
        <v>534</v>
      </c>
    </row>
    <row r="18" spans="1:5" ht="15" x14ac:dyDescent="0.2">
      <c r="E18" s="18" t="s">
        <v>80</v>
      </c>
    </row>
    <row r="19" spans="1:5" ht="15" x14ac:dyDescent="0.2">
      <c r="E19" s="18" t="s">
        <v>81</v>
      </c>
    </row>
    <row r="20" spans="1:5" ht="15" x14ac:dyDescent="0.2">
      <c r="E20" s="18" t="s">
        <v>82</v>
      </c>
    </row>
    <row r="21" spans="1:5" ht="15" x14ac:dyDescent="0.2">
      <c r="E21" s="18" t="s">
        <v>83</v>
      </c>
    </row>
    <row r="22" spans="1:5" ht="15" x14ac:dyDescent="0.2">
      <c r="E22" s="18" t="s">
        <v>83</v>
      </c>
    </row>
    <row r="23" spans="1:5" ht="15" x14ac:dyDescent="0.2">
      <c r="E23" s="18" t="s">
        <v>84</v>
      </c>
    </row>
    <row r="24" spans="1:5" ht="15" x14ac:dyDescent="0.2">
      <c r="E24" s="18"/>
    </row>
    <row r="26" spans="1:5" ht="18" x14ac:dyDescent="0.25">
      <c r="A26" s="28" t="s">
        <v>85</v>
      </c>
      <c r="B26" s="28"/>
    </row>
    <row r="27" spans="1:5" ht="15" x14ac:dyDescent="0.2">
      <c r="A27" s="29" t="s">
        <v>86</v>
      </c>
      <c r="B27" s="29"/>
    </row>
    <row r="28" spans="1:5" ht="14.25" x14ac:dyDescent="0.2">
      <c r="A28" s="31"/>
      <c r="B28" s="32" t="s">
        <v>103</v>
      </c>
    </row>
    <row r="29" spans="1:5" ht="15" x14ac:dyDescent="0.2">
      <c r="A29" s="33" t="s">
        <v>88</v>
      </c>
      <c r="B29" s="33" t="s">
        <v>89</v>
      </c>
      <c r="C29" s="33" t="s">
        <v>90</v>
      </c>
      <c r="D29" s="33" t="s">
        <v>549</v>
      </c>
      <c r="E29" s="33" t="s">
        <v>92</v>
      </c>
    </row>
    <row r="30" spans="1:5" x14ac:dyDescent="0.2">
      <c r="A30" s="30" t="s">
        <v>1108</v>
      </c>
      <c r="B30" s="4" t="s">
        <v>103</v>
      </c>
      <c r="C30" s="4" t="s">
        <v>352</v>
      </c>
      <c r="D30" s="4" t="s">
        <v>291</v>
      </c>
      <c r="E30" s="19" t="s">
        <v>1130</v>
      </c>
    </row>
    <row r="33" spans="1:5" ht="15" x14ac:dyDescent="0.2">
      <c r="A33" s="29" t="s">
        <v>97</v>
      </c>
      <c r="B33" s="29"/>
    </row>
    <row r="34" spans="1:5" ht="14.25" x14ac:dyDescent="0.2">
      <c r="A34" s="31"/>
      <c r="B34" s="32" t="s">
        <v>148</v>
      </c>
    </row>
    <row r="35" spans="1:5" ht="15" x14ac:dyDescent="0.2">
      <c r="A35" s="33" t="s">
        <v>88</v>
      </c>
      <c r="B35" s="33" t="s">
        <v>89</v>
      </c>
      <c r="C35" s="33" t="s">
        <v>90</v>
      </c>
      <c r="D35" s="33" t="s">
        <v>549</v>
      </c>
      <c r="E35" s="33" t="s">
        <v>92</v>
      </c>
    </row>
    <row r="36" spans="1:5" x14ac:dyDescent="0.2">
      <c r="A36" s="30" t="s">
        <v>1117</v>
      </c>
      <c r="B36" s="4" t="s">
        <v>149</v>
      </c>
      <c r="C36" s="4" t="s">
        <v>100</v>
      </c>
      <c r="D36" s="4" t="s">
        <v>190</v>
      </c>
      <c r="E36" s="19" t="s">
        <v>1131</v>
      </c>
    </row>
    <row r="38" spans="1:5" ht="14.25" x14ac:dyDescent="0.2">
      <c r="A38" s="31"/>
      <c r="B38" s="32" t="s">
        <v>103</v>
      </c>
    </row>
    <row r="39" spans="1:5" ht="15" x14ac:dyDescent="0.2">
      <c r="A39" s="33" t="s">
        <v>88</v>
      </c>
      <c r="B39" s="33" t="s">
        <v>89</v>
      </c>
      <c r="C39" s="33" t="s">
        <v>90</v>
      </c>
      <c r="D39" s="33" t="s">
        <v>549</v>
      </c>
      <c r="E39" s="33" t="s">
        <v>92</v>
      </c>
    </row>
    <row r="40" spans="1:5" x14ac:dyDescent="0.2">
      <c r="A40" s="30" t="s">
        <v>1121</v>
      </c>
      <c r="B40" s="4" t="s">
        <v>103</v>
      </c>
      <c r="C40" s="4" t="s">
        <v>104</v>
      </c>
      <c r="D40" s="4" t="s">
        <v>76</v>
      </c>
      <c r="E40" s="19" t="s">
        <v>1132</v>
      </c>
    </row>
    <row r="41" spans="1:5" x14ac:dyDescent="0.2">
      <c r="A41" s="30" t="s">
        <v>1125</v>
      </c>
      <c r="B41" s="4" t="s">
        <v>103</v>
      </c>
      <c r="C41" s="4" t="s">
        <v>104</v>
      </c>
      <c r="D41" s="4" t="s">
        <v>312</v>
      </c>
      <c r="E41" s="19" t="s">
        <v>1133</v>
      </c>
    </row>
  </sheetData>
  <mergeCells count="15"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A14:J14"/>
    <mergeCell ref="K3:K4"/>
    <mergeCell ref="L3:L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8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7" style="4" bestFit="1" customWidth="1"/>
    <col min="7" max="10" width="5.5703125" style="3" customWidth="1"/>
    <col min="11" max="11" width="12.42578125" style="19" customWidth="1"/>
    <col min="12" max="12" width="8.5703125" style="2" bestFit="1" customWidth="1"/>
    <col min="13" max="13" width="32.42578125" style="4" bestFit="1" customWidth="1"/>
    <col min="14" max="16384" width="9.140625" style="3"/>
  </cols>
  <sheetData>
    <row r="1" spans="1:13" s="2" customFormat="1" ht="29.1" customHeight="1" x14ac:dyDescent="0.2">
      <c r="A1" s="41" t="s">
        <v>1740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11</v>
      </c>
      <c r="E3" s="35" t="s">
        <v>4</v>
      </c>
      <c r="F3" s="35" t="s">
        <v>7</v>
      </c>
      <c r="G3" s="35" t="s">
        <v>13</v>
      </c>
      <c r="H3" s="35"/>
      <c r="I3" s="35"/>
      <c r="J3" s="35"/>
      <c r="K3" s="35" t="s">
        <v>587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261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9" t="s">
        <v>645</v>
      </c>
      <c r="B6" s="9" t="s">
        <v>646</v>
      </c>
      <c r="C6" s="9" t="s">
        <v>647</v>
      </c>
      <c r="D6" s="9" t="str">
        <f>"1,3326"</f>
        <v>1,3326</v>
      </c>
      <c r="E6" s="9" t="s">
        <v>20</v>
      </c>
      <c r="F6" s="9" t="s">
        <v>33</v>
      </c>
      <c r="G6" s="10" t="s">
        <v>118</v>
      </c>
      <c r="H6" s="10" t="s">
        <v>119</v>
      </c>
      <c r="I6" s="11" t="s">
        <v>120</v>
      </c>
      <c r="J6" s="11"/>
      <c r="K6" s="22" t="str">
        <f>"40,0"</f>
        <v>40,0</v>
      </c>
      <c r="L6" s="23" t="str">
        <f>"53,3040"</f>
        <v>53,3040</v>
      </c>
      <c r="M6" s="9" t="s">
        <v>648</v>
      </c>
    </row>
    <row r="7" spans="1:13" x14ac:dyDescent="0.2">
      <c r="A7" s="15" t="s">
        <v>650</v>
      </c>
      <c r="B7" s="15" t="s">
        <v>651</v>
      </c>
      <c r="C7" s="15" t="s">
        <v>652</v>
      </c>
      <c r="D7" s="15" t="str">
        <f>"1,3387"</f>
        <v>1,3387</v>
      </c>
      <c r="E7" s="15" t="s">
        <v>20</v>
      </c>
      <c r="F7" s="15" t="s">
        <v>33</v>
      </c>
      <c r="G7" s="17" t="s">
        <v>115</v>
      </c>
      <c r="H7" s="16" t="s">
        <v>115</v>
      </c>
      <c r="I7" s="17" t="s">
        <v>175</v>
      </c>
      <c r="J7" s="17"/>
      <c r="K7" s="26" t="str">
        <f>"55,0"</f>
        <v>55,0</v>
      </c>
      <c r="L7" s="27" t="str">
        <f>"73,6285"</f>
        <v>73,6285</v>
      </c>
      <c r="M7" s="15" t="s">
        <v>653</v>
      </c>
    </row>
    <row r="9" spans="1:13" ht="15" x14ac:dyDescent="0.2">
      <c r="A9" s="34" t="s">
        <v>654</v>
      </c>
      <c r="B9" s="34"/>
      <c r="C9" s="34"/>
      <c r="D9" s="34"/>
      <c r="E9" s="34"/>
      <c r="F9" s="34"/>
      <c r="G9" s="34"/>
      <c r="H9" s="34"/>
      <c r="I9" s="34"/>
      <c r="J9" s="34"/>
    </row>
    <row r="10" spans="1:13" x14ac:dyDescent="0.2">
      <c r="A10" s="9" t="s">
        <v>656</v>
      </c>
      <c r="B10" s="9" t="s">
        <v>657</v>
      </c>
      <c r="C10" s="9" t="s">
        <v>658</v>
      </c>
      <c r="D10" s="9" t="str">
        <f>"1,2616"</f>
        <v>1,2616</v>
      </c>
      <c r="E10" s="9" t="s">
        <v>20</v>
      </c>
      <c r="F10" s="9" t="s">
        <v>533</v>
      </c>
      <c r="G10" s="10" t="s">
        <v>115</v>
      </c>
      <c r="H10" s="10" t="s">
        <v>286</v>
      </c>
      <c r="I10" s="11" t="s">
        <v>175</v>
      </c>
      <c r="J10" s="11"/>
      <c r="K10" s="22" t="str">
        <f>"57,5"</f>
        <v>57,5</v>
      </c>
      <c r="L10" s="23" t="str">
        <f>"72,5420"</f>
        <v>72,5420</v>
      </c>
      <c r="M10" s="9" t="s">
        <v>659</v>
      </c>
    </row>
    <row r="11" spans="1:13" x14ac:dyDescent="0.2">
      <c r="A11" s="12" t="s">
        <v>661</v>
      </c>
      <c r="B11" s="12" t="s">
        <v>662</v>
      </c>
      <c r="C11" s="12" t="s">
        <v>658</v>
      </c>
      <c r="D11" s="12" t="str">
        <f>"1,2616"</f>
        <v>1,2616</v>
      </c>
      <c r="E11" s="12" t="s">
        <v>20</v>
      </c>
      <c r="F11" s="12" t="s">
        <v>33</v>
      </c>
      <c r="G11" s="14" t="s">
        <v>298</v>
      </c>
      <c r="H11" s="14" t="s">
        <v>115</v>
      </c>
      <c r="I11" s="13" t="s">
        <v>286</v>
      </c>
      <c r="J11" s="13"/>
      <c r="K11" s="24" t="str">
        <f>"55,0"</f>
        <v>55,0</v>
      </c>
      <c r="L11" s="25" t="str">
        <f>"69,3880"</f>
        <v>69,3880</v>
      </c>
      <c r="M11" s="12" t="s">
        <v>28</v>
      </c>
    </row>
    <row r="12" spans="1:13" x14ac:dyDescent="0.2">
      <c r="A12" s="12" t="s">
        <v>664</v>
      </c>
      <c r="B12" s="12" t="s">
        <v>665</v>
      </c>
      <c r="C12" s="12" t="s">
        <v>666</v>
      </c>
      <c r="D12" s="12" t="str">
        <f>"1,2541"</f>
        <v>1,2541</v>
      </c>
      <c r="E12" s="12" t="s">
        <v>20</v>
      </c>
      <c r="F12" s="12" t="s">
        <v>33</v>
      </c>
      <c r="G12" s="13" t="s">
        <v>298</v>
      </c>
      <c r="H12" s="14" t="s">
        <v>298</v>
      </c>
      <c r="I12" s="13" t="s">
        <v>286</v>
      </c>
      <c r="J12" s="13"/>
      <c r="K12" s="24" t="str">
        <f>"52,5"</f>
        <v>52,5</v>
      </c>
      <c r="L12" s="25" t="str">
        <f>"65,8402"</f>
        <v>65,8402</v>
      </c>
      <c r="M12" s="12" t="s">
        <v>667</v>
      </c>
    </row>
    <row r="13" spans="1:13" x14ac:dyDescent="0.2">
      <c r="A13" s="12" t="s">
        <v>669</v>
      </c>
      <c r="B13" s="12" t="s">
        <v>670</v>
      </c>
      <c r="C13" s="12" t="s">
        <v>671</v>
      </c>
      <c r="D13" s="12" t="str">
        <f>"1,2964"</f>
        <v>1,2964</v>
      </c>
      <c r="E13" s="12" t="s">
        <v>20</v>
      </c>
      <c r="F13" s="12" t="s">
        <v>33</v>
      </c>
      <c r="G13" s="14" t="s">
        <v>268</v>
      </c>
      <c r="H13" s="13" t="s">
        <v>298</v>
      </c>
      <c r="I13" s="13" t="s">
        <v>298</v>
      </c>
      <c r="J13" s="13"/>
      <c r="K13" s="24" t="str">
        <f>"47,5"</f>
        <v>47,5</v>
      </c>
      <c r="L13" s="25" t="str">
        <f>"61,5790"</f>
        <v>61,5790</v>
      </c>
      <c r="M13" s="12" t="s">
        <v>672</v>
      </c>
    </row>
    <row r="14" spans="1:13" x14ac:dyDescent="0.2">
      <c r="A14" s="15" t="s">
        <v>674</v>
      </c>
      <c r="B14" s="15" t="s">
        <v>675</v>
      </c>
      <c r="C14" s="15" t="s">
        <v>676</v>
      </c>
      <c r="D14" s="15" t="str">
        <f>"1,2597"</f>
        <v>1,2597</v>
      </c>
      <c r="E14" s="15" t="s">
        <v>20</v>
      </c>
      <c r="F14" s="15" t="s">
        <v>33</v>
      </c>
      <c r="G14" s="16" t="s">
        <v>118</v>
      </c>
      <c r="H14" s="17" t="s">
        <v>677</v>
      </c>
      <c r="I14" s="16" t="s">
        <v>677</v>
      </c>
      <c r="J14" s="17"/>
      <c r="K14" s="26" t="str">
        <f>"42,5"</f>
        <v>42,5</v>
      </c>
      <c r="L14" s="27" t="str">
        <f>"63,3881"</f>
        <v>63,3881</v>
      </c>
      <c r="M14" s="15" t="s">
        <v>648</v>
      </c>
    </row>
    <row r="16" spans="1:13" ht="15" x14ac:dyDescent="0.2">
      <c r="A16" s="34" t="s">
        <v>272</v>
      </c>
      <c r="B16" s="34"/>
      <c r="C16" s="34"/>
      <c r="D16" s="34"/>
      <c r="E16" s="34"/>
      <c r="F16" s="34"/>
      <c r="G16" s="34"/>
      <c r="H16" s="34"/>
      <c r="I16" s="34"/>
      <c r="J16" s="34"/>
    </row>
    <row r="17" spans="1:13" x14ac:dyDescent="0.2">
      <c r="A17" s="9" t="s">
        <v>679</v>
      </c>
      <c r="B17" s="9" t="s">
        <v>680</v>
      </c>
      <c r="C17" s="9" t="s">
        <v>681</v>
      </c>
      <c r="D17" s="9" t="str">
        <f>"1,1900"</f>
        <v>1,1900</v>
      </c>
      <c r="E17" s="9" t="s">
        <v>20</v>
      </c>
      <c r="F17" s="9" t="s">
        <v>33</v>
      </c>
      <c r="G17" s="10" t="s">
        <v>118</v>
      </c>
      <c r="H17" s="11" t="s">
        <v>119</v>
      </c>
      <c r="I17" s="10" t="s">
        <v>119</v>
      </c>
      <c r="J17" s="11"/>
      <c r="K17" s="22" t="str">
        <f>"40,0"</f>
        <v>40,0</v>
      </c>
      <c r="L17" s="23" t="str">
        <f>"47,6000"</f>
        <v>47,6000</v>
      </c>
      <c r="M17" s="9" t="s">
        <v>682</v>
      </c>
    </row>
    <row r="18" spans="1:13" x14ac:dyDescent="0.2">
      <c r="A18" s="15" t="s">
        <v>684</v>
      </c>
      <c r="B18" s="15" t="s">
        <v>685</v>
      </c>
      <c r="C18" s="15" t="s">
        <v>686</v>
      </c>
      <c r="D18" s="15" t="str">
        <f>"1,2054"</f>
        <v>1,2054</v>
      </c>
      <c r="E18" s="15" t="s">
        <v>20</v>
      </c>
      <c r="F18" s="15" t="s">
        <v>33</v>
      </c>
      <c r="G18" s="16" t="s">
        <v>687</v>
      </c>
      <c r="H18" s="17" t="s">
        <v>118</v>
      </c>
      <c r="I18" s="17" t="s">
        <v>118</v>
      </c>
      <c r="J18" s="17"/>
      <c r="K18" s="26" t="str">
        <f>"35,0"</f>
        <v>35,0</v>
      </c>
      <c r="L18" s="27" t="str">
        <f>"42,1890"</f>
        <v>42,1890</v>
      </c>
      <c r="M18" s="15" t="s">
        <v>688</v>
      </c>
    </row>
    <row r="20" spans="1:13" ht="15" x14ac:dyDescent="0.2">
      <c r="A20" s="34" t="s">
        <v>280</v>
      </c>
      <c r="B20" s="34"/>
      <c r="C20" s="34"/>
      <c r="D20" s="34"/>
      <c r="E20" s="34"/>
      <c r="F20" s="34"/>
      <c r="G20" s="34"/>
      <c r="H20" s="34"/>
      <c r="I20" s="34"/>
      <c r="J20" s="34"/>
    </row>
    <row r="21" spans="1:13" x14ac:dyDescent="0.2">
      <c r="A21" s="9" t="s">
        <v>690</v>
      </c>
      <c r="B21" s="9" t="s">
        <v>691</v>
      </c>
      <c r="C21" s="9" t="s">
        <v>692</v>
      </c>
      <c r="D21" s="9" t="str">
        <f>"1,1236"</f>
        <v>1,1236</v>
      </c>
      <c r="E21" s="9" t="s">
        <v>20</v>
      </c>
      <c r="F21" s="9" t="s">
        <v>33</v>
      </c>
      <c r="G21" s="10" t="s">
        <v>268</v>
      </c>
      <c r="H21" s="10" t="s">
        <v>292</v>
      </c>
      <c r="I21" s="11" t="s">
        <v>286</v>
      </c>
      <c r="J21" s="11"/>
      <c r="K21" s="22" t="str">
        <f>"50,0"</f>
        <v>50,0</v>
      </c>
      <c r="L21" s="23" t="str">
        <f>"56,1800"</f>
        <v>56,1800</v>
      </c>
      <c r="M21" s="9" t="s">
        <v>682</v>
      </c>
    </row>
    <row r="22" spans="1:13" x14ac:dyDescent="0.2">
      <c r="A22" s="12" t="s">
        <v>694</v>
      </c>
      <c r="B22" s="12" t="s">
        <v>695</v>
      </c>
      <c r="C22" s="12" t="s">
        <v>696</v>
      </c>
      <c r="D22" s="12" t="str">
        <f>"1,1750"</f>
        <v>1,1750</v>
      </c>
      <c r="E22" s="12" t="s">
        <v>20</v>
      </c>
      <c r="F22" s="12" t="s">
        <v>697</v>
      </c>
      <c r="G22" s="14" t="s">
        <v>286</v>
      </c>
      <c r="H22" s="14" t="s">
        <v>175</v>
      </c>
      <c r="I22" s="14" t="s">
        <v>183</v>
      </c>
      <c r="J22" s="13"/>
      <c r="K22" s="24" t="str">
        <f>"62,5"</f>
        <v>62,5</v>
      </c>
      <c r="L22" s="25" t="str">
        <f>"78,4312"</f>
        <v>78,4312</v>
      </c>
      <c r="M22" s="12" t="s">
        <v>698</v>
      </c>
    </row>
    <row r="23" spans="1:13" x14ac:dyDescent="0.2">
      <c r="A23" s="15" t="s">
        <v>700</v>
      </c>
      <c r="B23" s="15" t="s">
        <v>701</v>
      </c>
      <c r="C23" s="15" t="s">
        <v>692</v>
      </c>
      <c r="D23" s="15" t="str">
        <f>"1,1236"</f>
        <v>1,1236</v>
      </c>
      <c r="E23" s="15" t="s">
        <v>20</v>
      </c>
      <c r="F23" s="15" t="s">
        <v>33</v>
      </c>
      <c r="G23" s="16" t="s">
        <v>702</v>
      </c>
      <c r="H23" s="16" t="s">
        <v>687</v>
      </c>
      <c r="I23" s="16" t="s">
        <v>118</v>
      </c>
      <c r="J23" s="17"/>
      <c r="K23" s="26" t="str">
        <f>"37,5"</f>
        <v>37,5</v>
      </c>
      <c r="L23" s="27" t="str">
        <f>"46,8963"</f>
        <v>46,8963</v>
      </c>
      <c r="M23" s="15" t="s">
        <v>147</v>
      </c>
    </row>
    <row r="25" spans="1:13" ht="15" x14ac:dyDescent="0.2">
      <c r="A25" s="34" t="s">
        <v>15</v>
      </c>
      <c r="B25" s="34"/>
      <c r="C25" s="34"/>
      <c r="D25" s="34"/>
      <c r="E25" s="34"/>
      <c r="F25" s="34"/>
      <c r="G25" s="34"/>
      <c r="H25" s="34"/>
      <c r="I25" s="34"/>
      <c r="J25" s="34"/>
    </row>
    <row r="26" spans="1:13" x14ac:dyDescent="0.2">
      <c r="A26" s="9" t="s">
        <v>704</v>
      </c>
      <c r="B26" s="9" t="s">
        <v>705</v>
      </c>
      <c r="C26" s="9" t="s">
        <v>706</v>
      </c>
      <c r="D26" s="9" t="str">
        <f>"1,0444"</f>
        <v>1,0444</v>
      </c>
      <c r="E26" s="9" t="s">
        <v>20</v>
      </c>
      <c r="F26" s="9" t="s">
        <v>33</v>
      </c>
      <c r="G26" s="10" t="s">
        <v>707</v>
      </c>
      <c r="H26" s="10" t="s">
        <v>708</v>
      </c>
      <c r="I26" s="11" t="s">
        <v>117</v>
      </c>
      <c r="J26" s="11"/>
      <c r="K26" s="22" t="str">
        <f>"72,5"</f>
        <v>72,5</v>
      </c>
      <c r="L26" s="23" t="str">
        <f>"75,7190"</f>
        <v>75,7190</v>
      </c>
      <c r="M26" s="9" t="s">
        <v>709</v>
      </c>
    </row>
    <row r="27" spans="1:13" x14ac:dyDescent="0.2">
      <c r="A27" s="15" t="s">
        <v>711</v>
      </c>
      <c r="B27" s="15" t="s">
        <v>712</v>
      </c>
      <c r="C27" s="15" t="s">
        <v>713</v>
      </c>
      <c r="D27" s="15" t="str">
        <f>"1,0306"</f>
        <v>1,0306</v>
      </c>
      <c r="E27" s="15" t="s">
        <v>20</v>
      </c>
      <c r="F27" s="15" t="s">
        <v>33</v>
      </c>
      <c r="G27" s="16" t="s">
        <v>117</v>
      </c>
      <c r="H27" s="16" t="s">
        <v>266</v>
      </c>
      <c r="I27" s="17" t="s">
        <v>25</v>
      </c>
      <c r="J27" s="17"/>
      <c r="K27" s="26" t="str">
        <f>"77,5"</f>
        <v>77,5</v>
      </c>
      <c r="L27" s="27" t="str">
        <f>"84,2644"</f>
        <v>84,2644</v>
      </c>
      <c r="M27" s="15" t="s">
        <v>714</v>
      </c>
    </row>
    <row r="29" spans="1:13" ht="15" x14ac:dyDescent="0.2">
      <c r="A29" s="34" t="s">
        <v>29</v>
      </c>
      <c r="B29" s="34"/>
      <c r="C29" s="34"/>
      <c r="D29" s="34"/>
      <c r="E29" s="34"/>
      <c r="F29" s="34"/>
      <c r="G29" s="34"/>
      <c r="H29" s="34"/>
      <c r="I29" s="34"/>
      <c r="J29" s="34"/>
    </row>
    <row r="30" spans="1:13" x14ac:dyDescent="0.2">
      <c r="A30" s="9" t="s">
        <v>716</v>
      </c>
      <c r="B30" s="9" t="s">
        <v>717</v>
      </c>
      <c r="C30" s="9" t="s">
        <v>718</v>
      </c>
      <c r="D30" s="9" t="str">
        <f>"0,9760"</f>
        <v>0,9760</v>
      </c>
      <c r="E30" s="9" t="s">
        <v>20</v>
      </c>
      <c r="F30" s="9" t="s">
        <v>33</v>
      </c>
      <c r="G30" s="10" t="s">
        <v>707</v>
      </c>
      <c r="H30" s="10" t="s">
        <v>708</v>
      </c>
      <c r="I30" s="10" t="s">
        <v>117</v>
      </c>
      <c r="J30" s="11"/>
      <c r="K30" s="22" t="str">
        <f>"75,0"</f>
        <v>75,0</v>
      </c>
      <c r="L30" s="23" t="str">
        <f>"73,2000"</f>
        <v>73,2000</v>
      </c>
      <c r="M30" s="9" t="s">
        <v>719</v>
      </c>
    </row>
    <row r="31" spans="1:13" x14ac:dyDescent="0.2">
      <c r="A31" s="15" t="s">
        <v>721</v>
      </c>
      <c r="B31" s="15" t="s">
        <v>722</v>
      </c>
      <c r="C31" s="15" t="s">
        <v>723</v>
      </c>
      <c r="D31" s="15" t="str">
        <f>"0,9725"</f>
        <v>0,9725</v>
      </c>
      <c r="E31" s="15" t="s">
        <v>20</v>
      </c>
      <c r="F31" s="15" t="s">
        <v>33</v>
      </c>
      <c r="G31" s="16" t="s">
        <v>268</v>
      </c>
      <c r="H31" s="17" t="s">
        <v>292</v>
      </c>
      <c r="I31" s="16" t="s">
        <v>292</v>
      </c>
      <c r="J31" s="17"/>
      <c r="K31" s="26" t="str">
        <f>"50,0"</f>
        <v>50,0</v>
      </c>
      <c r="L31" s="27" t="str">
        <f>"52,6123"</f>
        <v>52,6123</v>
      </c>
      <c r="M31" s="15" t="s">
        <v>724</v>
      </c>
    </row>
    <row r="33" spans="1:13" ht="15" x14ac:dyDescent="0.2">
      <c r="A33" s="34" t="s">
        <v>201</v>
      </c>
      <c r="B33" s="34"/>
      <c r="C33" s="34"/>
      <c r="D33" s="34"/>
      <c r="E33" s="34"/>
      <c r="F33" s="34"/>
      <c r="G33" s="34"/>
      <c r="H33" s="34"/>
      <c r="I33" s="34"/>
      <c r="J33" s="34"/>
    </row>
    <row r="34" spans="1:13" x14ac:dyDescent="0.2">
      <c r="A34" s="6" t="s">
        <v>726</v>
      </c>
      <c r="B34" s="6" t="s">
        <v>727</v>
      </c>
      <c r="C34" s="6" t="s">
        <v>379</v>
      </c>
      <c r="D34" s="6" t="str">
        <f>"0,8746"</f>
        <v>0,8746</v>
      </c>
      <c r="E34" s="6" t="s">
        <v>20</v>
      </c>
      <c r="F34" s="6" t="s">
        <v>33</v>
      </c>
      <c r="G34" s="7" t="s">
        <v>687</v>
      </c>
      <c r="H34" s="7" t="s">
        <v>119</v>
      </c>
      <c r="I34" s="7" t="s">
        <v>677</v>
      </c>
      <c r="J34" s="8"/>
      <c r="K34" s="20" t="str">
        <f>"42,5"</f>
        <v>42,5</v>
      </c>
      <c r="L34" s="21" t="str">
        <f>"44,0099"</f>
        <v>44,0099</v>
      </c>
      <c r="M34" s="6" t="s">
        <v>728</v>
      </c>
    </row>
    <row r="36" spans="1:13" ht="15" x14ac:dyDescent="0.2">
      <c r="A36" s="34" t="s">
        <v>272</v>
      </c>
      <c r="B36" s="34"/>
      <c r="C36" s="34"/>
      <c r="D36" s="34"/>
      <c r="E36" s="34"/>
      <c r="F36" s="34"/>
      <c r="G36" s="34"/>
      <c r="H36" s="34"/>
      <c r="I36" s="34"/>
      <c r="J36" s="34"/>
    </row>
    <row r="37" spans="1:13" x14ac:dyDescent="0.2">
      <c r="A37" s="9" t="s">
        <v>730</v>
      </c>
      <c r="B37" s="9" t="s">
        <v>731</v>
      </c>
      <c r="C37" s="9" t="s">
        <v>732</v>
      </c>
      <c r="D37" s="9" t="str">
        <f>"1,0299"</f>
        <v>1,0299</v>
      </c>
      <c r="E37" s="9" t="s">
        <v>20</v>
      </c>
      <c r="F37" s="9" t="s">
        <v>33</v>
      </c>
      <c r="G37" s="10" t="s">
        <v>702</v>
      </c>
      <c r="H37" s="10" t="s">
        <v>687</v>
      </c>
      <c r="I37" s="11" t="s">
        <v>118</v>
      </c>
      <c r="J37" s="11"/>
      <c r="K37" s="22" t="str">
        <f>"35,0"</f>
        <v>35,0</v>
      </c>
      <c r="L37" s="23" t="str">
        <f>"36,0465"</f>
        <v>36,0465</v>
      </c>
      <c r="M37" s="9" t="s">
        <v>648</v>
      </c>
    </row>
    <row r="38" spans="1:13" x14ac:dyDescent="0.2">
      <c r="A38" s="12" t="s">
        <v>734</v>
      </c>
      <c r="B38" s="12" t="s">
        <v>735</v>
      </c>
      <c r="C38" s="12" t="s">
        <v>736</v>
      </c>
      <c r="D38" s="12" t="str">
        <f>"0,9352"</f>
        <v>0,9352</v>
      </c>
      <c r="E38" s="12" t="s">
        <v>20</v>
      </c>
      <c r="F38" s="12" t="s">
        <v>446</v>
      </c>
      <c r="G38" s="13" t="s">
        <v>737</v>
      </c>
      <c r="H38" s="13" t="s">
        <v>737</v>
      </c>
      <c r="I38" s="14" t="s">
        <v>737</v>
      </c>
      <c r="J38" s="13"/>
      <c r="K38" s="24" t="str">
        <f>"30,0"</f>
        <v>30,0</v>
      </c>
      <c r="L38" s="25" t="str">
        <f>"28,0560"</f>
        <v>28,0560</v>
      </c>
      <c r="M38" s="12" t="s">
        <v>738</v>
      </c>
    </row>
    <row r="39" spans="1:13" x14ac:dyDescent="0.2">
      <c r="A39" s="12" t="s">
        <v>740</v>
      </c>
      <c r="B39" s="12" t="s">
        <v>741</v>
      </c>
      <c r="C39" s="12" t="s">
        <v>742</v>
      </c>
      <c r="D39" s="12" t="str">
        <f>"0,9474"</f>
        <v>0,9474</v>
      </c>
      <c r="E39" s="12" t="s">
        <v>20</v>
      </c>
      <c r="F39" s="12" t="s">
        <v>33</v>
      </c>
      <c r="G39" s="14" t="s">
        <v>591</v>
      </c>
      <c r="H39" s="14" t="s">
        <v>291</v>
      </c>
      <c r="I39" s="13" t="s">
        <v>269</v>
      </c>
      <c r="J39" s="13"/>
      <c r="K39" s="24" t="str">
        <f>"85,0"</f>
        <v>85,0</v>
      </c>
      <c r="L39" s="25" t="str">
        <f>"80,5290"</f>
        <v>80,5290</v>
      </c>
      <c r="M39" s="12" t="s">
        <v>743</v>
      </c>
    </row>
    <row r="40" spans="1:13" x14ac:dyDescent="0.2">
      <c r="A40" s="15" t="s">
        <v>745</v>
      </c>
      <c r="B40" s="15" t="s">
        <v>746</v>
      </c>
      <c r="C40" s="15" t="s">
        <v>747</v>
      </c>
      <c r="D40" s="15" t="str">
        <f>"0,9300"</f>
        <v>0,9300</v>
      </c>
      <c r="E40" s="15" t="s">
        <v>20</v>
      </c>
      <c r="F40" s="15" t="s">
        <v>214</v>
      </c>
      <c r="G40" s="17" t="s">
        <v>175</v>
      </c>
      <c r="H40" s="16" t="s">
        <v>175</v>
      </c>
      <c r="I40" s="16" t="s">
        <v>183</v>
      </c>
      <c r="J40" s="17"/>
      <c r="K40" s="26" t="str">
        <f>"62,5"</f>
        <v>62,5</v>
      </c>
      <c r="L40" s="27" t="str">
        <f>"111,4838"</f>
        <v>111,4838</v>
      </c>
      <c r="M40" s="15" t="s">
        <v>147</v>
      </c>
    </row>
    <row r="42" spans="1:13" ht="15" x14ac:dyDescent="0.2">
      <c r="A42" s="34" t="s">
        <v>15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3" x14ac:dyDescent="0.2">
      <c r="A43" s="9" t="s">
        <v>749</v>
      </c>
      <c r="B43" s="9" t="s">
        <v>750</v>
      </c>
      <c r="C43" s="9" t="s">
        <v>751</v>
      </c>
      <c r="D43" s="9" t="str">
        <f>"0,7932"</f>
        <v>0,7932</v>
      </c>
      <c r="E43" s="9" t="s">
        <v>20</v>
      </c>
      <c r="F43" s="9" t="s">
        <v>752</v>
      </c>
      <c r="G43" s="10" t="s">
        <v>175</v>
      </c>
      <c r="H43" s="10" t="s">
        <v>116</v>
      </c>
      <c r="I43" s="10" t="s">
        <v>176</v>
      </c>
      <c r="J43" s="11"/>
      <c r="K43" s="22" t="str">
        <f>"70,0"</f>
        <v>70,0</v>
      </c>
      <c r="L43" s="23" t="str">
        <f>"55,5240"</f>
        <v>55,5240</v>
      </c>
      <c r="M43" s="9" t="s">
        <v>753</v>
      </c>
    </row>
    <row r="44" spans="1:13" x14ac:dyDescent="0.2">
      <c r="A44" s="12" t="s">
        <v>755</v>
      </c>
      <c r="B44" s="12" t="s">
        <v>756</v>
      </c>
      <c r="C44" s="12" t="s">
        <v>757</v>
      </c>
      <c r="D44" s="12" t="str">
        <f>"0,7852"</f>
        <v>0,7852</v>
      </c>
      <c r="E44" s="12" t="s">
        <v>20</v>
      </c>
      <c r="F44" s="12" t="s">
        <v>33</v>
      </c>
      <c r="G44" s="14" t="s">
        <v>27</v>
      </c>
      <c r="H44" s="13" t="s">
        <v>36</v>
      </c>
      <c r="I44" s="13" t="s">
        <v>36</v>
      </c>
      <c r="J44" s="13"/>
      <c r="K44" s="24" t="str">
        <f>"100,0"</f>
        <v>100,0</v>
      </c>
      <c r="L44" s="25" t="str">
        <f>"78,5200"</f>
        <v>78,5200</v>
      </c>
      <c r="M44" s="12" t="s">
        <v>758</v>
      </c>
    </row>
    <row r="45" spans="1:13" x14ac:dyDescent="0.2">
      <c r="A45" s="12" t="s">
        <v>760</v>
      </c>
      <c r="B45" s="12" t="s">
        <v>761</v>
      </c>
      <c r="C45" s="12" t="s">
        <v>388</v>
      </c>
      <c r="D45" s="12" t="str">
        <f>"0,8378"</f>
        <v>0,8378</v>
      </c>
      <c r="E45" s="12" t="s">
        <v>20</v>
      </c>
      <c r="F45" s="12" t="s">
        <v>389</v>
      </c>
      <c r="G45" s="13" t="s">
        <v>36</v>
      </c>
      <c r="H45" s="13" t="s">
        <v>36</v>
      </c>
      <c r="I45" s="14" t="s">
        <v>36</v>
      </c>
      <c r="J45" s="13"/>
      <c r="K45" s="24" t="str">
        <f>"110,0"</f>
        <v>110,0</v>
      </c>
      <c r="L45" s="25" t="str">
        <f>"92,1580"</f>
        <v>92,1580</v>
      </c>
      <c r="M45" s="12" t="s">
        <v>390</v>
      </c>
    </row>
    <row r="46" spans="1:13" x14ac:dyDescent="0.2">
      <c r="A46" s="15" t="s">
        <v>762</v>
      </c>
      <c r="B46" s="15" t="s">
        <v>763</v>
      </c>
      <c r="C46" s="15" t="s">
        <v>764</v>
      </c>
      <c r="D46" s="15" t="str">
        <f>"0,8503"</f>
        <v>0,8503</v>
      </c>
      <c r="E46" s="15" t="s">
        <v>20</v>
      </c>
      <c r="F46" s="15" t="s">
        <v>765</v>
      </c>
      <c r="G46" s="17" t="s">
        <v>766</v>
      </c>
      <c r="H46" s="17" t="s">
        <v>766</v>
      </c>
      <c r="I46" s="17" t="s">
        <v>766</v>
      </c>
      <c r="J46" s="17"/>
      <c r="K46" s="26" t="str">
        <f>"0.00"</f>
        <v>0.00</v>
      </c>
      <c r="L46" s="27" t="str">
        <f>"0,0000"</f>
        <v>0,0000</v>
      </c>
      <c r="M46" s="15" t="s">
        <v>767</v>
      </c>
    </row>
    <row r="48" spans="1:13" ht="15" x14ac:dyDescent="0.2">
      <c r="A48" s="34" t="s">
        <v>29</v>
      </c>
      <c r="B48" s="34"/>
      <c r="C48" s="34"/>
      <c r="D48" s="34"/>
      <c r="E48" s="34"/>
      <c r="F48" s="34"/>
      <c r="G48" s="34"/>
      <c r="H48" s="34"/>
      <c r="I48" s="34"/>
      <c r="J48" s="34"/>
    </row>
    <row r="49" spans="1:13" x14ac:dyDescent="0.2">
      <c r="A49" s="9" t="s">
        <v>769</v>
      </c>
      <c r="B49" s="9" t="s">
        <v>770</v>
      </c>
      <c r="C49" s="9" t="s">
        <v>771</v>
      </c>
      <c r="D49" s="9" t="str">
        <f>"0,7221"</f>
        <v>0,7221</v>
      </c>
      <c r="E49" s="9" t="s">
        <v>20</v>
      </c>
      <c r="F49" s="9" t="s">
        <v>415</v>
      </c>
      <c r="G49" s="10" t="s">
        <v>207</v>
      </c>
      <c r="H49" s="10" t="s">
        <v>208</v>
      </c>
      <c r="I49" s="10" t="s">
        <v>128</v>
      </c>
      <c r="J49" s="11"/>
      <c r="K49" s="22" t="str">
        <f>"137,5"</f>
        <v>137,5</v>
      </c>
      <c r="L49" s="23" t="str">
        <f>"99,2888"</f>
        <v>99,2888</v>
      </c>
      <c r="M49" s="9" t="s">
        <v>772</v>
      </c>
    </row>
    <row r="50" spans="1:13" x14ac:dyDescent="0.2">
      <c r="A50" s="12" t="s">
        <v>774</v>
      </c>
      <c r="B50" s="12" t="s">
        <v>775</v>
      </c>
      <c r="C50" s="12" t="s">
        <v>776</v>
      </c>
      <c r="D50" s="12" t="str">
        <f>"0,7152"</f>
        <v>0,7152</v>
      </c>
      <c r="E50" s="12" t="s">
        <v>20</v>
      </c>
      <c r="F50" s="12" t="s">
        <v>33</v>
      </c>
      <c r="G50" s="14" t="s">
        <v>38</v>
      </c>
      <c r="H50" s="14" t="s">
        <v>207</v>
      </c>
      <c r="I50" s="14" t="s">
        <v>208</v>
      </c>
      <c r="J50" s="13" t="s">
        <v>22</v>
      </c>
      <c r="K50" s="24" t="str">
        <f>"132,5"</f>
        <v>132,5</v>
      </c>
      <c r="L50" s="25" t="str">
        <f>"94,7640"</f>
        <v>94,7640</v>
      </c>
      <c r="M50" s="12" t="s">
        <v>777</v>
      </c>
    </row>
    <row r="51" spans="1:13" x14ac:dyDescent="0.2">
      <c r="A51" s="12" t="s">
        <v>779</v>
      </c>
      <c r="B51" s="12" t="s">
        <v>780</v>
      </c>
      <c r="C51" s="12" t="s">
        <v>781</v>
      </c>
      <c r="D51" s="12" t="str">
        <f>"0,7179"</f>
        <v>0,7179</v>
      </c>
      <c r="E51" s="12" t="s">
        <v>20</v>
      </c>
      <c r="F51" s="12" t="s">
        <v>782</v>
      </c>
      <c r="G51" s="14" t="s">
        <v>190</v>
      </c>
      <c r="H51" s="13" t="s">
        <v>128</v>
      </c>
      <c r="I51" s="14" t="s">
        <v>128</v>
      </c>
      <c r="J51" s="13"/>
      <c r="K51" s="24" t="str">
        <f>"137,5"</f>
        <v>137,5</v>
      </c>
      <c r="L51" s="25" t="str">
        <f>"98,7112"</f>
        <v>98,7112</v>
      </c>
      <c r="M51" s="12" t="s">
        <v>783</v>
      </c>
    </row>
    <row r="52" spans="1:13" x14ac:dyDescent="0.2">
      <c r="A52" s="12" t="s">
        <v>785</v>
      </c>
      <c r="B52" s="12" t="s">
        <v>786</v>
      </c>
      <c r="C52" s="12" t="s">
        <v>787</v>
      </c>
      <c r="D52" s="12" t="str">
        <f>"0,7207"</f>
        <v>0,7207</v>
      </c>
      <c r="E52" s="12" t="s">
        <v>20</v>
      </c>
      <c r="F52" s="12" t="s">
        <v>788</v>
      </c>
      <c r="G52" s="14" t="s">
        <v>26</v>
      </c>
      <c r="H52" s="14" t="s">
        <v>277</v>
      </c>
      <c r="I52" s="13" t="s">
        <v>27</v>
      </c>
      <c r="J52" s="13"/>
      <c r="K52" s="24" t="str">
        <f>"95,0"</f>
        <v>95,0</v>
      </c>
      <c r="L52" s="25" t="str">
        <f>"68,4665"</f>
        <v>68,4665</v>
      </c>
      <c r="M52" s="12" t="s">
        <v>789</v>
      </c>
    </row>
    <row r="53" spans="1:13" x14ac:dyDescent="0.2">
      <c r="A53" s="12" t="s">
        <v>791</v>
      </c>
      <c r="B53" s="12" t="s">
        <v>792</v>
      </c>
      <c r="C53" s="12" t="s">
        <v>793</v>
      </c>
      <c r="D53" s="12" t="str">
        <f>"0,7186"</f>
        <v>0,7186</v>
      </c>
      <c r="E53" s="12" t="s">
        <v>20</v>
      </c>
      <c r="F53" s="12" t="s">
        <v>33</v>
      </c>
      <c r="G53" s="14" t="s">
        <v>22</v>
      </c>
      <c r="H53" s="14" t="s">
        <v>23</v>
      </c>
      <c r="I53" s="14" t="s">
        <v>199</v>
      </c>
      <c r="J53" s="13"/>
      <c r="K53" s="24" t="str">
        <f>"155,0"</f>
        <v>155,0</v>
      </c>
      <c r="L53" s="25" t="str">
        <f>"112,4968"</f>
        <v>112,4968</v>
      </c>
      <c r="M53" s="12" t="s">
        <v>794</v>
      </c>
    </row>
    <row r="54" spans="1:13" x14ac:dyDescent="0.2">
      <c r="A54" s="12" t="s">
        <v>795</v>
      </c>
      <c r="B54" s="12" t="s">
        <v>220</v>
      </c>
      <c r="C54" s="12" t="s">
        <v>723</v>
      </c>
      <c r="D54" s="12" t="str">
        <f>"0,7307"</f>
        <v>0,7307</v>
      </c>
      <c r="E54" s="12" t="s">
        <v>20</v>
      </c>
      <c r="F54" s="12" t="s">
        <v>33</v>
      </c>
      <c r="G54" s="13" t="s">
        <v>25</v>
      </c>
      <c r="H54" s="14" t="s">
        <v>291</v>
      </c>
      <c r="I54" s="14" t="s">
        <v>269</v>
      </c>
      <c r="J54" s="13"/>
      <c r="K54" s="24" t="str">
        <f>"87,5"</f>
        <v>87,5</v>
      </c>
      <c r="L54" s="25" t="str">
        <f>"65,9183"</f>
        <v>65,9183</v>
      </c>
      <c r="M54" s="12" t="s">
        <v>796</v>
      </c>
    </row>
    <row r="55" spans="1:13" x14ac:dyDescent="0.2">
      <c r="A55" s="12" t="s">
        <v>798</v>
      </c>
      <c r="B55" s="12" t="s">
        <v>799</v>
      </c>
      <c r="C55" s="12" t="s">
        <v>800</v>
      </c>
      <c r="D55" s="12" t="str">
        <f>"0,7453"</f>
        <v>0,7453</v>
      </c>
      <c r="E55" s="12" t="s">
        <v>20</v>
      </c>
      <c r="F55" s="12" t="s">
        <v>801</v>
      </c>
      <c r="G55" s="14" t="s">
        <v>37</v>
      </c>
      <c r="H55" s="13" t="s">
        <v>38</v>
      </c>
      <c r="I55" s="14" t="s">
        <v>38</v>
      </c>
      <c r="J55" s="13"/>
      <c r="K55" s="24" t="str">
        <f>"120,0"</f>
        <v>120,0</v>
      </c>
      <c r="L55" s="25" t="str">
        <f>"102,5831"</f>
        <v>102,5831</v>
      </c>
      <c r="M55" s="12" t="s">
        <v>271</v>
      </c>
    </row>
    <row r="56" spans="1:13" x14ac:dyDescent="0.2">
      <c r="A56" s="15" t="s">
        <v>803</v>
      </c>
      <c r="B56" s="15" t="s">
        <v>804</v>
      </c>
      <c r="C56" s="15" t="s">
        <v>805</v>
      </c>
      <c r="D56" s="15" t="str">
        <f>"0,7173"</f>
        <v>0,7173</v>
      </c>
      <c r="E56" s="15" t="s">
        <v>20</v>
      </c>
      <c r="F56" s="15" t="s">
        <v>33</v>
      </c>
      <c r="G56" s="16" t="s">
        <v>416</v>
      </c>
      <c r="H56" s="17" t="s">
        <v>22</v>
      </c>
      <c r="I56" s="17" t="s">
        <v>22</v>
      </c>
      <c r="J56" s="17"/>
      <c r="K56" s="26" t="str">
        <f>"135,0"</f>
        <v>135,0</v>
      </c>
      <c r="L56" s="27" t="str">
        <f>"149,4172"</f>
        <v>149,4172</v>
      </c>
      <c r="M56" s="15" t="s">
        <v>806</v>
      </c>
    </row>
    <row r="58" spans="1:13" ht="15" x14ac:dyDescent="0.2">
      <c r="A58" s="34" t="s">
        <v>41</v>
      </c>
      <c r="B58" s="34"/>
      <c r="C58" s="34"/>
      <c r="D58" s="34"/>
      <c r="E58" s="34"/>
      <c r="F58" s="34"/>
      <c r="G58" s="34"/>
      <c r="H58" s="34"/>
      <c r="I58" s="34"/>
      <c r="J58" s="34"/>
    </row>
    <row r="59" spans="1:13" x14ac:dyDescent="0.2">
      <c r="A59" s="9" t="s">
        <v>808</v>
      </c>
      <c r="B59" s="9" t="s">
        <v>809</v>
      </c>
      <c r="C59" s="9" t="s">
        <v>188</v>
      </c>
      <c r="D59" s="9" t="str">
        <f>"0,6795"</f>
        <v>0,6795</v>
      </c>
      <c r="E59" s="9" t="s">
        <v>20</v>
      </c>
      <c r="F59" s="9" t="s">
        <v>446</v>
      </c>
      <c r="G59" s="10" t="s">
        <v>116</v>
      </c>
      <c r="H59" s="10" t="s">
        <v>117</v>
      </c>
      <c r="I59" s="11" t="s">
        <v>25</v>
      </c>
      <c r="J59" s="11"/>
      <c r="K59" s="22" t="str">
        <f>"75,0"</f>
        <v>75,0</v>
      </c>
      <c r="L59" s="23" t="str">
        <f>"50,9625"</f>
        <v>50,9625</v>
      </c>
      <c r="M59" s="9" t="s">
        <v>810</v>
      </c>
    </row>
    <row r="60" spans="1:13" x14ac:dyDescent="0.2">
      <c r="A60" s="12" t="s">
        <v>812</v>
      </c>
      <c r="B60" s="12" t="s">
        <v>813</v>
      </c>
      <c r="C60" s="12" t="s">
        <v>814</v>
      </c>
      <c r="D60" s="12" t="str">
        <f>"0,6709"</f>
        <v>0,6709</v>
      </c>
      <c r="E60" s="12" t="s">
        <v>20</v>
      </c>
      <c r="F60" s="12" t="s">
        <v>33</v>
      </c>
      <c r="G60" s="14" t="s">
        <v>322</v>
      </c>
      <c r="H60" s="14" t="s">
        <v>447</v>
      </c>
      <c r="I60" s="13" t="s">
        <v>35</v>
      </c>
      <c r="J60" s="13"/>
      <c r="K60" s="24" t="str">
        <f>"177,5"</f>
        <v>177,5</v>
      </c>
      <c r="L60" s="25" t="str">
        <f>"119,0847"</f>
        <v>119,0847</v>
      </c>
      <c r="M60" s="12" t="s">
        <v>815</v>
      </c>
    </row>
    <row r="61" spans="1:13" x14ac:dyDescent="0.2">
      <c r="A61" s="12" t="s">
        <v>817</v>
      </c>
      <c r="B61" s="12" t="s">
        <v>818</v>
      </c>
      <c r="C61" s="12" t="s">
        <v>819</v>
      </c>
      <c r="D61" s="12" t="str">
        <f>"0,6910"</f>
        <v>0,6910</v>
      </c>
      <c r="E61" s="12" t="s">
        <v>20</v>
      </c>
      <c r="F61" s="12" t="s">
        <v>33</v>
      </c>
      <c r="G61" s="14" t="s">
        <v>37</v>
      </c>
      <c r="H61" s="14" t="s">
        <v>207</v>
      </c>
      <c r="I61" s="14" t="s">
        <v>190</v>
      </c>
      <c r="J61" s="13"/>
      <c r="K61" s="24" t="str">
        <f>"130,0"</f>
        <v>130,0</v>
      </c>
      <c r="L61" s="25" t="str">
        <f>"89,8300"</f>
        <v>89,8300</v>
      </c>
      <c r="M61" s="12" t="s">
        <v>820</v>
      </c>
    </row>
    <row r="62" spans="1:13" x14ac:dyDescent="0.2">
      <c r="A62" s="12" t="s">
        <v>822</v>
      </c>
      <c r="B62" s="12" t="s">
        <v>823</v>
      </c>
      <c r="C62" s="12" t="s">
        <v>45</v>
      </c>
      <c r="D62" s="12" t="str">
        <f>"0,6779"</f>
        <v>0,6779</v>
      </c>
      <c r="E62" s="12" t="s">
        <v>20</v>
      </c>
      <c r="F62" s="12" t="s">
        <v>33</v>
      </c>
      <c r="G62" s="14" t="s">
        <v>278</v>
      </c>
      <c r="H62" s="14" t="s">
        <v>285</v>
      </c>
      <c r="I62" s="13" t="s">
        <v>38</v>
      </c>
      <c r="J62" s="13"/>
      <c r="K62" s="24" t="str">
        <f>"112,5"</f>
        <v>112,5</v>
      </c>
      <c r="L62" s="25" t="str">
        <f>"76,2638"</f>
        <v>76,2638</v>
      </c>
      <c r="M62" s="12" t="s">
        <v>824</v>
      </c>
    </row>
    <row r="63" spans="1:13" x14ac:dyDescent="0.2">
      <c r="A63" s="12" t="s">
        <v>825</v>
      </c>
      <c r="B63" s="12" t="s">
        <v>309</v>
      </c>
      <c r="C63" s="12" t="s">
        <v>310</v>
      </c>
      <c r="D63" s="12" t="str">
        <f>"0,6876"</f>
        <v>0,6876</v>
      </c>
      <c r="E63" s="12" t="s">
        <v>20</v>
      </c>
      <c r="F63" s="12" t="s">
        <v>311</v>
      </c>
      <c r="G63" s="13" t="s">
        <v>34</v>
      </c>
      <c r="H63" s="13"/>
      <c r="I63" s="13"/>
      <c r="J63" s="13"/>
      <c r="K63" s="24" t="str">
        <f>"0.00"</f>
        <v>0.00</v>
      </c>
      <c r="L63" s="25" t="str">
        <f>"0,0000"</f>
        <v>0,0000</v>
      </c>
      <c r="M63" s="12" t="s">
        <v>28</v>
      </c>
    </row>
    <row r="64" spans="1:13" x14ac:dyDescent="0.2">
      <c r="A64" s="12" t="s">
        <v>826</v>
      </c>
      <c r="B64" s="12" t="s">
        <v>827</v>
      </c>
      <c r="C64" s="12" t="s">
        <v>828</v>
      </c>
      <c r="D64" s="12" t="str">
        <f>"0,6744"</f>
        <v>0,6744</v>
      </c>
      <c r="E64" s="12" t="s">
        <v>20</v>
      </c>
      <c r="F64" s="12" t="s">
        <v>33</v>
      </c>
      <c r="G64" s="14" t="s">
        <v>27</v>
      </c>
      <c r="H64" s="13" t="s">
        <v>36</v>
      </c>
      <c r="I64" s="13" t="s">
        <v>36</v>
      </c>
      <c r="J64" s="13"/>
      <c r="K64" s="24" t="str">
        <f>"100,0"</f>
        <v>100,0</v>
      </c>
      <c r="L64" s="25" t="str">
        <f>"70,3399"</f>
        <v>70,3399</v>
      </c>
      <c r="M64" s="12" t="s">
        <v>829</v>
      </c>
    </row>
    <row r="65" spans="1:13" x14ac:dyDescent="0.2">
      <c r="A65" s="12" t="s">
        <v>831</v>
      </c>
      <c r="B65" s="12" t="s">
        <v>832</v>
      </c>
      <c r="C65" s="12" t="s">
        <v>833</v>
      </c>
      <c r="D65" s="12" t="str">
        <f>"0,6811"</f>
        <v>0,6811</v>
      </c>
      <c r="E65" s="12" t="s">
        <v>20</v>
      </c>
      <c r="F65" s="12" t="s">
        <v>834</v>
      </c>
      <c r="G65" s="14" t="s">
        <v>177</v>
      </c>
      <c r="H65" s="13" t="s">
        <v>190</v>
      </c>
      <c r="I65" s="14" t="s">
        <v>190</v>
      </c>
      <c r="J65" s="13"/>
      <c r="K65" s="24" t="str">
        <f>"130,0"</f>
        <v>130,0</v>
      </c>
      <c r="L65" s="25" t="str">
        <f>"103,1526"</f>
        <v>103,1526</v>
      </c>
      <c r="M65" s="12" t="s">
        <v>835</v>
      </c>
    </row>
    <row r="66" spans="1:13" x14ac:dyDescent="0.2">
      <c r="A66" s="12" t="s">
        <v>837</v>
      </c>
      <c r="B66" s="12" t="s">
        <v>838</v>
      </c>
      <c r="C66" s="12" t="s">
        <v>839</v>
      </c>
      <c r="D66" s="12" t="str">
        <f>"0,7042"</f>
        <v>0,7042</v>
      </c>
      <c r="E66" s="12" t="s">
        <v>20</v>
      </c>
      <c r="F66" s="12" t="s">
        <v>840</v>
      </c>
      <c r="G66" s="13"/>
      <c r="H66" s="14" t="s">
        <v>207</v>
      </c>
      <c r="I66" s="13" t="s">
        <v>766</v>
      </c>
      <c r="J66" s="13"/>
      <c r="K66" s="24" t="str">
        <f>"125,0"</f>
        <v>125,0</v>
      </c>
      <c r="L66" s="25" t="str">
        <f>"115,7529"</f>
        <v>115,7529</v>
      </c>
      <c r="M66" s="12" t="s">
        <v>271</v>
      </c>
    </row>
    <row r="67" spans="1:13" x14ac:dyDescent="0.2">
      <c r="A67" s="12" t="s">
        <v>842</v>
      </c>
      <c r="B67" s="12" t="s">
        <v>843</v>
      </c>
      <c r="C67" s="12" t="s">
        <v>844</v>
      </c>
      <c r="D67" s="12" t="str">
        <f>"0,6854"</f>
        <v>0,6854</v>
      </c>
      <c r="E67" s="12" t="s">
        <v>20</v>
      </c>
      <c r="F67" s="12" t="s">
        <v>58</v>
      </c>
      <c r="G67" s="14" t="s">
        <v>37</v>
      </c>
      <c r="H67" s="14" t="s">
        <v>217</v>
      </c>
      <c r="I67" s="14" t="s">
        <v>38</v>
      </c>
      <c r="J67" s="13"/>
      <c r="K67" s="24" t="str">
        <f>"120,0"</f>
        <v>120,0</v>
      </c>
      <c r="L67" s="25" t="str">
        <f>"104,2905"</f>
        <v>104,2905</v>
      </c>
      <c r="M67" s="12" t="s">
        <v>28</v>
      </c>
    </row>
    <row r="68" spans="1:13" x14ac:dyDescent="0.2">
      <c r="A68" s="12" t="s">
        <v>846</v>
      </c>
      <c r="B68" s="12" t="s">
        <v>847</v>
      </c>
      <c r="C68" s="12" t="s">
        <v>57</v>
      </c>
      <c r="D68" s="12" t="str">
        <f>"0,6764"</f>
        <v>0,6764</v>
      </c>
      <c r="E68" s="12" t="s">
        <v>20</v>
      </c>
      <c r="F68" s="12" t="s">
        <v>389</v>
      </c>
      <c r="G68" s="14" t="s">
        <v>291</v>
      </c>
      <c r="H68" s="14" t="s">
        <v>277</v>
      </c>
      <c r="I68" s="13" t="s">
        <v>278</v>
      </c>
      <c r="J68" s="13"/>
      <c r="K68" s="24" t="str">
        <f>"95,0"</f>
        <v>95,0</v>
      </c>
      <c r="L68" s="25" t="str">
        <f>"91,3106"</f>
        <v>91,3106</v>
      </c>
      <c r="M68" s="12" t="s">
        <v>390</v>
      </c>
    </row>
    <row r="69" spans="1:13" x14ac:dyDescent="0.2">
      <c r="A69" s="12" t="s">
        <v>849</v>
      </c>
      <c r="B69" s="12" t="s">
        <v>850</v>
      </c>
      <c r="C69" s="12" t="s">
        <v>851</v>
      </c>
      <c r="D69" s="12" t="str">
        <f>"0,6933"</f>
        <v>0,6933</v>
      </c>
      <c r="E69" s="12" t="s">
        <v>20</v>
      </c>
      <c r="F69" s="12" t="s">
        <v>389</v>
      </c>
      <c r="G69" s="14" t="s">
        <v>27</v>
      </c>
      <c r="H69" s="14" t="s">
        <v>36</v>
      </c>
      <c r="I69" s="13" t="s">
        <v>37</v>
      </c>
      <c r="J69" s="13"/>
      <c r="K69" s="24" t="str">
        <f>"110,0"</f>
        <v>110,0</v>
      </c>
      <c r="L69" s="25" t="str">
        <f>"120,1905"</f>
        <v>120,1905</v>
      </c>
      <c r="M69" s="12" t="s">
        <v>390</v>
      </c>
    </row>
    <row r="70" spans="1:13" x14ac:dyDescent="0.2">
      <c r="A70" s="15" t="s">
        <v>853</v>
      </c>
      <c r="B70" s="15" t="s">
        <v>854</v>
      </c>
      <c r="C70" s="15" t="s">
        <v>855</v>
      </c>
      <c r="D70" s="15" t="str">
        <f>"0,6843"</f>
        <v>0,6843</v>
      </c>
      <c r="E70" s="15" t="s">
        <v>20</v>
      </c>
      <c r="F70" s="15" t="s">
        <v>400</v>
      </c>
      <c r="G70" s="16" t="s">
        <v>708</v>
      </c>
      <c r="H70" s="16" t="s">
        <v>117</v>
      </c>
      <c r="I70" s="17" t="s">
        <v>266</v>
      </c>
      <c r="J70" s="17"/>
      <c r="K70" s="26" t="str">
        <f>"75,0"</f>
        <v>75,0</v>
      </c>
      <c r="L70" s="27" t="str">
        <f>"94,1768"</f>
        <v>94,1768</v>
      </c>
      <c r="M70" s="15" t="s">
        <v>856</v>
      </c>
    </row>
    <row r="72" spans="1:13" ht="15" x14ac:dyDescent="0.2">
      <c r="A72" s="34" t="s">
        <v>201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3" x14ac:dyDescent="0.2">
      <c r="A73" s="9" t="s">
        <v>858</v>
      </c>
      <c r="B73" s="9" t="s">
        <v>859</v>
      </c>
      <c r="C73" s="9" t="s">
        <v>860</v>
      </c>
      <c r="D73" s="9" t="str">
        <f>"0,6451"</f>
        <v>0,6451</v>
      </c>
      <c r="E73" s="9" t="s">
        <v>20</v>
      </c>
      <c r="F73" s="9" t="s">
        <v>33</v>
      </c>
      <c r="G73" s="10" t="s">
        <v>199</v>
      </c>
      <c r="H73" s="11" t="s">
        <v>380</v>
      </c>
      <c r="I73" s="11" t="s">
        <v>380</v>
      </c>
      <c r="J73" s="11"/>
      <c r="K73" s="22" t="str">
        <f>"155,0"</f>
        <v>155,0</v>
      </c>
      <c r="L73" s="23" t="str">
        <f>"99,9905"</f>
        <v>99,9905</v>
      </c>
      <c r="M73" s="9" t="s">
        <v>271</v>
      </c>
    </row>
    <row r="74" spans="1:13" x14ac:dyDescent="0.2">
      <c r="A74" s="12" t="s">
        <v>862</v>
      </c>
      <c r="B74" s="12" t="s">
        <v>863</v>
      </c>
      <c r="C74" s="12" t="s">
        <v>864</v>
      </c>
      <c r="D74" s="12" t="str">
        <f>"0,6463"</f>
        <v>0,6463</v>
      </c>
      <c r="E74" s="12" t="s">
        <v>20</v>
      </c>
      <c r="F74" s="12" t="s">
        <v>33</v>
      </c>
      <c r="G74" s="14" t="s">
        <v>405</v>
      </c>
      <c r="H74" s="14" t="s">
        <v>865</v>
      </c>
      <c r="I74" s="13" t="s">
        <v>866</v>
      </c>
      <c r="J74" s="13"/>
      <c r="K74" s="24" t="str">
        <f>"191,0"</f>
        <v>191,0</v>
      </c>
      <c r="L74" s="25" t="str">
        <f>"123,4433"</f>
        <v>123,4433</v>
      </c>
      <c r="M74" s="12" t="s">
        <v>867</v>
      </c>
    </row>
    <row r="75" spans="1:13" x14ac:dyDescent="0.2">
      <c r="A75" s="12" t="s">
        <v>869</v>
      </c>
      <c r="B75" s="12" t="s">
        <v>870</v>
      </c>
      <c r="C75" s="12" t="s">
        <v>871</v>
      </c>
      <c r="D75" s="12" t="str">
        <f>"0,6549"</f>
        <v>0,6549</v>
      </c>
      <c r="E75" s="12" t="s">
        <v>20</v>
      </c>
      <c r="F75" s="12" t="s">
        <v>33</v>
      </c>
      <c r="G75" s="14" t="s">
        <v>23</v>
      </c>
      <c r="H75" s="14" t="s">
        <v>24</v>
      </c>
      <c r="I75" s="14" t="s">
        <v>60</v>
      </c>
      <c r="J75" s="13"/>
      <c r="K75" s="24" t="str">
        <f>"167,5"</f>
        <v>167,5</v>
      </c>
      <c r="L75" s="25" t="str">
        <f>"109,6958"</f>
        <v>109,6958</v>
      </c>
      <c r="M75" s="12" t="s">
        <v>28</v>
      </c>
    </row>
    <row r="76" spans="1:13" x14ac:dyDescent="0.2">
      <c r="A76" s="12" t="s">
        <v>873</v>
      </c>
      <c r="B76" s="12" t="s">
        <v>874</v>
      </c>
      <c r="C76" s="12" t="s">
        <v>875</v>
      </c>
      <c r="D76" s="12" t="str">
        <f>"0,6499"</f>
        <v>0,6499</v>
      </c>
      <c r="E76" s="12" t="s">
        <v>20</v>
      </c>
      <c r="F76" s="12" t="s">
        <v>33</v>
      </c>
      <c r="G76" s="14" t="s">
        <v>23</v>
      </c>
      <c r="H76" s="14" t="s">
        <v>199</v>
      </c>
      <c r="I76" s="13" t="s">
        <v>380</v>
      </c>
      <c r="J76" s="13"/>
      <c r="K76" s="24" t="str">
        <f>"155,0"</f>
        <v>155,0</v>
      </c>
      <c r="L76" s="25" t="str">
        <f>"100,7345"</f>
        <v>100,7345</v>
      </c>
      <c r="M76" s="12" t="s">
        <v>271</v>
      </c>
    </row>
    <row r="77" spans="1:13" x14ac:dyDescent="0.2">
      <c r="A77" s="12" t="s">
        <v>877</v>
      </c>
      <c r="B77" s="12" t="s">
        <v>878</v>
      </c>
      <c r="C77" s="12" t="s">
        <v>879</v>
      </c>
      <c r="D77" s="12" t="str">
        <f>"0,6395"</f>
        <v>0,6395</v>
      </c>
      <c r="E77" s="12" t="s">
        <v>126</v>
      </c>
      <c r="F77" s="12" t="s">
        <v>880</v>
      </c>
      <c r="G77" s="14" t="s">
        <v>24</v>
      </c>
      <c r="H77" s="13" t="s">
        <v>34</v>
      </c>
      <c r="I77" s="13" t="s">
        <v>34</v>
      </c>
      <c r="J77" s="13"/>
      <c r="K77" s="24" t="str">
        <f>"160,0"</f>
        <v>160,0</v>
      </c>
      <c r="L77" s="25" t="str">
        <f>"102,3200"</f>
        <v>102,3200</v>
      </c>
      <c r="M77" s="12" t="s">
        <v>28</v>
      </c>
    </row>
    <row r="78" spans="1:13" x14ac:dyDescent="0.2">
      <c r="A78" s="12" t="s">
        <v>882</v>
      </c>
      <c r="B78" s="12" t="s">
        <v>883</v>
      </c>
      <c r="C78" s="12" t="s">
        <v>432</v>
      </c>
      <c r="D78" s="12" t="str">
        <f>"0,6519"</f>
        <v>0,6519</v>
      </c>
      <c r="E78" s="12" t="s">
        <v>20</v>
      </c>
      <c r="F78" s="12" t="s">
        <v>389</v>
      </c>
      <c r="G78" s="14" t="s">
        <v>190</v>
      </c>
      <c r="H78" s="14" t="s">
        <v>208</v>
      </c>
      <c r="I78" s="14" t="s">
        <v>128</v>
      </c>
      <c r="J78" s="13"/>
      <c r="K78" s="24" t="str">
        <f>"137,5"</f>
        <v>137,5</v>
      </c>
      <c r="L78" s="25" t="str">
        <f>"90,5326"</f>
        <v>90,5326</v>
      </c>
      <c r="M78" s="12" t="s">
        <v>390</v>
      </c>
    </row>
    <row r="79" spans="1:13" x14ac:dyDescent="0.2">
      <c r="A79" s="12" t="s">
        <v>885</v>
      </c>
      <c r="B79" s="12" t="s">
        <v>886</v>
      </c>
      <c r="C79" s="12" t="s">
        <v>379</v>
      </c>
      <c r="D79" s="12" t="str">
        <f>"0,6479"</f>
        <v>0,6479</v>
      </c>
      <c r="E79" s="12" t="s">
        <v>20</v>
      </c>
      <c r="F79" s="12" t="s">
        <v>389</v>
      </c>
      <c r="G79" s="14" t="s">
        <v>190</v>
      </c>
      <c r="H79" s="14" t="s">
        <v>887</v>
      </c>
      <c r="I79" s="14" t="s">
        <v>184</v>
      </c>
      <c r="J79" s="13"/>
      <c r="K79" s="24" t="str">
        <f>"147,5"</f>
        <v>147,5</v>
      </c>
      <c r="L79" s="25" t="str">
        <f>"100,8213"</f>
        <v>100,8213</v>
      </c>
      <c r="M79" s="12" t="s">
        <v>390</v>
      </c>
    </row>
    <row r="80" spans="1:13" x14ac:dyDescent="0.2">
      <c r="A80" s="12" t="s">
        <v>889</v>
      </c>
      <c r="B80" s="12" t="s">
        <v>890</v>
      </c>
      <c r="C80" s="12" t="s">
        <v>891</v>
      </c>
      <c r="D80" s="12" t="str">
        <f>"0,6436"</f>
        <v>0,6436</v>
      </c>
      <c r="E80" s="12" t="s">
        <v>20</v>
      </c>
      <c r="F80" s="12" t="s">
        <v>33</v>
      </c>
      <c r="G80" s="14" t="s">
        <v>278</v>
      </c>
      <c r="H80" s="14" t="s">
        <v>36</v>
      </c>
      <c r="I80" s="14" t="s">
        <v>217</v>
      </c>
      <c r="J80" s="13"/>
      <c r="K80" s="24" t="str">
        <f>"117,5"</f>
        <v>117,5</v>
      </c>
      <c r="L80" s="25" t="str">
        <f>"79,7823"</f>
        <v>79,7823</v>
      </c>
      <c r="M80" s="12" t="s">
        <v>892</v>
      </c>
    </row>
    <row r="81" spans="1:13" x14ac:dyDescent="0.2">
      <c r="A81" s="12" t="s">
        <v>894</v>
      </c>
      <c r="B81" s="12" t="s">
        <v>895</v>
      </c>
      <c r="C81" s="12" t="s">
        <v>896</v>
      </c>
      <c r="D81" s="12" t="str">
        <f>"0,6447"</f>
        <v>0,6447</v>
      </c>
      <c r="E81" s="12" t="s">
        <v>20</v>
      </c>
      <c r="F81" s="12" t="s">
        <v>897</v>
      </c>
      <c r="G81" s="14" t="s">
        <v>887</v>
      </c>
      <c r="H81" s="14" t="s">
        <v>23</v>
      </c>
      <c r="I81" s="13" t="s">
        <v>199</v>
      </c>
      <c r="J81" s="13"/>
      <c r="K81" s="24" t="str">
        <f>"150,0"</f>
        <v>150,0</v>
      </c>
      <c r="L81" s="25" t="str">
        <f>"132,0990"</f>
        <v>132,0990</v>
      </c>
      <c r="M81" s="12" t="s">
        <v>898</v>
      </c>
    </row>
    <row r="82" spans="1:13" x14ac:dyDescent="0.2">
      <c r="A82" s="15" t="s">
        <v>900</v>
      </c>
      <c r="B82" s="15" t="s">
        <v>901</v>
      </c>
      <c r="C82" s="15" t="s">
        <v>902</v>
      </c>
      <c r="D82" s="15" t="str">
        <f>"0,6388"</f>
        <v>0,6388</v>
      </c>
      <c r="E82" s="15" t="s">
        <v>20</v>
      </c>
      <c r="F82" s="15" t="s">
        <v>33</v>
      </c>
      <c r="G82" s="17" t="s">
        <v>217</v>
      </c>
      <c r="H82" s="16" t="s">
        <v>217</v>
      </c>
      <c r="I82" s="17" t="s">
        <v>177</v>
      </c>
      <c r="J82" s="17"/>
      <c r="K82" s="26" t="str">
        <f>"117,5"</f>
        <v>117,5</v>
      </c>
      <c r="L82" s="27" t="str">
        <f>"106,6588"</f>
        <v>106,6588</v>
      </c>
      <c r="M82" s="15" t="s">
        <v>903</v>
      </c>
    </row>
    <row r="84" spans="1:13" ht="15" x14ac:dyDescent="0.2">
      <c r="A84" s="34" t="s">
        <v>131</v>
      </c>
      <c r="B84" s="34"/>
      <c r="C84" s="34"/>
      <c r="D84" s="34"/>
      <c r="E84" s="34"/>
      <c r="F84" s="34"/>
      <c r="G84" s="34"/>
      <c r="H84" s="34"/>
      <c r="I84" s="34"/>
      <c r="J84" s="34"/>
    </row>
    <row r="85" spans="1:13" x14ac:dyDescent="0.2">
      <c r="A85" s="9" t="s">
        <v>330</v>
      </c>
      <c r="B85" s="9" t="s">
        <v>331</v>
      </c>
      <c r="C85" s="9" t="s">
        <v>332</v>
      </c>
      <c r="D85" s="9" t="str">
        <f>"0,6308"</f>
        <v>0,6308</v>
      </c>
      <c r="E85" s="9" t="s">
        <v>20</v>
      </c>
      <c r="F85" s="9" t="s">
        <v>33</v>
      </c>
      <c r="G85" s="10" t="s">
        <v>292</v>
      </c>
      <c r="H85" s="10" t="s">
        <v>115</v>
      </c>
      <c r="I85" s="10" t="s">
        <v>286</v>
      </c>
      <c r="J85" s="11"/>
      <c r="K85" s="22" t="str">
        <f>"57,5"</f>
        <v>57,5</v>
      </c>
      <c r="L85" s="23" t="str">
        <f>"36,2710"</f>
        <v>36,2710</v>
      </c>
      <c r="M85" s="9" t="s">
        <v>333</v>
      </c>
    </row>
    <row r="86" spans="1:13" x14ac:dyDescent="0.2">
      <c r="A86" s="12" t="s">
        <v>905</v>
      </c>
      <c r="B86" s="12" t="s">
        <v>906</v>
      </c>
      <c r="C86" s="12" t="s">
        <v>907</v>
      </c>
      <c r="D86" s="12" t="str">
        <f>"0,6155"</f>
        <v>0,6155</v>
      </c>
      <c r="E86" s="12" t="s">
        <v>20</v>
      </c>
      <c r="F86" s="12" t="s">
        <v>908</v>
      </c>
      <c r="G86" s="13" t="s">
        <v>199</v>
      </c>
      <c r="H86" s="14" t="s">
        <v>199</v>
      </c>
      <c r="I86" s="13" t="s">
        <v>50</v>
      </c>
      <c r="J86" s="13"/>
      <c r="K86" s="24" t="str">
        <f>"155,0"</f>
        <v>155,0</v>
      </c>
      <c r="L86" s="25" t="str">
        <f>"95,4025"</f>
        <v>95,4025</v>
      </c>
      <c r="M86" s="12" t="s">
        <v>909</v>
      </c>
    </row>
    <row r="87" spans="1:13" x14ac:dyDescent="0.2">
      <c r="A87" s="12" t="s">
        <v>911</v>
      </c>
      <c r="B87" s="12" t="s">
        <v>912</v>
      </c>
      <c r="C87" s="12" t="s">
        <v>913</v>
      </c>
      <c r="D87" s="12" t="str">
        <f>"0,6131"</f>
        <v>0,6131</v>
      </c>
      <c r="E87" s="12" t="s">
        <v>20</v>
      </c>
      <c r="F87" s="12" t="s">
        <v>697</v>
      </c>
      <c r="G87" s="14" t="s">
        <v>190</v>
      </c>
      <c r="H87" s="14" t="s">
        <v>887</v>
      </c>
      <c r="I87" s="14" t="s">
        <v>129</v>
      </c>
      <c r="J87" s="13"/>
      <c r="K87" s="24" t="str">
        <f>"145,0"</f>
        <v>145,0</v>
      </c>
      <c r="L87" s="25" t="str">
        <f>"88,8995"</f>
        <v>88,8995</v>
      </c>
      <c r="M87" s="12" t="s">
        <v>777</v>
      </c>
    </row>
    <row r="88" spans="1:13" x14ac:dyDescent="0.2">
      <c r="A88" s="12" t="s">
        <v>915</v>
      </c>
      <c r="B88" s="12" t="s">
        <v>916</v>
      </c>
      <c r="C88" s="12" t="s">
        <v>917</v>
      </c>
      <c r="D88" s="12" t="str">
        <f>"0,6136"</f>
        <v>0,6136</v>
      </c>
      <c r="E88" s="12" t="s">
        <v>20</v>
      </c>
      <c r="F88" s="12" t="s">
        <v>801</v>
      </c>
      <c r="G88" s="14" t="s">
        <v>61</v>
      </c>
      <c r="H88" s="14" t="s">
        <v>405</v>
      </c>
      <c r="I88" s="13" t="s">
        <v>465</v>
      </c>
      <c r="J88" s="13"/>
      <c r="K88" s="24" t="str">
        <f>"187,5"</f>
        <v>187,5</v>
      </c>
      <c r="L88" s="25" t="str">
        <f>"115,0500"</f>
        <v>115,0500</v>
      </c>
      <c r="M88" s="12" t="s">
        <v>918</v>
      </c>
    </row>
    <row r="89" spans="1:13" x14ac:dyDescent="0.2">
      <c r="A89" s="12" t="s">
        <v>920</v>
      </c>
      <c r="B89" s="12" t="s">
        <v>921</v>
      </c>
      <c r="C89" s="12" t="s">
        <v>913</v>
      </c>
      <c r="D89" s="12" t="str">
        <f>"0,6131"</f>
        <v>0,6131</v>
      </c>
      <c r="E89" s="12" t="s">
        <v>20</v>
      </c>
      <c r="F89" s="12" t="s">
        <v>33</v>
      </c>
      <c r="G89" s="14" t="s">
        <v>317</v>
      </c>
      <c r="H89" s="14" t="s">
        <v>922</v>
      </c>
      <c r="I89" s="14" t="s">
        <v>405</v>
      </c>
      <c r="J89" s="13" t="s">
        <v>127</v>
      </c>
      <c r="K89" s="24" t="str">
        <f>"187,5"</f>
        <v>187,5</v>
      </c>
      <c r="L89" s="25" t="str">
        <f>"114,9562"</f>
        <v>114,9562</v>
      </c>
      <c r="M89" s="12" t="s">
        <v>923</v>
      </c>
    </row>
    <row r="90" spans="1:13" x14ac:dyDescent="0.2">
      <c r="A90" s="12" t="s">
        <v>925</v>
      </c>
      <c r="B90" s="12" t="s">
        <v>926</v>
      </c>
      <c r="C90" s="12" t="s">
        <v>927</v>
      </c>
      <c r="D90" s="12" t="str">
        <f>"0,6150"</f>
        <v>0,6150</v>
      </c>
      <c r="E90" s="12" t="s">
        <v>20</v>
      </c>
      <c r="F90" s="12" t="s">
        <v>928</v>
      </c>
      <c r="G90" s="14" t="s">
        <v>24</v>
      </c>
      <c r="H90" s="14" t="s">
        <v>50</v>
      </c>
      <c r="I90" s="14" t="s">
        <v>34</v>
      </c>
      <c r="J90" s="13"/>
      <c r="K90" s="24" t="str">
        <f>"170,0"</f>
        <v>170,0</v>
      </c>
      <c r="L90" s="25" t="str">
        <f>"104,5500"</f>
        <v>104,5500</v>
      </c>
      <c r="M90" s="12" t="s">
        <v>929</v>
      </c>
    </row>
    <row r="91" spans="1:13" x14ac:dyDescent="0.2">
      <c r="A91" s="12" t="s">
        <v>931</v>
      </c>
      <c r="B91" s="12" t="s">
        <v>932</v>
      </c>
      <c r="C91" s="12" t="s">
        <v>933</v>
      </c>
      <c r="D91" s="12" t="str">
        <f>"0,6096"</f>
        <v>0,6096</v>
      </c>
      <c r="E91" s="12" t="s">
        <v>20</v>
      </c>
      <c r="F91" s="12" t="s">
        <v>58</v>
      </c>
      <c r="G91" s="14" t="s">
        <v>37</v>
      </c>
      <c r="H91" s="13" t="s">
        <v>190</v>
      </c>
      <c r="I91" s="13" t="s">
        <v>190</v>
      </c>
      <c r="J91" s="13"/>
      <c r="K91" s="24" t="str">
        <f>"115,0"</f>
        <v>115,0</v>
      </c>
      <c r="L91" s="25" t="str">
        <f>"70,1040"</f>
        <v>70,1040</v>
      </c>
      <c r="M91" s="12" t="s">
        <v>934</v>
      </c>
    </row>
    <row r="92" spans="1:13" x14ac:dyDescent="0.2">
      <c r="A92" s="12" t="s">
        <v>935</v>
      </c>
      <c r="B92" s="12" t="s">
        <v>936</v>
      </c>
      <c r="C92" s="12" t="s">
        <v>913</v>
      </c>
      <c r="D92" s="12" t="str">
        <f>"0,6131"</f>
        <v>0,6131</v>
      </c>
      <c r="E92" s="12" t="s">
        <v>20</v>
      </c>
      <c r="F92" s="12" t="s">
        <v>33</v>
      </c>
      <c r="G92" s="14" t="s">
        <v>317</v>
      </c>
      <c r="H92" s="14" t="s">
        <v>922</v>
      </c>
      <c r="I92" s="14" t="s">
        <v>405</v>
      </c>
      <c r="J92" s="13" t="s">
        <v>127</v>
      </c>
      <c r="K92" s="24" t="str">
        <f>"187,5"</f>
        <v>187,5</v>
      </c>
      <c r="L92" s="25" t="str">
        <f>"118,5199"</f>
        <v>118,5199</v>
      </c>
      <c r="M92" s="12" t="s">
        <v>923</v>
      </c>
    </row>
    <row r="93" spans="1:13" x14ac:dyDescent="0.2">
      <c r="A93" s="12" t="s">
        <v>937</v>
      </c>
      <c r="B93" s="12" t="s">
        <v>938</v>
      </c>
      <c r="C93" s="12" t="s">
        <v>603</v>
      </c>
      <c r="D93" s="12" t="str">
        <f>"0,6144"</f>
        <v>0,6144</v>
      </c>
      <c r="E93" s="12" t="s">
        <v>20</v>
      </c>
      <c r="F93" s="12" t="s">
        <v>33</v>
      </c>
      <c r="G93" s="13" t="s">
        <v>416</v>
      </c>
      <c r="H93" s="14" t="s">
        <v>22</v>
      </c>
      <c r="I93" s="13" t="s">
        <v>129</v>
      </c>
      <c r="J93" s="13"/>
      <c r="K93" s="24" t="str">
        <f>"140,0"</f>
        <v>140,0</v>
      </c>
      <c r="L93" s="25" t="str">
        <f>"87,7363"</f>
        <v>87,7363</v>
      </c>
      <c r="M93" s="12" t="s">
        <v>28</v>
      </c>
    </row>
    <row r="94" spans="1:13" x14ac:dyDescent="0.2">
      <c r="A94" s="12" t="s">
        <v>939</v>
      </c>
      <c r="B94" s="12" t="s">
        <v>940</v>
      </c>
      <c r="C94" s="12" t="s">
        <v>941</v>
      </c>
      <c r="D94" s="12" t="str">
        <f>"0,6191"</f>
        <v>0,6191</v>
      </c>
      <c r="E94" s="12" t="s">
        <v>20</v>
      </c>
      <c r="F94" s="12" t="s">
        <v>214</v>
      </c>
      <c r="G94" s="13" t="s">
        <v>128</v>
      </c>
      <c r="H94" s="14" t="s">
        <v>128</v>
      </c>
      <c r="I94" s="13" t="s">
        <v>380</v>
      </c>
      <c r="J94" s="13"/>
      <c r="K94" s="24" t="str">
        <f>"137,5"</f>
        <v>137,5</v>
      </c>
      <c r="L94" s="25" t="str">
        <f>"85,9775"</f>
        <v>85,9775</v>
      </c>
      <c r="M94" s="12" t="s">
        <v>942</v>
      </c>
    </row>
    <row r="95" spans="1:13" x14ac:dyDescent="0.2">
      <c r="A95" s="12" t="s">
        <v>943</v>
      </c>
      <c r="B95" s="12" t="s">
        <v>944</v>
      </c>
      <c r="C95" s="12" t="s">
        <v>459</v>
      </c>
      <c r="D95" s="12" t="str">
        <f>"0,6101"</f>
        <v>0,6101</v>
      </c>
      <c r="E95" s="12" t="s">
        <v>20</v>
      </c>
      <c r="F95" s="12" t="s">
        <v>945</v>
      </c>
      <c r="G95" s="14" t="s">
        <v>416</v>
      </c>
      <c r="H95" s="14" t="s">
        <v>887</v>
      </c>
      <c r="I95" s="14" t="s">
        <v>129</v>
      </c>
      <c r="J95" s="13"/>
      <c r="K95" s="24" t="str">
        <f>"145,0"</f>
        <v>145,0</v>
      </c>
      <c r="L95" s="25" t="str">
        <f>"95,7186"</f>
        <v>95,7186</v>
      </c>
      <c r="M95" s="12" t="s">
        <v>946</v>
      </c>
    </row>
    <row r="96" spans="1:13" x14ac:dyDescent="0.2">
      <c r="A96" s="12" t="s">
        <v>948</v>
      </c>
      <c r="B96" s="12" t="s">
        <v>949</v>
      </c>
      <c r="C96" s="12" t="s">
        <v>950</v>
      </c>
      <c r="D96" s="12" t="str">
        <f>"0,6113"</f>
        <v>0,6113</v>
      </c>
      <c r="E96" s="12" t="s">
        <v>20</v>
      </c>
      <c r="F96" s="12" t="s">
        <v>951</v>
      </c>
      <c r="G96" s="14" t="s">
        <v>322</v>
      </c>
      <c r="H96" s="14" t="s">
        <v>35</v>
      </c>
      <c r="I96" s="14" t="s">
        <v>405</v>
      </c>
      <c r="J96" s="14" t="s">
        <v>127</v>
      </c>
      <c r="K96" s="24" t="str">
        <f>"187,5"</f>
        <v>187,5</v>
      </c>
      <c r="L96" s="25" t="str">
        <f>"135,7086"</f>
        <v>135,7086</v>
      </c>
      <c r="M96" s="12" t="s">
        <v>952</v>
      </c>
    </row>
    <row r="97" spans="1:13" x14ac:dyDescent="0.2">
      <c r="A97" s="12" t="s">
        <v>954</v>
      </c>
      <c r="B97" s="12" t="s">
        <v>955</v>
      </c>
      <c r="C97" s="12" t="s">
        <v>956</v>
      </c>
      <c r="D97" s="12" t="str">
        <f>"0,6093"</f>
        <v>0,6093</v>
      </c>
      <c r="E97" s="12" t="s">
        <v>20</v>
      </c>
      <c r="F97" s="12" t="s">
        <v>33</v>
      </c>
      <c r="G97" s="14" t="s">
        <v>23</v>
      </c>
      <c r="H97" s="13" t="s">
        <v>199</v>
      </c>
      <c r="I97" s="13" t="s">
        <v>380</v>
      </c>
      <c r="J97" s="13"/>
      <c r="K97" s="24" t="str">
        <f>"150,0"</f>
        <v>150,0</v>
      </c>
      <c r="L97" s="25" t="str">
        <f>"111,9589"</f>
        <v>111,9589</v>
      </c>
      <c r="M97" s="12" t="s">
        <v>271</v>
      </c>
    </row>
    <row r="98" spans="1:13" x14ac:dyDescent="0.2">
      <c r="A98" s="12" t="s">
        <v>958</v>
      </c>
      <c r="B98" s="12" t="s">
        <v>959</v>
      </c>
      <c r="C98" s="12" t="s">
        <v>960</v>
      </c>
      <c r="D98" s="12" t="str">
        <f>"0,6250"</f>
        <v>0,6250</v>
      </c>
      <c r="E98" s="12" t="s">
        <v>20</v>
      </c>
      <c r="F98" s="12" t="s">
        <v>961</v>
      </c>
      <c r="G98" s="14" t="s">
        <v>190</v>
      </c>
      <c r="H98" s="14" t="s">
        <v>22</v>
      </c>
      <c r="I98" s="13" t="s">
        <v>129</v>
      </c>
      <c r="J98" s="13"/>
      <c r="K98" s="24" t="str">
        <f>"140,0"</f>
        <v>140,0</v>
      </c>
      <c r="L98" s="25" t="str">
        <f>"107,1875"</f>
        <v>107,1875</v>
      </c>
      <c r="M98" s="12" t="s">
        <v>28</v>
      </c>
    </row>
    <row r="99" spans="1:13" x14ac:dyDescent="0.2">
      <c r="A99" s="15" t="s">
        <v>963</v>
      </c>
      <c r="B99" s="15" t="s">
        <v>964</v>
      </c>
      <c r="C99" s="15" t="s">
        <v>163</v>
      </c>
      <c r="D99" s="15" t="str">
        <f>"0,6086"</f>
        <v>0,6086</v>
      </c>
      <c r="E99" s="15" t="s">
        <v>20</v>
      </c>
      <c r="F99" s="15" t="s">
        <v>965</v>
      </c>
      <c r="G99" s="17" t="s">
        <v>966</v>
      </c>
      <c r="H99" s="16" t="s">
        <v>966</v>
      </c>
      <c r="I99" s="17" t="s">
        <v>22</v>
      </c>
      <c r="J99" s="17"/>
      <c r="K99" s="26" t="str">
        <f>"136,0"</f>
        <v>136,0</v>
      </c>
      <c r="L99" s="27" t="str">
        <f>"125,0649"</f>
        <v>125,0649</v>
      </c>
      <c r="M99" s="15" t="s">
        <v>967</v>
      </c>
    </row>
    <row r="101" spans="1:13" ht="15" x14ac:dyDescent="0.2">
      <c r="A101" s="34" t="s">
        <v>66</v>
      </c>
      <c r="B101" s="34"/>
      <c r="C101" s="34"/>
      <c r="D101" s="34"/>
      <c r="E101" s="34"/>
      <c r="F101" s="34"/>
      <c r="G101" s="34"/>
      <c r="H101" s="34"/>
      <c r="I101" s="34"/>
      <c r="J101" s="34"/>
    </row>
    <row r="102" spans="1:13" x14ac:dyDescent="0.2">
      <c r="A102" s="9" t="s">
        <v>969</v>
      </c>
      <c r="B102" s="9" t="s">
        <v>970</v>
      </c>
      <c r="C102" s="9" t="s">
        <v>971</v>
      </c>
      <c r="D102" s="9" t="str">
        <f>"0,5921"</f>
        <v>0,5921</v>
      </c>
      <c r="E102" s="9" t="s">
        <v>20</v>
      </c>
      <c r="F102" s="9" t="s">
        <v>164</v>
      </c>
      <c r="G102" s="10" t="s">
        <v>61</v>
      </c>
      <c r="H102" s="10" t="s">
        <v>127</v>
      </c>
      <c r="I102" s="10" t="s">
        <v>328</v>
      </c>
      <c r="J102" s="11" t="s">
        <v>39</v>
      </c>
      <c r="K102" s="22" t="str">
        <f>"195,0"</f>
        <v>195,0</v>
      </c>
      <c r="L102" s="23" t="str">
        <f>"115,4595"</f>
        <v>115,4595</v>
      </c>
      <c r="M102" s="9" t="s">
        <v>28</v>
      </c>
    </row>
    <row r="103" spans="1:13" x14ac:dyDescent="0.2">
      <c r="A103" s="12" t="s">
        <v>973</v>
      </c>
      <c r="B103" s="12" t="s">
        <v>974</v>
      </c>
      <c r="C103" s="12" t="s">
        <v>975</v>
      </c>
      <c r="D103" s="12" t="str">
        <f>"0,5958"</f>
        <v>0,5958</v>
      </c>
      <c r="E103" s="12" t="s">
        <v>20</v>
      </c>
      <c r="F103" s="12" t="s">
        <v>415</v>
      </c>
      <c r="G103" s="14" t="s">
        <v>24</v>
      </c>
      <c r="H103" s="13" t="s">
        <v>50</v>
      </c>
      <c r="I103" s="14" t="s">
        <v>50</v>
      </c>
      <c r="J103" s="13"/>
      <c r="K103" s="24" t="str">
        <f>"165,0"</f>
        <v>165,0</v>
      </c>
      <c r="L103" s="25" t="str">
        <f>"98,3070"</f>
        <v>98,3070</v>
      </c>
      <c r="M103" s="12" t="s">
        <v>271</v>
      </c>
    </row>
    <row r="104" spans="1:13" x14ac:dyDescent="0.2">
      <c r="A104" s="12" t="s">
        <v>977</v>
      </c>
      <c r="B104" s="12" t="s">
        <v>978</v>
      </c>
      <c r="C104" s="12" t="s">
        <v>971</v>
      </c>
      <c r="D104" s="12" t="str">
        <f>"0,5921"</f>
        <v>0,5921</v>
      </c>
      <c r="E104" s="12" t="s">
        <v>20</v>
      </c>
      <c r="F104" s="12" t="s">
        <v>979</v>
      </c>
      <c r="G104" s="14" t="s">
        <v>380</v>
      </c>
      <c r="H104" s="14" t="s">
        <v>381</v>
      </c>
      <c r="I104" s="13" t="s">
        <v>50</v>
      </c>
      <c r="J104" s="13"/>
      <c r="K104" s="24" t="str">
        <f>"162,5"</f>
        <v>162,5</v>
      </c>
      <c r="L104" s="25" t="str">
        <f>"96,2163"</f>
        <v>96,2163</v>
      </c>
      <c r="M104" s="12" t="s">
        <v>980</v>
      </c>
    </row>
    <row r="105" spans="1:13" x14ac:dyDescent="0.2">
      <c r="A105" s="12" t="s">
        <v>982</v>
      </c>
      <c r="B105" s="12" t="s">
        <v>983</v>
      </c>
      <c r="C105" s="12" t="s">
        <v>337</v>
      </c>
      <c r="D105" s="12" t="str">
        <f>"0,6021"</f>
        <v>0,6021</v>
      </c>
      <c r="E105" s="12" t="s">
        <v>20</v>
      </c>
      <c r="F105" s="12" t="s">
        <v>33</v>
      </c>
      <c r="G105" s="14" t="s">
        <v>22</v>
      </c>
      <c r="H105" s="14" t="s">
        <v>23</v>
      </c>
      <c r="I105" s="14" t="s">
        <v>199</v>
      </c>
      <c r="J105" s="13"/>
      <c r="K105" s="24" t="str">
        <f>"155,0"</f>
        <v>155,0</v>
      </c>
      <c r="L105" s="25" t="str">
        <f>"93,3255"</f>
        <v>93,3255</v>
      </c>
      <c r="M105" s="12" t="s">
        <v>984</v>
      </c>
    </row>
    <row r="106" spans="1:13" x14ac:dyDescent="0.2">
      <c r="A106" s="12" t="s">
        <v>985</v>
      </c>
      <c r="B106" s="12" t="s">
        <v>986</v>
      </c>
      <c r="C106" s="12" t="s">
        <v>987</v>
      </c>
      <c r="D106" s="12" t="str">
        <f>"0,5907"</f>
        <v>0,5907</v>
      </c>
      <c r="E106" s="12" t="s">
        <v>20</v>
      </c>
      <c r="F106" s="12" t="s">
        <v>33</v>
      </c>
      <c r="G106" s="13" t="s">
        <v>35</v>
      </c>
      <c r="H106" s="13" t="s">
        <v>35</v>
      </c>
      <c r="I106" s="13" t="s">
        <v>35</v>
      </c>
      <c r="J106" s="13"/>
      <c r="K106" s="24" t="str">
        <f>"0.00"</f>
        <v>0.00</v>
      </c>
      <c r="L106" s="25" t="str">
        <f>"0,0000"</f>
        <v>0,0000</v>
      </c>
      <c r="M106" s="12" t="s">
        <v>988</v>
      </c>
    </row>
    <row r="107" spans="1:13" x14ac:dyDescent="0.2">
      <c r="A107" s="12" t="s">
        <v>990</v>
      </c>
      <c r="B107" s="12" t="s">
        <v>991</v>
      </c>
      <c r="C107" s="12" t="s">
        <v>992</v>
      </c>
      <c r="D107" s="12" t="str">
        <f>"0,5900"</f>
        <v>0,5900</v>
      </c>
      <c r="E107" s="12" t="s">
        <v>20</v>
      </c>
      <c r="F107" s="12" t="s">
        <v>993</v>
      </c>
      <c r="G107" s="14" t="s">
        <v>34</v>
      </c>
      <c r="H107" s="14" t="s">
        <v>61</v>
      </c>
      <c r="I107" s="14" t="s">
        <v>35</v>
      </c>
      <c r="J107" s="13"/>
      <c r="K107" s="24" t="str">
        <f>"182,5"</f>
        <v>182,5</v>
      </c>
      <c r="L107" s="25" t="str">
        <f>"109,8285"</f>
        <v>109,8285</v>
      </c>
      <c r="M107" s="12" t="s">
        <v>946</v>
      </c>
    </row>
    <row r="108" spans="1:13" x14ac:dyDescent="0.2">
      <c r="A108" s="12" t="s">
        <v>994</v>
      </c>
      <c r="B108" s="12" t="s">
        <v>995</v>
      </c>
      <c r="C108" s="12" t="s">
        <v>971</v>
      </c>
      <c r="D108" s="12" t="str">
        <f>"0,5921"</f>
        <v>0,5921</v>
      </c>
      <c r="E108" s="12" t="s">
        <v>20</v>
      </c>
      <c r="F108" s="12" t="s">
        <v>979</v>
      </c>
      <c r="G108" s="14" t="s">
        <v>380</v>
      </c>
      <c r="H108" s="14" t="s">
        <v>381</v>
      </c>
      <c r="I108" s="13" t="s">
        <v>50</v>
      </c>
      <c r="J108" s="13"/>
      <c r="K108" s="24" t="str">
        <f>"162,5"</f>
        <v>162,5</v>
      </c>
      <c r="L108" s="25" t="str">
        <f>"96,2163"</f>
        <v>96,2163</v>
      </c>
      <c r="M108" s="12" t="s">
        <v>980</v>
      </c>
    </row>
    <row r="109" spans="1:13" x14ac:dyDescent="0.2">
      <c r="A109" s="12" t="s">
        <v>997</v>
      </c>
      <c r="B109" s="12" t="s">
        <v>998</v>
      </c>
      <c r="C109" s="12" t="s">
        <v>515</v>
      </c>
      <c r="D109" s="12" t="str">
        <f>"0,5948"</f>
        <v>0,5948</v>
      </c>
      <c r="E109" s="12" t="s">
        <v>20</v>
      </c>
      <c r="F109" s="12" t="s">
        <v>33</v>
      </c>
      <c r="G109" s="14" t="s">
        <v>34</v>
      </c>
      <c r="H109" s="14" t="s">
        <v>61</v>
      </c>
      <c r="I109" s="14" t="s">
        <v>191</v>
      </c>
      <c r="J109" s="13"/>
      <c r="K109" s="24" t="str">
        <f>"185,0"</f>
        <v>185,0</v>
      </c>
      <c r="L109" s="25" t="str">
        <f>"116,0901"</f>
        <v>116,0901</v>
      </c>
      <c r="M109" s="12" t="s">
        <v>999</v>
      </c>
    </row>
    <row r="110" spans="1:13" x14ac:dyDescent="0.2">
      <c r="A110" s="12" t="s">
        <v>1001</v>
      </c>
      <c r="B110" s="12" t="s">
        <v>1002</v>
      </c>
      <c r="C110" s="12" t="s">
        <v>1003</v>
      </c>
      <c r="D110" s="12" t="str">
        <f>"0,5928"</f>
        <v>0,5928</v>
      </c>
      <c r="E110" s="12" t="s">
        <v>20</v>
      </c>
      <c r="F110" s="12" t="s">
        <v>979</v>
      </c>
      <c r="G110" s="14" t="s">
        <v>129</v>
      </c>
      <c r="H110" s="14" t="s">
        <v>23</v>
      </c>
      <c r="I110" s="13" t="s">
        <v>199</v>
      </c>
      <c r="J110" s="13"/>
      <c r="K110" s="24" t="str">
        <f>"150,0"</f>
        <v>150,0</v>
      </c>
      <c r="L110" s="25" t="str">
        <f>"107,0597"</f>
        <v>107,0597</v>
      </c>
      <c r="M110" s="12" t="s">
        <v>1004</v>
      </c>
    </row>
    <row r="111" spans="1:13" x14ac:dyDescent="0.2">
      <c r="A111" s="12" t="s">
        <v>985</v>
      </c>
      <c r="B111" s="12" t="s">
        <v>1005</v>
      </c>
      <c r="C111" s="12" t="s">
        <v>987</v>
      </c>
      <c r="D111" s="12" t="str">
        <f>"0,5907"</f>
        <v>0,5907</v>
      </c>
      <c r="E111" s="12" t="s">
        <v>20</v>
      </c>
      <c r="F111" s="12" t="s">
        <v>33</v>
      </c>
      <c r="G111" s="13" t="s">
        <v>35</v>
      </c>
      <c r="H111" s="13" t="s">
        <v>35</v>
      </c>
      <c r="I111" s="13" t="s">
        <v>35</v>
      </c>
      <c r="J111" s="13"/>
      <c r="K111" s="24" t="str">
        <f>"0.00"</f>
        <v>0.00</v>
      </c>
      <c r="L111" s="25" t="str">
        <f>"0,0000"</f>
        <v>0,0000</v>
      </c>
      <c r="M111" s="12" t="s">
        <v>988</v>
      </c>
    </row>
    <row r="112" spans="1:13" x14ac:dyDescent="0.2">
      <c r="A112" s="12" t="s">
        <v>1007</v>
      </c>
      <c r="B112" s="12" t="s">
        <v>1008</v>
      </c>
      <c r="C112" s="12" t="s">
        <v>1009</v>
      </c>
      <c r="D112" s="12" t="str">
        <f>"0,5924"</f>
        <v>0,5924</v>
      </c>
      <c r="E112" s="12" t="s">
        <v>20</v>
      </c>
      <c r="F112" s="12" t="s">
        <v>33</v>
      </c>
      <c r="G112" s="14" t="s">
        <v>38</v>
      </c>
      <c r="H112" s="14" t="s">
        <v>207</v>
      </c>
      <c r="I112" s="14" t="s">
        <v>190</v>
      </c>
      <c r="J112" s="13"/>
      <c r="K112" s="24" t="str">
        <f>"130,0"</f>
        <v>130,0</v>
      </c>
      <c r="L112" s="25" t="str">
        <f>"99,4225"</f>
        <v>99,4225</v>
      </c>
      <c r="M112" s="12" t="s">
        <v>147</v>
      </c>
    </row>
    <row r="113" spans="1:13" x14ac:dyDescent="0.2">
      <c r="A113" s="15" t="s">
        <v>1010</v>
      </c>
      <c r="B113" s="15" t="s">
        <v>1011</v>
      </c>
      <c r="C113" s="15" t="s">
        <v>1012</v>
      </c>
      <c r="D113" s="15" t="str">
        <f>"0,5932"</f>
        <v>0,5932</v>
      </c>
      <c r="E113" s="15" t="s">
        <v>20</v>
      </c>
      <c r="F113" s="15" t="s">
        <v>1013</v>
      </c>
      <c r="G113" s="16" t="s">
        <v>27</v>
      </c>
      <c r="H113" s="17"/>
      <c r="I113" s="17"/>
      <c r="J113" s="17"/>
      <c r="K113" s="26" t="str">
        <f>"100,0"</f>
        <v>100,0</v>
      </c>
      <c r="L113" s="27" t="str">
        <f>"73,9127"</f>
        <v>73,9127</v>
      </c>
      <c r="M113" s="15" t="s">
        <v>946</v>
      </c>
    </row>
    <row r="115" spans="1:13" ht="15" x14ac:dyDescent="0.2">
      <c r="A115" s="34" t="s">
        <v>223</v>
      </c>
      <c r="B115" s="34"/>
      <c r="C115" s="34"/>
      <c r="D115" s="34"/>
      <c r="E115" s="34"/>
      <c r="F115" s="34"/>
      <c r="G115" s="34"/>
      <c r="H115" s="34"/>
      <c r="I115" s="34"/>
      <c r="J115" s="34"/>
    </row>
    <row r="116" spans="1:13" x14ac:dyDescent="0.2">
      <c r="A116" s="9" t="s">
        <v>1015</v>
      </c>
      <c r="B116" s="9" t="s">
        <v>1016</v>
      </c>
      <c r="C116" s="9" t="s">
        <v>1017</v>
      </c>
      <c r="D116" s="9" t="str">
        <f>"0,5748"</f>
        <v>0,5748</v>
      </c>
      <c r="E116" s="9" t="s">
        <v>20</v>
      </c>
      <c r="F116" s="9" t="s">
        <v>33</v>
      </c>
      <c r="G116" s="10" t="s">
        <v>24</v>
      </c>
      <c r="H116" s="10" t="s">
        <v>34</v>
      </c>
      <c r="I116" s="11" t="s">
        <v>61</v>
      </c>
      <c r="J116" s="11"/>
      <c r="K116" s="22" t="str">
        <f>"170,0"</f>
        <v>170,0</v>
      </c>
      <c r="L116" s="23" t="str">
        <f>"97,7160"</f>
        <v>97,7160</v>
      </c>
      <c r="M116" s="9" t="s">
        <v>28</v>
      </c>
    </row>
    <row r="117" spans="1:13" x14ac:dyDescent="0.2">
      <c r="A117" s="12" t="s">
        <v>1019</v>
      </c>
      <c r="B117" s="12" t="s">
        <v>1020</v>
      </c>
      <c r="C117" s="12" t="s">
        <v>1021</v>
      </c>
      <c r="D117" s="12" t="str">
        <f>"0,5725"</f>
        <v>0,5725</v>
      </c>
      <c r="E117" s="12" t="s">
        <v>20</v>
      </c>
      <c r="F117" s="12" t="s">
        <v>33</v>
      </c>
      <c r="G117" s="14" t="s">
        <v>39</v>
      </c>
      <c r="H117" s="14" t="s">
        <v>200</v>
      </c>
      <c r="I117" s="13" t="s">
        <v>1022</v>
      </c>
      <c r="J117" s="13"/>
      <c r="K117" s="24" t="str">
        <f>"210,0"</f>
        <v>210,0</v>
      </c>
      <c r="L117" s="25" t="str">
        <f>"135,8542"</f>
        <v>135,8542</v>
      </c>
      <c r="M117" s="12" t="s">
        <v>1023</v>
      </c>
    </row>
    <row r="118" spans="1:13" x14ac:dyDescent="0.2">
      <c r="A118" s="15" t="s">
        <v>1025</v>
      </c>
      <c r="B118" s="15" t="s">
        <v>1026</v>
      </c>
      <c r="C118" s="15" t="s">
        <v>1027</v>
      </c>
      <c r="D118" s="15" t="str">
        <f>"0,5860"</f>
        <v>0,5860</v>
      </c>
      <c r="E118" s="15" t="s">
        <v>20</v>
      </c>
      <c r="F118" s="15" t="s">
        <v>1028</v>
      </c>
      <c r="G118" s="16" t="s">
        <v>128</v>
      </c>
      <c r="H118" s="16" t="s">
        <v>129</v>
      </c>
      <c r="I118" s="16" t="s">
        <v>184</v>
      </c>
      <c r="J118" s="17"/>
      <c r="K118" s="26" t="str">
        <f>"147,5"</f>
        <v>147,5</v>
      </c>
      <c r="L118" s="27" t="str">
        <f>"118,0702"</f>
        <v>118,0702</v>
      </c>
      <c r="M118" s="15" t="s">
        <v>1029</v>
      </c>
    </row>
    <row r="120" spans="1:13" ht="15" x14ac:dyDescent="0.2">
      <c r="A120" s="34" t="s">
        <v>544</v>
      </c>
      <c r="B120" s="34"/>
      <c r="C120" s="34"/>
      <c r="D120" s="34"/>
      <c r="E120" s="34"/>
      <c r="F120" s="34"/>
      <c r="G120" s="34"/>
      <c r="H120" s="34"/>
      <c r="I120" s="34"/>
      <c r="J120" s="34"/>
    </row>
    <row r="121" spans="1:13" x14ac:dyDescent="0.2">
      <c r="A121" s="6" t="s">
        <v>1031</v>
      </c>
      <c r="B121" s="6" t="s">
        <v>1032</v>
      </c>
      <c r="C121" s="6" t="s">
        <v>1033</v>
      </c>
      <c r="D121" s="6" t="str">
        <f>"0,5624"</f>
        <v>0,5624</v>
      </c>
      <c r="E121" s="6" t="s">
        <v>20</v>
      </c>
      <c r="F121" s="6" t="s">
        <v>33</v>
      </c>
      <c r="G121" s="7" t="s">
        <v>34</v>
      </c>
      <c r="H121" s="7" t="s">
        <v>317</v>
      </c>
      <c r="I121" s="7" t="s">
        <v>61</v>
      </c>
      <c r="J121" s="7" t="s">
        <v>35</v>
      </c>
      <c r="K121" s="20" t="str">
        <f>"180,0"</f>
        <v>180,0</v>
      </c>
      <c r="L121" s="21" t="str">
        <f>"126,1351"</f>
        <v>126,1351</v>
      </c>
      <c r="M121" s="6" t="s">
        <v>28</v>
      </c>
    </row>
    <row r="123" spans="1:13" ht="15" x14ac:dyDescent="0.2">
      <c r="E123" s="18" t="s">
        <v>80</v>
      </c>
    </row>
    <row r="124" spans="1:13" ht="15" x14ac:dyDescent="0.2">
      <c r="E124" s="18" t="s">
        <v>81</v>
      </c>
    </row>
    <row r="125" spans="1:13" ht="15" x14ac:dyDescent="0.2">
      <c r="E125" s="18" t="s">
        <v>82</v>
      </c>
    </row>
    <row r="126" spans="1:13" ht="15" x14ac:dyDescent="0.2">
      <c r="E126" s="18" t="s">
        <v>83</v>
      </c>
    </row>
    <row r="127" spans="1:13" ht="15" x14ac:dyDescent="0.2">
      <c r="E127" s="18" t="s">
        <v>83</v>
      </c>
    </row>
    <row r="128" spans="1:13" ht="15" x14ac:dyDescent="0.2">
      <c r="E128" s="18" t="s">
        <v>84</v>
      </c>
    </row>
    <row r="129" spans="1:5" ht="15" x14ac:dyDescent="0.2">
      <c r="E129" s="18"/>
    </row>
    <row r="131" spans="1:5" ht="18" x14ac:dyDescent="0.25">
      <c r="A131" s="28" t="s">
        <v>85</v>
      </c>
      <c r="B131" s="28"/>
    </row>
    <row r="132" spans="1:5" ht="15" x14ac:dyDescent="0.2">
      <c r="A132" s="29" t="s">
        <v>86</v>
      </c>
      <c r="B132" s="29"/>
    </row>
    <row r="133" spans="1:5" ht="14.25" x14ac:dyDescent="0.2">
      <c r="A133" s="31"/>
      <c r="B133" s="32" t="s">
        <v>350</v>
      </c>
    </row>
    <row r="134" spans="1:5" ht="15" x14ac:dyDescent="0.2">
      <c r="A134" s="33" t="s">
        <v>88</v>
      </c>
      <c r="B134" s="33" t="s">
        <v>89</v>
      </c>
      <c r="C134" s="33" t="s">
        <v>90</v>
      </c>
      <c r="D134" s="33" t="s">
        <v>549</v>
      </c>
      <c r="E134" s="33" t="s">
        <v>92</v>
      </c>
    </row>
    <row r="135" spans="1:5" x14ac:dyDescent="0.2">
      <c r="A135" s="30" t="s">
        <v>703</v>
      </c>
      <c r="B135" s="4" t="s">
        <v>149</v>
      </c>
      <c r="C135" s="4" t="s">
        <v>94</v>
      </c>
      <c r="D135" s="4" t="s">
        <v>708</v>
      </c>
      <c r="E135" s="19" t="s">
        <v>1034</v>
      </c>
    </row>
    <row r="137" spans="1:5" ht="14.25" x14ac:dyDescent="0.2">
      <c r="A137" s="31"/>
      <c r="B137" s="32" t="s">
        <v>1035</v>
      </c>
    </row>
    <row r="138" spans="1:5" ht="15" x14ac:dyDescent="0.2">
      <c r="A138" s="33" t="s">
        <v>88</v>
      </c>
      <c r="B138" s="33" t="s">
        <v>89</v>
      </c>
      <c r="C138" s="33" t="s">
        <v>90</v>
      </c>
      <c r="D138" s="33" t="s">
        <v>549</v>
      </c>
      <c r="E138" s="33" t="s">
        <v>92</v>
      </c>
    </row>
    <row r="139" spans="1:5" x14ac:dyDescent="0.2">
      <c r="A139" s="30" t="s">
        <v>644</v>
      </c>
      <c r="B139" s="4" t="s">
        <v>99</v>
      </c>
      <c r="C139" s="4" t="s">
        <v>359</v>
      </c>
      <c r="D139" s="4" t="s">
        <v>119</v>
      </c>
      <c r="E139" s="19" t="s">
        <v>1036</v>
      </c>
    </row>
    <row r="141" spans="1:5" ht="14.25" x14ac:dyDescent="0.2">
      <c r="A141" s="31"/>
      <c r="B141" s="32" t="s">
        <v>103</v>
      </c>
    </row>
    <row r="142" spans="1:5" ht="15" x14ac:dyDescent="0.2">
      <c r="A142" s="33" t="s">
        <v>88</v>
      </c>
      <c r="B142" s="33" t="s">
        <v>89</v>
      </c>
      <c r="C142" s="33" t="s">
        <v>90</v>
      </c>
      <c r="D142" s="33" t="s">
        <v>549</v>
      </c>
      <c r="E142" s="33" t="s">
        <v>92</v>
      </c>
    </row>
    <row r="143" spans="1:5" x14ac:dyDescent="0.2">
      <c r="A143" s="30" t="s">
        <v>649</v>
      </c>
      <c r="B143" s="4" t="s">
        <v>103</v>
      </c>
      <c r="C143" s="4" t="s">
        <v>359</v>
      </c>
      <c r="D143" s="4" t="s">
        <v>115</v>
      </c>
      <c r="E143" s="19" t="s">
        <v>1037</v>
      </c>
    </row>
    <row r="144" spans="1:5" x14ac:dyDescent="0.2">
      <c r="A144" s="30" t="s">
        <v>715</v>
      </c>
      <c r="B144" s="4" t="s">
        <v>103</v>
      </c>
      <c r="C144" s="4" t="s">
        <v>242</v>
      </c>
      <c r="D144" s="4" t="s">
        <v>117</v>
      </c>
      <c r="E144" s="19" t="s">
        <v>1038</v>
      </c>
    </row>
    <row r="145" spans="1:5" x14ac:dyDescent="0.2">
      <c r="A145" s="30" t="s">
        <v>655</v>
      </c>
      <c r="B145" s="4" t="s">
        <v>103</v>
      </c>
      <c r="C145" s="4" t="s">
        <v>1039</v>
      </c>
      <c r="D145" s="4" t="s">
        <v>286</v>
      </c>
      <c r="E145" s="19" t="s">
        <v>1040</v>
      </c>
    </row>
    <row r="146" spans="1:5" x14ac:dyDescent="0.2">
      <c r="A146" s="30" t="s">
        <v>660</v>
      </c>
      <c r="B146" s="4" t="s">
        <v>103</v>
      </c>
      <c r="C146" s="4" t="s">
        <v>1039</v>
      </c>
      <c r="D146" s="4" t="s">
        <v>115</v>
      </c>
      <c r="E146" s="19" t="s">
        <v>1041</v>
      </c>
    </row>
    <row r="147" spans="1:5" x14ac:dyDescent="0.2">
      <c r="A147" s="30" t="s">
        <v>663</v>
      </c>
      <c r="B147" s="4" t="s">
        <v>103</v>
      </c>
      <c r="C147" s="4" t="s">
        <v>1039</v>
      </c>
      <c r="D147" s="4" t="s">
        <v>298</v>
      </c>
      <c r="E147" s="19" t="s">
        <v>1042</v>
      </c>
    </row>
    <row r="148" spans="1:5" x14ac:dyDescent="0.2">
      <c r="A148" s="30" t="s">
        <v>668</v>
      </c>
      <c r="B148" s="4" t="s">
        <v>103</v>
      </c>
      <c r="C148" s="4" t="s">
        <v>1039</v>
      </c>
      <c r="D148" s="4" t="s">
        <v>268</v>
      </c>
      <c r="E148" s="19" t="s">
        <v>1043</v>
      </c>
    </row>
    <row r="149" spans="1:5" x14ac:dyDescent="0.2">
      <c r="A149" s="30" t="s">
        <v>689</v>
      </c>
      <c r="B149" s="4" t="s">
        <v>103</v>
      </c>
      <c r="C149" s="4" t="s">
        <v>356</v>
      </c>
      <c r="D149" s="4" t="s">
        <v>292</v>
      </c>
      <c r="E149" s="19" t="s">
        <v>1044</v>
      </c>
    </row>
    <row r="150" spans="1:5" x14ac:dyDescent="0.2">
      <c r="A150" s="30" t="s">
        <v>678</v>
      </c>
      <c r="B150" s="4" t="s">
        <v>103</v>
      </c>
      <c r="C150" s="4" t="s">
        <v>352</v>
      </c>
      <c r="D150" s="4" t="s">
        <v>119</v>
      </c>
      <c r="E150" s="19" t="s">
        <v>1045</v>
      </c>
    </row>
    <row r="151" spans="1:5" x14ac:dyDescent="0.2">
      <c r="A151" s="30" t="s">
        <v>683</v>
      </c>
      <c r="B151" s="4" t="s">
        <v>103</v>
      </c>
      <c r="C151" s="4" t="s">
        <v>352</v>
      </c>
      <c r="D151" s="4" t="s">
        <v>687</v>
      </c>
      <c r="E151" s="19" t="s">
        <v>1046</v>
      </c>
    </row>
    <row r="153" spans="1:5" ht="14.25" x14ac:dyDescent="0.2">
      <c r="A153" s="31"/>
      <c r="B153" s="32" t="s">
        <v>87</v>
      </c>
    </row>
    <row r="154" spans="1:5" ht="15" x14ac:dyDescent="0.2">
      <c r="A154" s="33" t="s">
        <v>88</v>
      </c>
      <c r="B154" s="33" t="s">
        <v>89</v>
      </c>
      <c r="C154" s="33" t="s">
        <v>90</v>
      </c>
      <c r="D154" s="33" t="s">
        <v>549</v>
      </c>
      <c r="E154" s="33" t="s">
        <v>92</v>
      </c>
    </row>
    <row r="155" spans="1:5" x14ac:dyDescent="0.2">
      <c r="A155" s="30" t="s">
        <v>710</v>
      </c>
      <c r="B155" s="4" t="s">
        <v>373</v>
      </c>
      <c r="C155" s="4" t="s">
        <v>94</v>
      </c>
      <c r="D155" s="4" t="s">
        <v>266</v>
      </c>
      <c r="E155" s="19" t="s">
        <v>1047</v>
      </c>
    </row>
    <row r="156" spans="1:5" x14ac:dyDescent="0.2">
      <c r="A156" s="30" t="s">
        <v>693</v>
      </c>
      <c r="B156" s="4" t="s">
        <v>373</v>
      </c>
      <c r="C156" s="4" t="s">
        <v>356</v>
      </c>
      <c r="D156" s="4" t="s">
        <v>183</v>
      </c>
      <c r="E156" s="19" t="s">
        <v>1048</v>
      </c>
    </row>
    <row r="157" spans="1:5" x14ac:dyDescent="0.2">
      <c r="A157" s="30" t="s">
        <v>673</v>
      </c>
      <c r="B157" s="4" t="s">
        <v>93</v>
      </c>
      <c r="C157" s="4" t="s">
        <v>1039</v>
      </c>
      <c r="D157" s="4" t="s">
        <v>677</v>
      </c>
      <c r="E157" s="19" t="s">
        <v>1049</v>
      </c>
    </row>
    <row r="158" spans="1:5" x14ac:dyDescent="0.2">
      <c r="A158" s="30" t="s">
        <v>720</v>
      </c>
      <c r="B158" s="4" t="s">
        <v>373</v>
      </c>
      <c r="C158" s="4" t="s">
        <v>242</v>
      </c>
      <c r="D158" s="4" t="s">
        <v>292</v>
      </c>
      <c r="E158" s="19" t="s">
        <v>1050</v>
      </c>
    </row>
    <row r="159" spans="1:5" x14ac:dyDescent="0.2">
      <c r="A159" s="30" t="s">
        <v>699</v>
      </c>
      <c r="B159" s="4" t="s">
        <v>373</v>
      </c>
      <c r="C159" s="4" t="s">
        <v>356</v>
      </c>
      <c r="D159" s="4" t="s">
        <v>118</v>
      </c>
      <c r="E159" s="19" t="s">
        <v>1051</v>
      </c>
    </row>
    <row r="160" spans="1:5" x14ac:dyDescent="0.2">
      <c r="A160" s="30" t="s">
        <v>725</v>
      </c>
      <c r="B160" s="4" t="s">
        <v>93</v>
      </c>
      <c r="C160" s="4" t="s">
        <v>248</v>
      </c>
      <c r="D160" s="4" t="s">
        <v>677</v>
      </c>
      <c r="E160" s="19" t="s">
        <v>1052</v>
      </c>
    </row>
    <row r="163" spans="1:5" ht="15" x14ac:dyDescent="0.2">
      <c r="A163" s="29" t="s">
        <v>97</v>
      </c>
      <c r="B163" s="29"/>
    </row>
    <row r="164" spans="1:5" ht="14.25" x14ac:dyDescent="0.2">
      <c r="A164" s="31"/>
      <c r="B164" s="32" t="s">
        <v>148</v>
      </c>
    </row>
    <row r="165" spans="1:5" ht="15" x14ac:dyDescent="0.2">
      <c r="A165" s="33" t="s">
        <v>88</v>
      </c>
      <c r="B165" s="33" t="s">
        <v>89</v>
      </c>
      <c r="C165" s="33" t="s">
        <v>90</v>
      </c>
      <c r="D165" s="33" t="s">
        <v>549</v>
      </c>
      <c r="E165" s="33" t="s">
        <v>92</v>
      </c>
    </row>
    <row r="166" spans="1:5" x14ac:dyDescent="0.2">
      <c r="A166" s="30" t="s">
        <v>748</v>
      </c>
      <c r="B166" s="4" t="s">
        <v>149</v>
      </c>
      <c r="C166" s="4" t="s">
        <v>94</v>
      </c>
      <c r="D166" s="4" t="s">
        <v>176</v>
      </c>
      <c r="E166" s="19" t="s">
        <v>1053</v>
      </c>
    </row>
    <row r="167" spans="1:5" x14ac:dyDescent="0.2">
      <c r="A167" s="30" t="s">
        <v>807</v>
      </c>
      <c r="B167" s="4" t="s">
        <v>149</v>
      </c>
      <c r="C167" s="4" t="s">
        <v>100</v>
      </c>
      <c r="D167" s="4" t="s">
        <v>117</v>
      </c>
      <c r="E167" s="19" t="s">
        <v>1054</v>
      </c>
    </row>
    <row r="168" spans="1:5" x14ac:dyDescent="0.2">
      <c r="A168" s="30" t="s">
        <v>329</v>
      </c>
      <c r="B168" s="4" t="s">
        <v>149</v>
      </c>
      <c r="C168" s="4" t="s">
        <v>152</v>
      </c>
      <c r="D168" s="4" t="s">
        <v>286</v>
      </c>
      <c r="E168" s="19" t="s">
        <v>1055</v>
      </c>
    </row>
    <row r="169" spans="1:5" x14ac:dyDescent="0.2">
      <c r="A169" s="30" t="s">
        <v>729</v>
      </c>
      <c r="B169" s="4" t="s">
        <v>149</v>
      </c>
      <c r="C169" s="4" t="s">
        <v>352</v>
      </c>
      <c r="D169" s="4" t="s">
        <v>687</v>
      </c>
      <c r="E169" s="19" t="s">
        <v>1056</v>
      </c>
    </row>
    <row r="170" spans="1:5" x14ac:dyDescent="0.2">
      <c r="A170" s="30" t="s">
        <v>733</v>
      </c>
      <c r="B170" s="4" t="s">
        <v>149</v>
      </c>
      <c r="C170" s="4" t="s">
        <v>352</v>
      </c>
      <c r="D170" s="4" t="s">
        <v>737</v>
      </c>
      <c r="E170" s="19" t="s">
        <v>1057</v>
      </c>
    </row>
    <row r="172" spans="1:5" ht="14.25" x14ac:dyDescent="0.2">
      <c r="A172" s="31"/>
      <c r="B172" s="32" t="s">
        <v>98</v>
      </c>
    </row>
    <row r="173" spans="1:5" ht="15" x14ac:dyDescent="0.2">
      <c r="A173" s="33" t="s">
        <v>88</v>
      </c>
      <c r="B173" s="33" t="s">
        <v>89</v>
      </c>
      <c r="C173" s="33" t="s">
        <v>90</v>
      </c>
      <c r="D173" s="33" t="s">
        <v>549</v>
      </c>
      <c r="E173" s="33" t="s">
        <v>92</v>
      </c>
    </row>
    <row r="174" spans="1:5" x14ac:dyDescent="0.2">
      <c r="A174" s="30" t="s">
        <v>857</v>
      </c>
      <c r="B174" s="4" t="s">
        <v>99</v>
      </c>
      <c r="C174" s="4" t="s">
        <v>248</v>
      </c>
      <c r="D174" s="4" t="s">
        <v>199</v>
      </c>
      <c r="E174" s="19" t="s">
        <v>1058</v>
      </c>
    </row>
    <row r="175" spans="1:5" x14ac:dyDescent="0.2">
      <c r="A175" s="30" t="s">
        <v>768</v>
      </c>
      <c r="B175" s="4" t="s">
        <v>99</v>
      </c>
      <c r="C175" s="4" t="s">
        <v>242</v>
      </c>
      <c r="D175" s="4" t="s">
        <v>128</v>
      </c>
      <c r="E175" s="19" t="s">
        <v>1059</v>
      </c>
    </row>
    <row r="176" spans="1:5" x14ac:dyDescent="0.2">
      <c r="A176" s="30" t="s">
        <v>904</v>
      </c>
      <c r="B176" s="4" t="s">
        <v>99</v>
      </c>
      <c r="C176" s="4" t="s">
        <v>152</v>
      </c>
      <c r="D176" s="4" t="s">
        <v>199</v>
      </c>
      <c r="E176" s="19" t="s">
        <v>1060</v>
      </c>
    </row>
    <row r="177" spans="1:5" x14ac:dyDescent="0.2">
      <c r="A177" s="30" t="s">
        <v>773</v>
      </c>
      <c r="B177" s="4" t="s">
        <v>99</v>
      </c>
      <c r="C177" s="4" t="s">
        <v>242</v>
      </c>
      <c r="D177" s="4" t="s">
        <v>208</v>
      </c>
      <c r="E177" s="19" t="s">
        <v>1061</v>
      </c>
    </row>
    <row r="178" spans="1:5" x14ac:dyDescent="0.2">
      <c r="A178" s="30" t="s">
        <v>910</v>
      </c>
      <c r="B178" s="4" t="s">
        <v>99</v>
      </c>
      <c r="C178" s="4" t="s">
        <v>152</v>
      </c>
      <c r="D178" s="4" t="s">
        <v>129</v>
      </c>
      <c r="E178" s="19" t="s">
        <v>1062</v>
      </c>
    </row>
    <row r="179" spans="1:5" x14ac:dyDescent="0.2">
      <c r="A179" s="30" t="s">
        <v>754</v>
      </c>
      <c r="B179" s="4" t="s">
        <v>99</v>
      </c>
      <c r="C179" s="4" t="s">
        <v>94</v>
      </c>
      <c r="D179" s="4" t="s">
        <v>27</v>
      </c>
      <c r="E179" s="19" t="s">
        <v>1063</v>
      </c>
    </row>
    <row r="181" spans="1:5" ht="14.25" x14ac:dyDescent="0.2">
      <c r="A181" s="31"/>
      <c r="B181" s="32" t="s">
        <v>103</v>
      </c>
    </row>
    <row r="182" spans="1:5" ht="15" x14ac:dyDescent="0.2">
      <c r="A182" s="33" t="s">
        <v>88</v>
      </c>
      <c r="B182" s="33" t="s">
        <v>89</v>
      </c>
      <c r="C182" s="33" t="s">
        <v>90</v>
      </c>
      <c r="D182" s="33" t="s">
        <v>549</v>
      </c>
      <c r="E182" s="33" t="s">
        <v>92</v>
      </c>
    </row>
    <row r="183" spans="1:5" x14ac:dyDescent="0.2">
      <c r="A183" s="30" t="s">
        <v>861</v>
      </c>
      <c r="B183" s="4" t="s">
        <v>103</v>
      </c>
      <c r="C183" s="4" t="s">
        <v>248</v>
      </c>
      <c r="D183" s="4" t="s">
        <v>865</v>
      </c>
      <c r="E183" s="19" t="s">
        <v>1064</v>
      </c>
    </row>
    <row r="184" spans="1:5" x14ac:dyDescent="0.2">
      <c r="A184" s="30" t="s">
        <v>811</v>
      </c>
      <c r="B184" s="4" t="s">
        <v>103</v>
      </c>
      <c r="C184" s="4" t="s">
        <v>100</v>
      </c>
      <c r="D184" s="4" t="s">
        <v>447</v>
      </c>
      <c r="E184" s="19" t="s">
        <v>1065</v>
      </c>
    </row>
    <row r="185" spans="1:5" x14ac:dyDescent="0.2">
      <c r="A185" s="30" t="s">
        <v>968</v>
      </c>
      <c r="B185" s="4" t="s">
        <v>103</v>
      </c>
      <c r="C185" s="4" t="s">
        <v>104</v>
      </c>
      <c r="D185" s="4" t="s">
        <v>328</v>
      </c>
      <c r="E185" s="19" t="s">
        <v>1066</v>
      </c>
    </row>
    <row r="186" spans="1:5" x14ac:dyDescent="0.2">
      <c r="A186" s="30" t="s">
        <v>914</v>
      </c>
      <c r="B186" s="4" t="s">
        <v>103</v>
      </c>
      <c r="C186" s="4" t="s">
        <v>152</v>
      </c>
      <c r="D186" s="4" t="s">
        <v>405</v>
      </c>
      <c r="E186" s="19" t="s">
        <v>1067</v>
      </c>
    </row>
    <row r="187" spans="1:5" x14ac:dyDescent="0.2">
      <c r="A187" s="30" t="s">
        <v>919</v>
      </c>
      <c r="B187" s="4" t="s">
        <v>103</v>
      </c>
      <c r="C187" s="4" t="s">
        <v>152</v>
      </c>
      <c r="D187" s="4" t="s">
        <v>405</v>
      </c>
      <c r="E187" s="19" t="s">
        <v>1068</v>
      </c>
    </row>
    <row r="188" spans="1:5" x14ac:dyDescent="0.2">
      <c r="A188" s="30" t="s">
        <v>868</v>
      </c>
      <c r="B188" s="4" t="s">
        <v>103</v>
      </c>
      <c r="C188" s="4" t="s">
        <v>248</v>
      </c>
      <c r="D188" s="4" t="s">
        <v>60</v>
      </c>
      <c r="E188" s="19" t="s">
        <v>1069</v>
      </c>
    </row>
    <row r="189" spans="1:5" x14ac:dyDescent="0.2">
      <c r="A189" s="30" t="s">
        <v>924</v>
      </c>
      <c r="B189" s="4" t="s">
        <v>103</v>
      </c>
      <c r="C189" s="4" t="s">
        <v>152</v>
      </c>
      <c r="D189" s="4" t="s">
        <v>34</v>
      </c>
      <c r="E189" s="19" t="s">
        <v>1070</v>
      </c>
    </row>
    <row r="190" spans="1:5" x14ac:dyDescent="0.2">
      <c r="A190" s="30" t="s">
        <v>872</v>
      </c>
      <c r="B190" s="4" t="s">
        <v>103</v>
      </c>
      <c r="C190" s="4" t="s">
        <v>248</v>
      </c>
      <c r="D190" s="4" t="s">
        <v>199</v>
      </c>
      <c r="E190" s="19" t="s">
        <v>1071</v>
      </c>
    </row>
    <row r="191" spans="1:5" x14ac:dyDescent="0.2">
      <c r="A191" s="30" t="s">
        <v>778</v>
      </c>
      <c r="B191" s="4" t="s">
        <v>103</v>
      </c>
      <c r="C191" s="4" t="s">
        <v>242</v>
      </c>
      <c r="D191" s="4" t="s">
        <v>128</v>
      </c>
      <c r="E191" s="19" t="s">
        <v>1072</v>
      </c>
    </row>
    <row r="192" spans="1:5" x14ac:dyDescent="0.2">
      <c r="A192" s="30" t="s">
        <v>972</v>
      </c>
      <c r="B192" s="4" t="s">
        <v>103</v>
      </c>
      <c r="C192" s="4" t="s">
        <v>104</v>
      </c>
      <c r="D192" s="4" t="s">
        <v>50</v>
      </c>
      <c r="E192" s="19" t="s">
        <v>1073</v>
      </c>
    </row>
    <row r="193" spans="1:5" x14ac:dyDescent="0.2">
      <c r="A193" s="30" t="s">
        <v>1014</v>
      </c>
      <c r="B193" s="4" t="s">
        <v>103</v>
      </c>
      <c r="C193" s="4" t="s">
        <v>253</v>
      </c>
      <c r="D193" s="4" t="s">
        <v>34</v>
      </c>
      <c r="E193" s="19" t="s">
        <v>1074</v>
      </c>
    </row>
    <row r="194" spans="1:5" x14ac:dyDescent="0.2">
      <c r="A194" s="30" t="s">
        <v>976</v>
      </c>
      <c r="B194" s="4" t="s">
        <v>103</v>
      </c>
      <c r="C194" s="4" t="s">
        <v>104</v>
      </c>
      <c r="D194" s="4" t="s">
        <v>381</v>
      </c>
      <c r="E194" s="19" t="s">
        <v>1075</v>
      </c>
    </row>
    <row r="195" spans="1:5" x14ac:dyDescent="0.2">
      <c r="A195" s="30" t="s">
        <v>981</v>
      </c>
      <c r="B195" s="4" t="s">
        <v>103</v>
      </c>
      <c r="C195" s="4" t="s">
        <v>104</v>
      </c>
      <c r="D195" s="4" t="s">
        <v>199</v>
      </c>
      <c r="E195" s="19" t="s">
        <v>1076</v>
      </c>
    </row>
    <row r="196" spans="1:5" x14ac:dyDescent="0.2">
      <c r="A196" s="30" t="s">
        <v>759</v>
      </c>
      <c r="B196" s="4" t="s">
        <v>103</v>
      </c>
      <c r="C196" s="4" t="s">
        <v>94</v>
      </c>
      <c r="D196" s="4" t="s">
        <v>36</v>
      </c>
      <c r="E196" s="19" t="s">
        <v>1077</v>
      </c>
    </row>
    <row r="197" spans="1:5" x14ac:dyDescent="0.2">
      <c r="A197" s="30" t="s">
        <v>816</v>
      </c>
      <c r="B197" s="4" t="s">
        <v>103</v>
      </c>
      <c r="C197" s="4" t="s">
        <v>100</v>
      </c>
      <c r="D197" s="4" t="s">
        <v>190</v>
      </c>
      <c r="E197" s="19" t="s">
        <v>1078</v>
      </c>
    </row>
    <row r="198" spans="1:5" x14ac:dyDescent="0.2">
      <c r="A198" s="30" t="s">
        <v>739</v>
      </c>
      <c r="B198" s="4" t="s">
        <v>103</v>
      </c>
      <c r="C198" s="4" t="s">
        <v>352</v>
      </c>
      <c r="D198" s="4" t="s">
        <v>291</v>
      </c>
      <c r="E198" s="19" t="s">
        <v>1079</v>
      </c>
    </row>
    <row r="199" spans="1:5" x14ac:dyDescent="0.2">
      <c r="A199" s="30" t="s">
        <v>821</v>
      </c>
      <c r="B199" s="4" t="s">
        <v>103</v>
      </c>
      <c r="C199" s="4" t="s">
        <v>100</v>
      </c>
      <c r="D199" s="4" t="s">
        <v>285</v>
      </c>
      <c r="E199" s="19" t="s">
        <v>1080</v>
      </c>
    </row>
    <row r="200" spans="1:5" x14ac:dyDescent="0.2">
      <c r="A200" s="30" t="s">
        <v>930</v>
      </c>
      <c r="B200" s="4" t="s">
        <v>103</v>
      </c>
      <c r="C200" s="4" t="s">
        <v>152</v>
      </c>
      <c r="D200" s="4" t="s">
        <v>37</v>
      </c>
      <c r="E200" s="19" t="s">
        <v>1081</v>
      </c>
    </row>
    <row r="201" spans="1:5" x14ac:dyDescent="0.2">
      <c r="A201" s="30" t="s">
        <v>784</v>
      </c>
      <c r="B201" s="4" t="s">
        <v>103</v>
      </c>
      <c r="C201" s="4" t="s">
        <v>242</v>
      </c>
      <c r="D201" s="4" t="s">
        <v>277</v>
      </c>
      <c r="E201" s="19" t="s">
        <v>1082</v>
      </c>
    </row>
    <row r="203" spans="1:5" ht="14.25" x14ac:dyDescent="0.2">
      <c r="A203" s="31"/>
      <c r="B203" s="32" t="s">
        <v>87</v>
      </c>
    </row>
    <row r="204" spans="1:5" ht="15" x14ac:dyDescent="0.2">
      <c r="A204" s="33" t="s">
        <v>88</v>
      </c>
      <c r="B204" s="33" t="s">
        <v>89</v>
      </c>
      <c r="C204" s="33" t="s">
        <v>90</v>
      </c>
      <c r="D204" s="33" t="s">
        <v>549</v>
      </c>
      <c r="E204" s="33" t="s">
        <v>92</v>
      </c>
    </row>
    <row r="205" spans="1:5" x14ac:dyDescent="0.2">
      <c r="A205" s="30" t="s">
        <v>802</v>
      </c>
      <c r="B205" s="4" t="s">
        <v>1083</v>
      </c>
      <c r="C205" s="4" t="s">
        <v>242</v>
      </c>
      <c r="D205" s="4" t="s">
        <v>416</v>
      </c>
      <c r="E205" s="19" t="s">
        <v>1084</v>
      </c>
    </row>
    <row r="206" spans="1:5" x14ac:dyDescent="0.2">
      <c r="A206" s="30" t="s">
        <v>1018</v>
      </c>
      <c r="B206" s="4" t="s">
        <v>93</v>
      </c>
      <c r="C206" s="4" t="s">
        <v>253</v>
      </c>
      <c r="D206" s="4" t="s">
        <v>200</v>
      </c>
      <c r="E206" s="19" t="s">
        <v>1085</v>
      </c>
    </row>
    <row r="207" spans="1:5" x14ac:dyDescent="0.2">
      <c r="A207" s="30" t="s">
        <v>947</v>
      </c>
      <c r="B207" s="4" t="s">
        <v>93</v>
      </c>
      <c r="C207" s="4" t="s">
        <v>152</v>
      </c>
      <c r="D207" s="4" t="s">
        <v>405</v>
      </c>
      <c r="E207" s="19" t="s">
        <v>1086</v>
      </c>
    </row>
    <row r="208" spans="1:5" x14ac:dyDescent="0.2">
      <c r="A208" s="30" t="s">
        <v>893</v>
      </c>
      <c r="B208" s="4" t="s">
        <v>568</v>
      </c>
      <c r="C208" s="4" t="s">
        <v>248</v>
      </c>
      <c r="D208" s="4" t="s">
        <v>23</v>
      </c>
      <c r="E208" s="19" t="s">
        <v>1087</v>
      </c>
    </row>
    <row r="209" spans="1:5" x14ac:dyDescent="0.2">
      <c r="A209" s="30" t="s">
        <v>1030</v>
      </c>
      <c r="B209" s="4" t="s">
        <v>157</v>
      </c>
      <c r="C209" s="4" t="s">
        <v>582</v>
      </c>
      <c r="D209" s="4" t="s">
        <v>61</v>
      </c>
      <c r="E209" s="19" t="s">
        <v>1088</v>
      </c>
    </row>
    <row r="210" spans="1:5" x14ac:dyDescent="0.2">
      <c r="A210" s="30" t="s">
        <v>962</v>
      </c>
      <c r="B210" s="4" t="s">
        <v>1083</v>
      </c>
      <c r="C210" s="4" t="s">
        <v>152</v>
      </c>
      <c r="D210" s="4" t="s">
        <v>966</v>
      </c>
      <c r="E210" s="19" t="s">
        <v>1089</v>
      </c>
    </row>
    <row r="211" spans="1:5" x14ac:dyDescent="0.2">
      <c r="A211" s="30" t="s">
        <v>848</v>
      </c>
      <c r="B211" s="4" t="s">
        <v>1083</v>
      </c>
      <c r="C211" s="4" t="s">
        <v>100</v>
      </c>
      <c r="D211" s="4" t="s">
        <v>36</v>
      </c>
      <c r="E211" s="19" t="s">
        <v>1090</v>
      </c>
    </row>
    <row r="212" spans="1:5" x14ac:dyDescent="0.2">
      <c r="A212" s="30" t="s">
        <v>919</v>
      </c>
      <c r="B212" s="4" t="s">
        <v>109</v>
      </c>
      <c r="C212" s="4" t="s">
        <v>152</v>
      </c>
      <c r="D212" s="4" t="s">
        <v>405</v>
      </c>
      <c r="E212" s="19" t="s">
        <v>1091</v>
      </c>
    </row>
    <row r="213" spans="1:5" x14ac:dyDescent="0.2">
      <c r="A213" s="30" t="s">
        <v>1024</v>
      </c>
      <c r="B213" s="4" t="s">
        <v>568</v>
      </c>
      <c r="C213" s="4" t="s">
        <v>253</v>
      </c>
      <c r="D213" s="4" t="s">
        <v>184</v>
      </c>
      <c r="E213" s="19" t="s">
        <v>1092</v>
      </c>
    </row>
    <row r="214" spans="1:5" x14ac:dyDescent="0.2">
      <c r="A214" s="30" t="s">
        <v>996</v>
      </c>
      <c r="B214" s="4" t="s">
        <v>373</v>
      </c>
      <c r="C214" s="4" t="s">
        <v>104</v>
      </c>
      <c r="D214" s="4" t="s">
        <v>191</v>
      </c>
      <c r="E214" s="19" t="s">
        <v>1093</v>
      </c>
    </row>
    <row r="215" spans="1:5" x14ac:dyDescent="0.2">
      <c r="A215" s="30" t="s">
        <v>836</v>
      </c>
      <c r="B215" s="4" t="s">
        <v>157</v>
      </c>
      <c r="C215" s="4" t="s">
        <v>100</v>
      </c>
      <c r="D215" s="4" t="s">
        <v>207</v>
      </c>
      <c r="E215" s="19" t="s">
        <v>1094</v>
      </c>
    </row>
    <row r="216" spans="1:5" x14ac:dyDescent="0.2">
      <c r="A216" s="30" t="s">
        <v>790</v>
      </c>
      <c r="B216" s="4" t="s">
        <v>109</v>
      </c>
      <c r="C216" s="4" t="s">
        <v>242</v>
      </c>
      <c r="D216" s="4" t="s">
        <v>199</v>
      </c>
      <c r="E216" s="19" t="s">
        <v>1095</v>
      </c>
    </row>
    <row r="217" spans="1:5" x14ac:dyDescent="0.2">
      <c r="A217" s="30" t="s">
        <v>953</v>
      </c>
      <c r="B217" s="4" t="s">
        <v>157</v>
      </c>
      <c r="C217" s="4" t="s">
        <v>152</v>
      </c>
      <c r="D217" s="4" t="s">
        <v>23</v>
      </c>
      <c r="E217" s="19" t="s">
        <v>1096</v>
      </c>
    </row>
    <row r="218" spans="1:5" x14ac:dyDescent="0.2">
      <c r="A218" s="30" t="s">
        <v>744</v>
      </c>
      <c r="B218" s="4" t="s">
        <v>576</v>
      </c>
      <c r="C218" s="4" t="s">
        <v>352</v>
      </c>
      <c r="D218" s="4" t="s">
        <v>183</v>
      </c>
      <c r="E218" s="19" t="s">
        <v>1097</v>
      </c>
    </row>
    <row r="219" spans="1:5" x14ac:dyDescent="0.2">
      <c r="A219" s="30" t="s">
        <v>989</v>
      </c>
      <c r="B219" s="4" t="s">
        <v>109</v>
      </c>
      <c r="C219" s="4" t="s">
        <v>104</v>
      </c>
      <c r="D219" s="4" t="s">
        <v>35</v>
      </c>
      <c r="E219" s="19" t="s">
        <v>1098</v>
      </c>
    </row>
    <row r="220" spans="1:5" x14ac:dyDescent="0.2">
      <c r="A220" s="30" t="s">
        <v>957</v>
      </c>
      <c r="B220" s="4" t="s">
        <v>157</v>
      </c>
      <c r="C220" s="4" t="s">
        <v>152</v>
      </c>
      <c r="D220" s="4" t="s">
        <v>22</v>
      </c>
      <c r="E220" s="19" t="s">
        <v>1099</v>
      </c>
    </row>
    <row r="221" spans="1:5" x14ac:dyDescent="0.2">
      <c r="A221" s="30" t="s">
        <v>1000</v>
      </c>
      <c r="B221" s="4" t="s">
        <v>93</v>
      </c>
      <c r="C221" s="4" t="s">
        <v>104</v>
      </c>
      <c r="D221" s="4" t="s">
        <v>23</v>
      </c>
      <c r="E221" s="19" t="s">
        <v>1100</v>
      </c>
    </row>
    <row r="222" spans="1:5" x14ac:dyDescent="0.2">
      <c r="A222" s="30" t="s">
        <v>899</v>
      </c>
      <c r="B222" s="4" t="s">
        <v>568</v>
      </c>
      <c r="C222" s="4" t="s">
        <v>248</v>
      </c>
      <c r="D222" s="4" t="s">
        <v>217</v>
      </c>
      <c r="E222" s="19" t="s">
        <v>1101</v>
      </c>
    </row>
    <row r="223" spans="1:5" x14ac:dyDescent="0.2">
      <c r="A223" s="30" t="s">
        <v>841</v>
      </c>
      <c r="B223" s="4" t="s">
        <v>157</v>
      </c>
      <c r="C223" s="4" t="s">
        <v>100</v>
      </c>
      <c r="D223" s="4" t="s">
        <v>38</v>
      </c>
      <c r="E223" s="19" t="s">
        <v>1102</v>
      </c>
    </row>
    <row r="224" spans="1:5" x14ac:dyDescent="0.2">
      <c r="A224" s="30" t="s">
        <v>830</v>
      </c>
      <c r="B224" s="4" t="s">
        <v>93</v>
      </c>
      <c r="C224" s="4" t="s">
        <v>100</v>
      </c>
      <c r="D224" s="4" t="s">
        <v>190</v>
      </c>
      <c r="E224" s="19" t="s">
        <v>1103</v>
      </c>
    </row>
    <row r="225" spans="1:5" x14ac:dyDescent="0.2">
      <c r="A225" s="30" t="s">
        <v>797</v>
      </c>
      <c r="B225" s="4" t="s">
        <v>93</v>
      </c>
      <c r="C225" s="4" t="s">
        <v>242</v>
      </c>
      <c r="D225" s="4" t="s">
        <v>38</v>
      </c>
      <c r="E225" s="19" t="s">
        <v>1104</v>
      </c>
    </row>
    <row r="226" spans="1:5" x14ac:dyDescent="0.2">
      <c r="A226" s="30" t="s">
        <v>876</v>
      </c>
      <c r="B226" s="4" t="s">
        <v>109</v>
      </c>
      <c r="C226" s="4" t="s">
        <v>248</v>
      </c>
      <c r="D226" s="4" t="s">
        <v>24</v>
      </c>
      <c r="E226" s="19" t="s">
        <v>1105</v>
      </c>
    </row>
    <row r="227" spans="1:5" x14ac:dyDescent="0.2">
      <c r="A227" s="30" t="s">
        <v>884</v>
      </c>
      <c r="B227" s="4" t="s">
        <v>373</v>
      </c>
      <c r="C227" s="4" t="s">
        <v>248</v>
      </c>
      <c r="D227" s="4" t="s">
        <v>184</v>
      </c>
      <c r="E227" s="19" t="s">
        <v>1106</v>
      </c>
    </row>
    <row r="228" spans="1:5" x14ac:dyDescent="0.2">
      <c r="A228" s="30" t="s">
        <v>1006</v>
      </c>
      <c r="B228" s="4" t="s">
        <v>157</v>
      </c>
      <c r="C228" s="4" t="s">
        <v>104</v>
      </c>
      <c r="D228" s="4" t="s">
        <v>190</v>
      </c>
      <c r="E228" s="19" t="s">
        <v>1107</v>
      </c>
    </row>
  </sheetData>
  <mergeCells count="27">
    <mergeCell ref="A1:M2"/>
    <mergeCell ref="A3:A4"/>
    <mergeCell ref="B3:B4"/>
    <mergeCell ref="C3:C4"/>
    <mergeCell ref="D3:D4"/>
    <mergeCell ref="E3:E4"/>
    <mergeCell ref="F3:F4"/>
    <mergeCell ref="G3:J3"/>
    <mergeCell ref="A33:J33"/>
    <mergeCell ref="K3:K4"/>
    <mergeCell ref="L3:L4"/>
    <mergeCell ref="M3:M4"/>
    <mergeCell ref="A5:J5"/>
    <mergeCell ref="A9:J9"/>
    <mergeCell ref="A16:J16"/>
    <mergeCell ref="A20:J20"/>
    <mergeCell ref="A25:J25"/>
    <mergeCell ref="A29:J29"/>
    <mergeCell ref="A101:J101"/>
    <mergeCell ref="A115:J115"/>
    <mergeCell ref="A120:J120"/>
    <mergeCell ref="A36:J36"/>
    <mergeCell ref="A42:J42"/>
    <mergeCell ref="A48:J48"/>
    <mergeCell ref="A58:J58"/>
    <mergeCell ref="A72:J72"/>
    <mergeCell ref="A84:J8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7.42578125" style="4" bestFit="1" customWidth="1"/>
    <col min="7" max="9" width="5.5703125" style="3" customWidth="1"/>
    <col min="10" max="10" width="4.85546875" style="3" customWidth="1"/>
    <col min="11" max="11" width="12.5703125" style="19" customWidth="1"/>
    <col min="12" max="12" width="8.5703125" style="2" bestFit="1" customWidth="1"/>
    <col min="13" max="13" width="13.85546875" style="4" bestFit="1" customWidth="1"/>
    <col min="14" max="16384" width="9.140625" style="3"/>
  </cols>
  <sheetData>
    <row r="1" spans="1:13" s="2" customFormat="1" ht="29.1" customHeight="1" x14ac:dyDescent="0.2">
      <c r="A1" s="41" t="s">
        <v>1741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11</v>
      </c>
      <c r="E3" s="35" t="s">
        <v>4</v>
      </c>
      <c r="F3" s="35" t="s">
        <v>7</v>
      </c>
      <c r="G3" s="35" t="s">
        <v>14</v>
      </c>
      <c r="H3" s="35"/>
      <c r="I3" s="35"/>
      <c r="J3" s="35"/>
      <c r="K3" s="35" t="s">
        <v>587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280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1399</v>
      </c>
      <c r="B6" s="6" t="s">
        <v>1400</v>
      </c>
      <c r="C6" s="6" t="s">
        <v>284</v>
      </c>
      <c r="D6" s="6" t="str">
        <f>"1,1266"</f>
        <v>1,1266</v>
      </c>
      <c r="E6" s="6" t="s">
        <v>20</v>
      </c>
      <c r="F6" s="6" t="s">
        <v>400</v>
      </c>
      <c r="G6" s="7" t="s">
        <v>766</v>
      </c>
      <c r="H6" s="8" t="s">
        <v>416</v>
      </c>
      <c r="I6" s="7" t="s">
        <v>416</v>
      </c>
      <c r="J6" s="8"/>
      <c r="K6" s="20" t="str">
        <f>"135,0"</f>
        <v>135,0</v>
      </c>
      <c r="L6" s="21" t="str">
        <f>"152,0910"</f>
        <v>152,0910</v>
      </c>
      <c r="M6" s="6" t="s">
        <v>1401</v>
      </c>
    </row>
    <row r="8" spans="1:13" ht="15" x14ac:dyDescent="0.2">
      <c r="E8" s="18" t="s">
        <v>80</v>
      </c>
    </row>
    <row r="9" spans="1:13" ht="15" x14ac:dyDescent="0.2">
      <c r="E9" s="18" t="s">
        <v>81</v>
      </c>
    </row>
    <row r="10" spans="1:13" ht="15" x14ac:dyDescent="0.2">
      <c r="E10" s="18" t="s">
        <v>82</v>
      </c>
    </row>
    <row r="11" spans="1:13" ht="15" x14ac:dyDescent="0.2">
      <c r="E11" s="18" t="s">
        <v>83</v>
      </c>
    </row>
    <row r="12" spans="1:13" ht="15" x14ac:dyDescent="0.2">
      <c r="E12" s="18" t="s">
        <v>83</v>
      </c>
    </row>
    <row r="13" spans="1:13" ht="15" x14ac:dyDescent="0.2">
      <c r="E13" s="18" t="s">
        <v>84</v>
      </c>
    </row>
    <row r="14" spans="1:13" ht="15" x14ac:dyDescent="0.2">
      <c r="E14" s="18"/>
    </row>
    <row r="16" spans="1:13" ht="18" x14ac:dyDescent="0.25">
      <c r="A16" s="28" t="s">
        <v>85</v>
      </c>
      <c r="B16" s="28"/>
    </row>
    <row r="17" spans="1:5" ht="15" x14ac:dyDescent="0.2">
      <c r="A17" s="29" t="s">
        <v>86</v>
      </c>
      <c r="B17" s="29"/>
    </row>
    <row r="18" spans="1:5" ht="14.25" x14ac:dyDescent="0.2">
      <c r="A18" s="31"/>
      <c r="B18" s="32" t="s">
        <v>87</v>
      </c>
    </row>
    <row r="19" spans="1:5" ht="15" x14ac:dyDescent="0.2">
      <c r="A19" s="33" t="s">
        <v>88</v>
      </c>
      <c r="B19" s="33" t="s">
        <v>89</v>
      </c>
      <c r="C19" s="33" t="s">
        <v>90</v>
      </c>
      <c r="D19" s="33" t="s">
        <v>549</v>
      </c>
      <c r="E19" s="33" t="s">
        <v>92</v>
      </c>
    </row>
    <row r="20" spans="1:5" x14ac:dyDescent="0.2">
      <c r="A20" s="30" t="s">
        <v>1398</v>
      </c>
      <c r="B20" s="4" t="s">
        <v>109</v>
      </c>
      <c r="C20" s="4" t="s">
        <v>356</v>
      </c>
      <c r="D20" s="4" t="s">
        <v>416</v>
      </c>
      <c r="E20" s="19" t="s">
        <v>1402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6.140625" style="4" bestFit="1" customWidth="1"/>
    <col min="7" max="9" width="5.5703125" style="3" customWidth="1"/>
    <col min="10" max="10" width="4.85546875" style="3" customWidth="1"/>
    <col min="11" max="11" width="7.85546875" style="19" bestFit="1" customWidth="1"/>
    <col min="12" max="12" width="8.5703125" style="2" bestFit="1" customWidth="1"/>
    <col min="13" max="13" width="24.140625" style="4" bestFit="1" customWidth="1"/>
    <col min="14" max="16384" width="9.140625" style="3"/>
  </cols>
  <sheetData>
    <row r="1" spans="1:13" s="2" customFormat="1" ht="29.1" customHeight="1" x14ac:dyDescent="0.2">
      <c r="A1" s="41" t="s">
        <v>1742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11</v>
      </c>
      <c r="E3" s="35" t="s">
        <v>4</v>
      </c>
      <c r="F3" s="35" t="s">
        <v>7</v>
      </c>
      <c r="G3" s="35" t="s">
        <v>14</v>
      </c>
      <c r="H3" s="35"/>
      <c r="I3" s="35"/>
      <c r="J3" s="35"/>
      <c r="K3" s="35" t="s">
        <v>587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261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650</v>
      </c>
      <c r="B6" s="6" t="s">
        <v>651</v>
      </c>
      <c r="C6" s="6" t="s">
        <v>652</v>
      </c>
      <c r="D6" s="6" t="str">
        <f>"1,3387"</f>
        <v>1,3387</v>
      </c>
      <c r="E6" s="6" t="s">
        <v>20</v>
      </c>
      <c r="F6" s="6" t="s">
        <v>33</v>
      </c>
      <c r="G6" s="7" t="s">
        <v>278</v>
      </c>
      <c r="H6" s="7" t="s">
        <v>36</v>
      </c>
      <c r="I6" s="8" t="s">
        <v>285</v>
      </c>
      <c r="J6" s="8"/>
      <c r="K6" s="20" t="str">
        <f>"110,0"</f>
        <v>110,0</v>
      </c>
      <c r="L6" s="21" t="str">
        <f>"147,2570"</f>
        <v>147,2570</v>
      </c>
      <c r="M6" s="6" t="s">
        <v>653</v>
      </c>
    </row>
    <row r="8" spans="1:13" ht="15" x14ac:dyDescent="0.2">
      <c r="A8" s="34" t="s">
        <v>654</v>
      </c>
      <c r="B8" s="34"/>
      <c r="C8" s="34"/>
      <c r="D8" s="34"/>
      <c r="E8" s="34"/>
      <c r="F8" s="34"/>
      <c r="G8" s="34"/>
      <c r="H8" s="34"/>
      <c r="I8" s="34"/>
      <c r="J8" s="34"/>
    </row>
    <row r="9" spans="1:13" x14ac:dyDescent="0.2">
      <c r="A9" s="9" t="s">
        <v>1237</v>
      </c>
      <c r="B9" s="9" t="s">
        <v>1238</v>
      </c>
      <c r="C9" s="9" t="s">
        <v>1239</v>
      </c>
      <c r="D9" s="9" t="str">
        <f>"1,2466"</f>
        <v>1,2466</v>
      </c>
      <c r="E9" s="9" t="s">
        <v>20</v>
      </c>
      <c r="F9" s="9" t="s">
        <v>33</v>
      </c>
      <c r="G9" s="10" t="s">
        <v>190</v>
      </c>
      <c r="H9" s="10" t="s">
        <v>416</v>
      </c>
      <c r="I9" s="10" t="s">
        <v>22</v>
      </c>
      <c r="J9" s="11"/>
      <c r="K9" s="22" t="str">
        <f>"140,0"</f>
        <v>140,0</v>
      </c>
      <c r="L9" s="23" t="str">
        <f>"174,5240"</f>
        <v>174,5240</v>
      </c>
      <c r="M9" s="9" t="s">
        <v>1240</v>
      </c>
    </row>
    <row r="10" spans="1:13" x14ac:dyDescent="0.2">
      <c r="A10" s="12" t="s">
        <v>1237</v>
      </c>
      <c r="B10" s="12" t="s">
        <v>1241</v>
      </c>
      <c r="C10" s="12" t="s">
        <v>1239</v>
      </c>
      <c r="D10" s="12" t="str">
        <f>"1,2466"</f>
        <v>1,2466</v>
      </c>
      <c r="E10" s="12" t="s">
        <v>20</v>
      </c>
      <c r="F10" s="12" t="s">
        <v>33</v>
      </c>
      <c r="G10" s="14" t="s">
        <v>190</v>
      </c>
      <c r="H10" s="14" t="s">
        <v>416</v>
      </c>
      <c r="I10" s="14" t="s">
        <v>22</v>
      </c>
      <c r="J10" s="13"/>
      <c r="K10" s="24" t="str">
        <f>"140,0"</f>
        <v>140,0</v>
      </c>
      <c r="L10" s="25" t="str">
        <f>"174,5240"</f>
        <v>174,5240</v>
      </c>
      <c r="M10" s="12" t="s">
        <v>1240</v>
      </c>
    </row>
    <row r="11" spans="1:13" x14ac:dyDescent="0.2">
      <c r="A11" s="15" t="s">
        <v>1243</v>
      </c>
      <c r="B11" s="15" t="s">
        <v>1244</v>
      </c>
      <c r="C11" s="15" t="s">
        <v>1245</v>
      </c>
      <c r="D11" s="15" t="str">
        <f>"1,2808"</f>
        <v>1,2808</v>
      </c>
      <c r="E11" s="15" t="s">
        <v>20</v>
      </c>
      <c r="F11" s="15" t="s">
        <v>33</v>
      </c>
      <c r="G11" s="16" t="s">
        <v>217</v>
      </c>
      <c r="H11" s="16" t="s">
        <v>177</v>
      </c>
      <c r="I11" s="17" t="s">
        <v>766</v>
      </c>
      <c r="J11" s="17"/>
      <c r="K11" s="26" t="str">
        <f>"122,5"</f>
        <v>122,5</v>
      </c>
      <c r="L11" s="27" t="str">
        <f>"156,8980"</f>
        <v>156,8980</v>
      </c>
      <c r="M11" s="15" t="s">
        <v>1246</v>
      </c>
    </row>
    <row r="13" spans="1:13" ht="15" x14ac:dyDescent="0.2">
      <c r="A13" s="34" t="s">
        <v>272</v>
      </c>
      <c r="B13" s="34"/>
      <c r="C13" s="34"/>
      <c r="D13" s="34"/>
      <c r="E13" s="34"/>
      <c r="F13" s="34"/>
      <c r="G13" s="34"/>
      <c r="H13" s="34"/>
      <c r="I13" s="34"/>
      <c r="J13" s="34"/>
    </row>
    <row r="14" spans="1:13" x14ac:dyDescent="0.2">
      <c r="A14" s="9" t="s">
        <v>1248</v>
      </c>
      <c r="B14" s="9" t="s">
        <v>1249</v>
      </c>
      <c r="C14" s="9" t="s">
        <v>736</v>
      </c>
      <c r="D14" s="9" t="str">
        <f>"1,2019"</f>
        <v>1,2019</v>
      </c>
      <c r="E14" s="9" t="s">
        <v>20</v>
      </c>
      <c r="F14" s="9" t="s">
        <v>1129</v>
      </c>
      <c r="G14" s="10" t="s">
        <v>305</v>
      </c>
      <c r="H14" s="10" t="s">
        <v>37</v>
      </c>
      <c r="I14" s="11" t="s">
        <v>38</v>
      </c>
      <c r="J14" s="11"/>
      <c r="K14" s="22" t="str">
        <f>"115,0"</f>
        <v>115,0</v>
      </c>
      <c r="L14" s="23" t="str">
        <f>"138,2185"</f>
        <v>138,2185</v>
      </c>
      <c r="M14" s="9" t="s">
        <v>534</v>
      </c>
    </row>
    <row r="15" spans="1:13" x14ac:dyDescent="0.2">
      <c r="A15" s="15" t="s">
        <v>1251</v>
      </c>
      <c r="B15" s="15" t="s">
        <v>1252</v>
      </c>
      <c r="C15" s="15" t="s">
        <v>1253</v>
      </c>
      <c r="D15" s="15" t="str">
        <f>"1,1950"</f>
        <v>1,1950</v>
      </c>
      <c r="E15" s="15" t="s">
        <v>20</v>
      </c>
      <c r="F15" s="15" t="s">
        <v>33</v>
      </c>
      <c r="G15" s="16" t="s">
        <v>38</v>
      </c>
      <c r="H15" s="16" t="s">
        <v>207</v>
      </c>
      <c r="I15" s="16" t="s">
        <v>190</v>
      </c>
      <c r="J15" s="17"/>
      <c r="K15" s="26" t="str">
        <f>"130,0"</f>
        <v>130,0</v>
      </c>
      <c r="L15" s="27" t="str">
        <f>"155,3500"</f>
        <v>155,3500</v>
      </c>
      <c r="M15" s="15" t="s">
        <v>1254</v>
      </c>
    </row>
    <row r="17" spans="1:13" ht="15" x14ac:dyDescent="0.2">
      <c r="A17" s="34" t="s">
        <v>280</v>
      </c>
      <c r="B17" s="34"/>
      <c r="C17" s="34"/>
      <c r="D17" s="34"/>
      <c r="E17" s="34"/>
      <c r="F17" s="34"/>
      <c r="G17" s="34"/>
      <c r="H17" s="34"/>
      <c r="I17" s="34"/>
      <c r="J17" s="34"/>
    </row>
    <row r="18" spans="1:13" x14ac:dyDescent="0.2">
      <c r="A18" s="6" t="s">
        <v>1255</v>
      </c>
      <c r="B18" s="6" t="s">
        <v>1256</v>
      </c>
      <c r="C18" s="6" t="s">
        <v>284</v>
      </c>
      <c r="D18" s="6" t="str">
        <f>"1,1266"</f>
        <v>1,1266</v>
      </c>
      <c r="E18" s="6" t="s">
        <v>20</v>
      </c>
      <c r="F18" s="6" t="s">
        <v>21</v>
      </c>
      <c r="G18" s="8" t="s">
        <v>37</v>
      </c>
      <c r="H18" s="8" t="s">
        <v>38</v>
      </c>
      <c r="I18" s="8"/>
      <c r="J18" s="8"/>
      <c r="K18" s="20" t="str">
        <f>"0.00"</f>
        <v>0.00</v>
      </c>
      <c r="L18" s="21" t="str">
        <f>"0,0000"</f>
        <v>0,0000</v>
      </c>
      <c r="M18" s="6" t="s">
        <v>1257</v>
      </c>
    </row>
    <row r="20" spans="1:13" ht="15" x14ac:dyDescent="0.2">
      <c r="A20" s="34" t="s">
        <v>15</v>
      </c>
      <c r="B20" s="34"/>
      <c r="C20" s="34"/>
      <c r="D20" s="34"/>
      <c r="E20" s="34"/>
      <c r="F20" s="34"/>
      <c r="G20" s="34"/>
      <c r="H20" s="34"/>
      <c r="I20" s="34"/>
      <c r="J20" s="34"/>
    </row>
    <row r="21" spans="1:13" x14ac:dyDescent="0.2">
      <c r="A21" s="9" t="s">
        <v>1259</v>
      </c>
      <c r="B21" s="9" t="s">
        <v>1260</v>
      </c>
      <c r="C21" s="9" t="s">
        <v>1261</v>
      </c>
      <c r="D21" s="9" t="str">
        <f>"1,0339"</f>
        <v>1,0339</v>
      </c>
      <c r="E21" s="9" t="s">
        <v>20</v>
      </c>
      <c r="F21" s="9" t="s">
        <v>33</v>
      </c>
      <c r="G21" s="10" t="s">
        <v>23</v>
      </c>
      <c r="H21" s="11" t="s">
        <v>24</v>
      </c>
      <c r="I21" s="11" t="s">
        <v>50</v>
      </c>
      <c r="J21" s="11"/>
      <c r="K21" s="22" t="str">
        <f>"150,0"</f>
        <v>150,0</v>
      </c>
      <c r="L21" s="23" t="str">
        <f>"155,0850"</f>
        <v>155,0850</v>
      </c>
      <c r="M21" s="9" t="s">
        <v>1262</v>
      </c>
    </row>
    <row r="22" spans="1:13" x14ac:dyDescent="0.2">
      <c r="A22" s="15" t="s">
        <v>1264</v>
      </c>
      <c r="B22" s="15" t="s">
        <v>1265</v>
      </c>
      <c r="C22" s="15" t="s">
        <v>1266</v>
      </c>
      <c r="D22" s="15" t="str">
        <f>"1,0272"</f>
        <v>1,0272</v>
      </c>
      <c r="E22" s="15" t="s">
        <v>20</v>
      </c>
      <c r="F22" s="15" t="s">
        <v>1267</v>
      </c>
      <c r="G22" s="16" t="s">
        <v>207</v>
      </c>
      <c r="H22" s="16" t="s">
        <v>128</v>
      </c>
      <c r="I22" s="16" t="s">
        <v>887</v>
      </c>
      <c r="J22" s="17"/>
      <c r="K22" s="26" t="str">
        <f>"142,5"</f>
        <v>142,5</v>
      </c>
      <c r="L22" s="27" t="str">
        <f>"146,3760"</f>
        <v>146,3760</v>
      </c>
      <c r="M22" s="15" t="s">
        <v>1268</v>
      </c>
    </row>
    <row r="24" spans="1:13" ht="15" x14ac:dyDescent="0.2">
      <c r="A24" s="34" t="s">
        <v>15</v>
      </c>
      <c r="B24" s="34"/>
      <c r="C24" s="34"/>
      <c r="D24" s="34"/>
      <c r="E24" s="34"/>
      <c r="F24" s="34"/>
      <c r="G24" s="34"/>
      <c r="H24" s="34"/>
      <c r="I24" s="34"/>
      <c r="J24" s="34"/>
    </row>
    <row r="25" spans="1:13" x14ac:dyDescent="0.2">
      <c r="A25" s="9" t="s">
        <v>1270</v>
      </c>
      <c r="B25" s="9" t="s">
        <v>1271</v>
      </c>
      <c r="C25" s="9" t="s">
        <v>1272</v>
      </c>
      <c r="D25" s="9" t="str">
        <f>"0,7952"</f>
        <v>0,7952</v>
      </c>
      <c r="E25" s="9" t="s">
        <v>20</v>
      </c>
      <c r="F25" s="9" t="s">
        <v>206</v>
      </c>
      <c r="G25" s="11" t="s">
        <v>416</v>
      </c>
      <c r="H25" s="10" t="s">
        <v>416</v>
      </c>
      <c r="I25" s="11" t="s">
        <v>23</v>
      </c>
      <c r="J25" s="11"/>
      <c r="K25" s="22" t="str">
        <f>"135,0"</f>
        <v>135,0</v>
      </c>
      <c r="L25" s="23" t="str">
        <f>"107,3520"</f>
        <v>107,3520</v>
      </c>
      <c r="M25" s="9" t="s">
        <v>1273</v>
      </c>
    </row>
    <row r="26" spans="1:13" x14ac:dyDescent="0.2">
      <c r="A26" s="12" t="s">
        <v>755</v>
      </c>
      <c r="B26" s="12" t="s">
        <v>756</v>
      </c>
      <c r="C26" s="12" t="s">
        <v>757</v>
      </c>
      <c r="D26" s="12" t="str">
        <f>"0,7852"</f>
        <v>0,7852</v>
      </c>
      <c r="E26" s="12" t="s">
        <v>20</v>
      </c>
      <c r="F26" s="12" t="s">
        <v>33</v>
      </c>
      <c r="G26" s="14" t="s">
        <v>23</v>
      </c>
      <c r="H26" s="14" t="s">
        <v>60</v>
      </c>
      <c r="I26" s="13"/>
      <c r="J26" s="13"/>
      <c r="K26" s="24" t="str">
        <f>"167,5"</f>
        <v>167,5</v>
      </c>
      <c r="L26" s="25" t="str">
        <f>"131,5210"</f>
        <v>131,5210</v>
      </c>
      <c r="M26" s="12" t="s">
        <v>758</v>
      </c>
    </row>
    <row r="27" spans="1:13" x14ac:dyDescent="0.2">
      <c r="A27" s="15" t="s">
        <v>1275</v>
      </c>
      <c r="B27" s="15" t="s">
        <v>1276</v>
      </c>
      <c r="C27" s="15" t="s">
        <v>1277</v>
      </c>
      <c r="D27" s="15" t="str">
        <f>"0,8035"</f>
        <v>0,8035</v>
      </c>
      <c r="E27" s="15" t="s">
        <v>20</v>
      </c>
      <c r="F27" s="15" t="s">
        <v>415</v>
      </c>
      <c r="G27" s="16" t="s">
        <v>328</v>
      </c>
      <c r="H27" s="16" t="s">
        <v>216</v>
      </c>
      <c r="I27" s="17" t="s">
        <v>200</v>
      </c>
      <c r="J27" s="17"/>
      <c r="K27" s="26" t="str">
        <f>"205,0"</f>
        <v>205,0</v>
      </c>
      <c r="L27" s="27" t="str">
        <f>"164,7175"</f>
        <v>164,7175</v>
      </c>
      <c r="M27" s="15" t="s">
        <v>271</v>
      </c>
    </row>
    <row r="29" spans="1:13" ht="15" x14ac:dyDescent="0.2">
      <c r="A29" s="34" t="s">
        <v>29</v>
      </c>
      <c r="B29" s="34"/>
      <c r="C29" s="34"/>
      <c r="D29" s="34"/>
      <c r="E29" s="34"/>
      <c r="F29" s="34"/>
      <c r="G29" s="34"/>
      <c r="H29" s="34"/>
      <c r="I29" s="34"/>
      <c r="J29" s="34"/>
    </row>
    <row r="30" spans="1:13" x14ac:dyDescent="0.2">
      <c r="A30" s="9" t="s">
        <v>1279</v>
      </c>
      <c r="B30" s="9" t="s">
        <v>1280</v>
      </c>
      <c r="C30" s="9" t="s">
        <v>1281</v>
      </c>
      <c r="D30" s="9" t="str">
        <f>"0,7398"</f>
        <v>0,7398</v>
      </c>
      <c r="E30" s="9" t="s">
        <v>20</v>
      </c>
      <c r="F30" s="9" t="s">
        <v>1267</v>
      </c>
      <c r="G30" s="10" t="s">
        <v>887</v>
      </c>
      <c r="H30" s="10" t="s">
        <v>380</v>
      </c>
      <c r="I30" s="10" t="s">
        <v>381</v>
      </c>
      <c r="J30" s="11"/>
      <c r="K30" s="22" t="str">
        <f>"162,5"</f>
        <v>162,5</v>
      </c>
      <c r="L30" s="23" t="str">
        <f>"120,2175"</f>
        <v>120,2175</v>
      </c>
      <c r="M30" s="9" t="s">
        <v>1268</v>
      </c>
    </row>
    <row r="31" spans="1:13" x14ac:dyDescent="0.2">
      <c r="A31" s="12" t="s">
        <v>1282</v>
      </c>
      <c r="B31" s="12" t="s">
        <v>1283</v>
      </c>
      <c r="C31" s="12" t="s">
        <v>1284</v>
      </c>
      <c r="D31" s="12" t="str">
        <f>"0,7293"</f>
        <v>0,7293</v>
      </c>
      <c r="E31" s="12" t="s">
        <v>20</v>
      </c>
      <c r="F31" s="12" t="s">
        <v>1285</v>
      </c>
      <c r="G31" s="14" t="s">
        <v>37</v>
      </c>
      <c r="H31" s="14" t="s">
        <v>207</v>
      </c>
      <c r="I31" s="14" t="s">
        <v>208</v>
      </c>
      <c r="J31" s="13"/>
      <c r="K31" s="24" t="str">
        <f>"132,5"</f>
        <v>132,5</v>
      </c>
      <c r="L31" s="25" t="str">
        <f>"96,6323"</f>
        <v>96,6323</v>
      </c>
      <c r="M31" s="12" t="s">
        <v>1286</v>
      </c>
    </row>
    <row r="32" spans="1:13" x14ac:dyDescent="0.2">
      <c r="A32" s="12" t="s">
        <v>1288</v>
      </c>
      <c r="B32" s="12" t="s">
        <v>1289</v>
      </c>
      <c r="C32" s="12" t="s">
        <v>1290</v>
      </c>
      <c r="D32" s="12" t="str">
        <f>"0,7166"</f>
        <v>0,7166</v>
      </c>
      <c r="E32" s="12" t="s">
        <v>20</v>
      </c>
      <c r="F32" s="12" t="s">
        <v>1291</v>
      </c>
      <c r="G32" s="13" t="s">
        <v>216</v>
      </c>
      <c r="H32" s="14" t="s">
        <v>216</v>
      </c>
      <c r="I32" s="13" t="s">
        <v>200</v>
      </c>
      <c r="J32" s="13"/>
      <c r="K32" s="24" t="str">
        <f>"205,0"</f>
        <v>205,0</v>
      </c>
      <c r="L32" s="25" t="str">
        <f>"146,9030"</f>
        <v>146,9030</v>
      </c>
      <c r="M32" s="12" t="s">
        <v>1292</v>
      </c>
    </row>
    <row r="33" spans="1:13" x14ac:dyDescent="0.2">
      <c r="A33" s="15" t="s">
        <v>1294</v>
      </c>
      <c r="B33" s="15" t="s">
        <v>1295</v>
      </c>
      <c r="C33" s="15" t="s">
        <v>1296</v>
      </c>
      <c r="D33" s="15" t="str">
        <f>"0,7139"</f>
        <v>0,7139</v>
      </c>
      <c r="E33" s="15" t="s">
        <v>20</v>
      </c>
      <c r="F33" s="15" t="s">
        <v>33</v>
      </c>
      <c r="G33" s="16" t="s">
        <v>39</v>
      </c>
      <c r="H33" s="16" t="s">
        <v>200</v>
      </c>
      <c r="I33" s="16" t="s">
        <v>141</v>
      </c>
      <c r="J33" s="17"/>
      <c r="K33" s="26" t="str">
        <f>"220,0"</f>
        <v>220,0</v>
      </c>
      <c r="L33" s="27" t="str">
        <f>"165,6962"</f>
        <v>165,6962</v>
      </c>
      <c r="M33" s="15" t="s">
        <v>1297</v>
      </c>
    </row>
    <row r="35" spans="1:13" ht="15" x14ac:dyDescent="0.2">
      <c r="A35" s="34" t="s">
        <v>41</v>
      </c>
      <c r="B35" s="34"/>
      <c r="C35" s="34"/>
      <c r="D35" s="34"/>
      <c r="E35" s="34"/>
      <c r="F35" s="34"/>
      <c r="G35" s="34"/>
      <c r="H35" s="34"/>
      <c r="I35" s="34"/>
      <c r="J35" s="34"/>
    </row>
    <row r="36" spans="1:13" x14ac:dyDescent="0.2">
      <c r="A36" s="9" t="s">
        <v>1299</v>
      </c>
      <c r="B36" s="9" t="s">
        <v>1300</v>
      </c>
      <c r="C36" s="9" t="s">
        <v>1301</v>
      </c>
      <c r="D36" s="9" t="str">
        <f>"0,6719"</f>
        <v>0,6719</v>
      </c>
      <c r="E36" s="9" t="s">
        <v>20</v>
      </c>
      <c r="F36" s="9" t="s">
        <v>801</v>
      </c>
      <c r="G36" s="10" t="s">
        <v>22</v>
      </c>
      <c r="H36" s="11" t="s">
        <v>199</v>
      </c>
      <c r="I36" s="10" t="s">
        <v>199</v>
      </c>
      <c r="J36" s="11"/>
      <c r="K36" s="22" t="str">
        <f>"155,0"</f>
        <v>155,0</v>
      </c>
      <c r="L36" s="23" t="str">
        <f>"104,1445"</f>
        <v>104,1445</v>
      </c>
      <c r="M36" s="9" t="s">
        <v>271</v>
      </c>
    </row>
    <row r="37" spans="1:13" x14ac:dyDescent="0.2">
      <c r="A37" s="12" t="s">
        <v>1303</v>
      </c>
      <c r="B37" s="12" t="s">
        <v>1304</v>
      </c>
      <c r="C37" s="12" t="s">
        <v>1305</v>
      </c>
      <c r="D37" s="12" t="str">
        <f>"0,6769"</f>
        <v>0,6769</v>
      </c>
      <c r="E37" s="12" t="s">
        <v>20</v>
      </c>
      <c r="F37" s="12" t="s">
        <v>33</v>
      </c>
      <c r="G37" s="14" t="s">
        <v>150</v>
      </c>
      <c r="H37" s="14" t="s">
        <v>141</v>
      </c>
      <c r="I37" s="13" t="s">
        <v>74</v>
      </c>
      <c r="J37" s="13"/>
      <c r="K37" s="24" t="str">
        <f>"220,0"</f>
        <v>220,0</v>
      </c>
      <c r="L37" s="25" t="str">
        <f>"148,9180"</f>
        <v>148,9180</v>
      </c>
      <c r="M37" s="12" t="s">
        <v>271</v>
      </c>
    </row>
    <row r="38" spans="1:13" x14ac:dyDescent="0.2">
      <c r="A38" s="12" t="s">
        <v>1307</v>
      </c>
      <c r="B38" s="12" t="s">
        <v>1308</v>
      </c>
      <c r="C38" s="12" t="s">
        <v>1309</v>
      </c>
      <c r="D38" s="12" t="str">
        <f>"0,7061"</f>
        <v>0,7061</v>
      </c>
      <c r="E38" s="12" t="s">
        <v>20</v>
      </c>
      <c r="F38" s="12" t="s">
        <v>1310</v>
      </c>
      <c r="G38" s="14" t="s">
        <v>218</v>
      </c>
      <c r="H38" s="13" t="s">
        <v>1311</v>
      </c>
      <c r="I38" s="13"/>
      <c r="J38" s="13"/>
      <c r="K38" s="24" t="str">
        <f>"212,5"</f>
        <v>212,5</v>
      </c>
      <c r="L38" s="25" t="str">
        <f>"213,2157"</f>
        <v>213,2157</v>
      </c>
      <c r="M38" s="12" t="s">
        <v>1312</v>
      </c>
    </row>
    <row r="39" spans="1:13" x14ac:dyDescent="0.2">
      <c r="A39" s="15" t="s">
        <v>853</v>
      </c>
      <c r="B39" s="15" t="s">
        <v>854</v>
      </c>
      <c r="C39" s="15" t="s">
        <v>855</v>
      </c>
      <c r="D39" s="15" t="str">
        <f>"0,6843"</f>
        <v>0,6843</v>
      </c>
      <c r="E39" s="15" t="s">
        <v>20</v>
      </c>
      <c r="F39" s="15" t="s">
        <v>400</v>
      </c>
      <c r="G39" s="16" t="s">
        <v>416</v>
      </c>
      <c r="H39" s="16" t="s">
        <v>22</v>
      </c>
      <c r="I39" s="16" t="s">
        <v>129</v>
      </c>
      <c r="J39" s="17"/>
      <c r="K39" s="26" t="str">
        <f>"145,0"</f>
        <v>145,0</v>
      </c>
      <c r="L39" s="27" t="str">
        <f>"182,0751"</f>
        <v>182,0751</v>
      </c>
      <c r="M39" s="15" t="s">
        <v>856</v>
      </c>
    </row>
    <row r="41" spans="1:13" ht="15" x14ac:dyDescent="0.2">
      <c r="A41" s="34" t="s">
        <v>201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3" x14ac:dyDescent="0.2">
      <c r="A42" s="9" t="s">
        <v>1314</v>
      </c>
      <c r="B42" s="9" t="s">
        <v>1315</v>
      </c>
      <c r="C42" s="9" t="s">
        <v>875</v>
      </c>
      <c r="D42" s="9" t="str">
        <f>"0,6499"</f>
        <v>0,6499</v>
      </c>
      <c r="E42" s="9" t="s">
        <v>20</v>
      </c>
      <c r="F42" s="9" t="s">
        <v>33</v>
      </c>
      <c r="G42" s="10" t="s">
        <v>141</v>
      </c>
      <c r="H42" s="10" t="s">
        <v>75</v>
      </c>
      <c r="I42" s="11" t="s">
        <v>1316</v>
      </c>
      <c r="J42" s="11"/>
      <c r="K42" s="22" t="str">
        <f>"230,0"</f>
        <v>230,0</v>
      </c>
      <c r="L42" s="23" t="str">
        <f>"149,4770"</f>
        <v>149,4770</v>
      </c>
      <c r="M42" s="9" t="s">
        <v>1317</v>
      </c>
    </row>
    <row r="43" spans="1:13" x14ac:dyDescent="0.2">
      <c r="A43" s="12" t="s">
        <v>1319</v>
      </c>
      <c r="B43" s="12" t="s">
        <v>1320</v>
      </c>
      <c r="C43" s="12" t="s">
        <v>1321</v>
      </c>
      <c r="D43" s="12" t="str">
        <f>"0,6475"</f>
        <v>0,6475</v>
      </c>
      <c r="E43" s="12" t="s">
        <v>20</v>
      </c>
      <c r="F43" s="12" t="s">
        <v>33</v>
      </c>
      <c r="G43" s="14" t="s">
        <v>141</v>
      </c>
      <c r="H43" s="14" t="s">
        <v>75</v>
      </c>
      <c r="I43" s="13" t="s">
        <v>1316</v>
      </c>
      <c r="J43" s="13"/>
      <c r="K43" s="24" t="str">
        <f>"230,0"</f>
        <v>230,0</v>
      </c>
      <c r="L43" s="25" t="str">
        <f>"148,9250"</f>
        <v>148,9250</v>
      </c>
      <c r="M43" s="12" t="s">
        <v>1322</v>
      </c>
    </row>
    <row r="44" spans="1:13" x14ac:dyDescent="0.2">
      <c r="A44" s="12" t="s">
        <v>1324</v>
      </c>
      <c r="B44" s="12" t="s">
        <v>1325</v>
      </c>
      <c r="C44" s="12" t="s">
        <v>432</v>
      </c>
      <c r="D44" s="12" t="str">
        <f>"0,6519"</f>
        <v>0,6519</v>
      </c>
      <c r="E44" s="12" t="s">
        <v>20</v>
      </c>
      <c r="F44" s="12" t="s">
        <v>446</v>
      </c>
      <c r="G44" s="14" t="s">
        <v>61</v>
      </c>
      <c r="H44" s="14" t="s">
        <v>127</v>
      </c>
      <c r="I44" s="13" t="s">
        <v>39</v>
      </c>
      <c r="J44" s="13"/>
      <c r="K44" s="24" t="str">
        <f>"190,0"</f>
        <v>190,0</v>
      </c>
      <c r="L44" s="25" t="str">
        <f>"123,8610"</f>
        <v>123,8610</v>
      </c>
      <c r="M44" s="12" t="s">
        <v>271</v>
      </c>
    </row>
    <row r="45" spans="1:13" x14ac:dyDescent="0.2">
      <c r="A45" s="15" t="s">
        <v>219</v>
      </c>
      <c r="B45" s="15" t="s">
        <v>220</v>
      </c>
      <c r="C45" s="15" t="s">
        <v>221</v>
      </c>
      <c r="D45" s="15" t="str">
        <f>"0,6471"</f>
        <v>0,6471</v>
      </c>
      <c r="E45" s="15" t="s">
        <v>20</v>
      </c>
      <c r="F45" s="15" t="s">
        <v>33</v>
      </c>
      <c r="G45" s="17" t="s">
        <v>48</v>
      </c>
      <c r="H45" s="17"/>
      <c r="I45" s="17"/>
      <c r="J45" s="17"/>
      <c r="K45" s="26" t="str">
        <f>"0.00"</f>
        <v>0.00</v>
      </c>
      <c r="L45" s="27" t="str">
        <f>"0,0000"</f>
        <v>0,0000</v>
      </c>
      <c r="M45" s="15" t="s">
        <v>222</v>
      </c>
    </row>
    <row r="47" spans="1:13" ht="15" x14ac:dyDescent="0.2">
      <c r="A47" s="34" t="s">
        <v>131</v>
      </c>
      <c r="B47" s="34"/>
      <c r="C47" s="34"/>
      <c r="D47" s="34"/>
      <c r="E47" s="34"/>
      <c r="F47" s="34"/>
      <c r="G47" s="34"/>
      <c r="H47" s="34"/>
      <c r="I47" s="34"/>
      <c r="J47" s="34"/>
    </row>
    <row r="48" spans="1:13" x14ac:dyDescent="0.2">
      <c r="A48" s="9" t="s">
        <v>330</v>
      </c>
      <c r="B48" s="9" t="s">
        <v>331</v>
      </c>
      <c r="C48" s="9" t="s">
        <v>332</v>
      </c>
      <c r="D48" s="9" t="str">
        <f>"0,6308"</f>
        <v>0,6308</v>
      </c>
      <c r="E48" s="9" t="s">
        <v>20</v>
      </c>
      <c r="F48" s="9" t="s">
        <v>33</v>
      </c>
      <c r="G48" s="10" t="s">
        <v>36</v>
      </c>
      <c r="H48" s="10" t="s">
        <v>38</v>
      </c>
      <c r="I48" s="11" t="s">
        <v>190</v>
      </c>
      <c r="J48" s="11"/>
      <c r="K48" s="22" t="str">
        <f>"120,0"</f>
        <v>120,0</v>
      </c>
      <c r="L48" s="23" t="str">
        <f>"75,6960"</f>
        <v>75,6960</v>
      </c>
      <c r="M48" s="9" t="s">
        <v>333</v>
      </c>
    </row>
    <row r="49" spans="1:13" x14ac:dyDescent="0.2">
      <c r="A49" s="12" t="s">
        <v>1327</v>
      </c>
      <c r="B49" s="12" t="s">
        <v>1328</v>
      </c>
      <c r="C49" s="12" t="s">
        <v>480</v>
      </c>
      <c r="D49" s="12" t="str">
        <f>"0,6134"</f>
        <v>0,6134</v>
      </c>
      <c r="E49" s="12" t="s">
        <v>20</v>
      </c>
      <c r="F49" s="12" t="s">
        <v>33</v>
      </c>
      <c r="G49" s="14" t="s">
        <v>75</v>
      </c>
      <c r="H49" s="14" t="s">
        <v>48</v>
      </c>
      <c r="I49" s="13" t="s">
        <v>51</v>
      </c>
      <c r="J49" s="13"/>
      <c r="K49" s="24" t="str">
        <f>"240,0"</f>
        <v>240,0</v>
      </c>
      <c r="L49" s="25" t="str">
        <f>"147,2160"</f>
        <v>147,2160</v>
      </c>
      <c r="M49" s="12" t="s">
        <v>1329</v>
      </c>
    </row>
    <row r="50" spans="1:13" x14ac:dyDescent="0.2">
      <c r="A50" s="12" t="s">
        <v>958</v>
      </c>
      <c r="B50" s="12" t="s">
        <v>1330</v>
      </c>
      <c r="C50" s="12" t="s">
        <v>960</v>
      </c>
      <c r="D50" s="12" t="str">
        <f>"0,6250"</f>
        <v>0,6250</v>
      </c>
      <c r="E50" s="12" t="s">
        <v>20</v>
      </c>
      <c r="F50" s="12" t="s">
        <v>961</v>
      </c>
      <c r="G50" s="14" t="s">
        <v>200</v>
      </c>
      <c r="H50" s="14" t="s">
        <v>501</v>
      </c>
      <c r="I50" s="14" t="s">
        <v>75</v>
      </c>
      <c r="J50" s="13"/>
      <c r="K50" s="24" t="str">
        <f>"230,0"</f>
        <v>230,0</v>
      </c>
      <c r="L50" s="25" t="str">
        <f>"143,7500"</f>
        <v>143,7500</v>
      </c>
      <c r="M50" s="12" t="s">
        <v>28</v>
      </c>
    </row>
    <row r="51" spans="1:13" x14ac:dyDescent="0.2">
      <c r="A51" s="12" t="s">
        <v>1327</v>
      </c>
      <c r="B51" s="12" t="s">
        <v>1331</v>
      </c>
      <c r="C51" s="12" t="s">
        <v>480</v>
      </c>
      <c r="D51" s="12" t="str">
        <f>"0,6134"</f>
        <v>0,6134</v>
      </c>
      <c r="E51" s="12" t="s">
        <v>20</v>
      </c>
      <c r="F51" s="12" t="s">
        <v>33</v>
      </c>
      <c r="G51" s="14" t="s">
        <v>75</v>
      </c>
      <c r="H51" s="14" t="s">
        <v>48</v>
      </c>
      <c r="I51" s="13" t="s">
        <v>51</v>
      </c>
      <c r="J51" s="13"/>
      <c r="K51" s="24" t="str">
        <f>"240,0"</f>
        <v>240,0</v>
      </c>
      <c r="L51" s="25" t="str">
        <f>"150,1603"</f>
        <v>150,1603</v>
      </c>
      <c r="M51" s="12" t="s">
        <v>1329</v>
      </c>
    </row>
    <row r="52" spans="1:13" x14ac:dyDescent="0.2">
      <c r="A52" s="12" t="s">
        <v>1333</v>
      </c>
      <c r="B52" s="12" t="s">
        <v>1334</v>
      </c>
      <c r="C52" s="12" t="s">
        <v>950</v>
      </c>
      <c r="D52" s="12" t="str">
        <f>"0,6113"</f>
        <v>0,6113</v>
      </c>
      <c r="E52" s="12" t="s">
        <v>20</v>
      </c>
      <c r="F52" s="12" t="s">
        <v>1129</v>
      </c>
      <c r="G52" s="14" t="s">
        <v>200</v>
      </c>
      <c r="H52" s="14" t="s">
        <v>141</v>
      </c>
      <c r="I52" s="13" t="s">
        <v>75</v>
      </c>
      <c r="J52" s="13"/>
      <c r="K52" s="24" t="str">
        <f>"220,0"</f>
        <v>220,0</v>
      </c>
      <c r="L52" s="25" t="str">
        <f>"147,5311"</f>
        <v>147,5311</v>
      </c>
      <c r="M52" s="12" t="s">
        <v>382</v>
      </c>
    </row>
    <row r="53" spans="1:13" x14ac:dyDescent="0.2">
      <c r="A53" s="12" t="s">
        <v>1335</v>
      </c>
      <c r="B53" s="12" t="s">
        <v>959</v>
      </c>
      <c r="C53" s="12" t="s">
        <v>960</v>
      </c>
      <c r="D53" s="12" t="str">
        <f>"0,6250"</f>
        <v>0,6250</v>
      </c>
      <c r="E53" s="12" t="s">
        <v>20</v>
      </c>
      <c r="F53" s="12" t="s">
        <v>961</v>
      </c>
      <c r="G53" s="14" t="s">
        <v>200</v>
      </c>
      <c r="H53" s="14" t="s">
        <v>501</v>
      </c>
      <c r="I53" s="14" t="s">
        <v>75</v>
      </c>
      <c r="J53" s="13"/>
      <c r="K53" s="24" t="str">
        <f>"230,0"</f>
        <v>230,0</v>
      </c>
      <c r="L53" s="25" t="str">
        <f>"176,0938"</f>
        <v>176,0938</v>
      </c>
      <c r="M53" s="12" t="s">
        <v>28</v>
      </c>
    </row>
    <row r="54" spans="1:13" x14ac:dyDescent="0.2">
      <c r="A54" s="12" t="s">
        <v>1337</v>
      </c>
      <c r="B54" s="12" t="s">
        <v>1338</v>
      </c>
      <c r="C54" s="12" t="s">
        <v>1339</v>
      </c>
      <c r="D54" s="12" t="str">
        <f>"0,6188"</f>
        <v>0,6188</v>
      </c>
      <c r="E54" s="12" t="s">
        <v>20</v>
      </c>
      <c r="F54" s="12" t="s">
        <v>1340</v>
      </c>
      <c r="G54" s="14" t="s">
        <v>127</v>
      </c>
      <c r="H54" s="14" t="s">
        <v>39</v>
      </c>
      <c r="I54" s="13"/>
      <c r="J54" s="13"/>
      <c r="K54" s="24" t="str">
        <f>"200,0"</f>
        <v>200,0</v>
      </c>
      <c r="L54" s="25" t="str">
        <f>"172,3977"</f>
        <v>172,3977</v>
      </c>
      <c r="M54" s="12" t="s">
        <v>1341</v>
      </c>
    </row>
    <row r="55" spans="1:13" x14ac:dyDescent="0.2">
      <c r="A55" s="12" t="s">
        <v>1342</v>
      </c>
      <c r="B55" s="12" t="s">
        <v>1226</v>
      </c>
      <c r="C55" s="12" t="s">
        <v>480</v>
      </c>
      <c r="D55" s="12" t="str">
        <f>"0,6134"</f>
        <v>0,6134</v>
      </c>
      <c r="E55" s="12" t="s">
        <v>20</v>
      </c>
      <c r="F55" s="12" t="s">
        <v>1227</v>
      </c>
      <c r="G55" s="14" t="s">
        <v>34</v>
      </c>
      <c r="H55" s="14" t="s">
        <v>127</v>
      </c>
      <c r="I55" s="13" t="s">
        <v>141</v>
      </c>
      <c r="J55" s="13"/>
      <c r="K55" s="24" t="str">
        <f>"190,0"</f>
        <v>190,0</v>
      </c>
      <c r="L55" s="25" t="str">
        <f>"162,3486"</f>
        <v>162,3486</v>
      </c>
      <c r="M55" s="12" t="s">
        <v>1228</v>
      </c>
    </row>
    <row r="56" spans="1:13" x14ac:dyDescent="0.2">
      <c r="A56" s="15" t="s">
        <v>1230</v>
      </c>
      <c r="B56" s="15" t="s">
        <v>1231</v>
      </c>
      <c r="C56" s="15" t="s">
        <v>1232</v>
      </c>
      <c r="D56" s="15" t="str">
        <f>"0,6172"</f>
        <v>0,6172</v>
      </c>
      <c r="E56" s="15" t="s">
        <v>20</v>
      </c>
      <c r="F56" s="15" t="s">
        <v>1227</v>
      </c>
      <c r="G56" s="16" t="s">
        <v>191</v>
      </c>
      <c r="H56" s="17"/>
      <c r="I56" s="17"/>
      <c r="J56" s="17"/>
      <c r="K56" s="26" t="str">
        <f>"185,0"</f>
        <v>185,0</v>
      </c>
      <c r="L56" s="27" t="str">
        <f>"176,1828"</f>
        <v>176,1828</v>
      </c>
      <c r="M56" s="15" t="s">
        <v>1233</v>
      </c>
    </row>
    <row r="58" spans="1:13" ht="15" x14ac:dyDescent="0.2">
      <c r="A58" s="34" t="s">
        <v>66</v>
      </c>
      <c r="B58" s="34"/>
      <c r="C58" s="34"/>
      <c r="D58" s="34"/>
      <c r="E58" s="34"/>
      <c r="F58" s="34"/>
      <c r="G58" s="34"/>
      <c r="H58" s="34"/>
      <c r="I58" s="34"/>
      <c r="J58" s="34"/>
    </row>
    <row r="59" spans="1:13" x14ac:dyDescent="0.2">
      <c r="A59" s="9" t="s">
        <v>1344</v>
      </c>
      <c r="B59" s="9" t="s">
        <v>1345</v>
      </c>
      <c r="C59" s="9" t="s">
        <v>1346</v>
      </c>
      <c r="D59" s="9" t="str">
        <f>"0,6006"</f>
        <v>0,6006</v>
      </c>
      <c r="E59" s="9" t="s">
        <v>20</v>
      </c>
      <c r="F59" s="9" t="s">
        <v>1201</v>
      </c>
      <c r="G59" s="10" t="s">
        <v>150</v>
      </c>
      <c r="H59" s="10" t="s">
        <v>75</v>
      </c>
      <c r="I59" s="11" t="s">
        <v>47</v>
      </c>
      <c r="J59" s="11"/>
      <c r="K59" s="22" t="str">
        <f>"230,0"</f>
        <v>230,0</v>
      </c>
      <c r="L59" s="23" t="str">
        <f>"138,1380"</f>
        <v>138,1380</v>
      </c>
      <c r="M59" s="9" t="s">
        <v>271</v>
      </c>
    </row>
    <row r="60" spans="1:13" x14ac:dyDescent="0.2">
      <c r="A60" s="15" t="s">
        <v>1348</v>
      </c>
      <c r="B60" s="15" t="s">
        <v>1349</v>
      </c>
      <c r="C60" s="15" t="s">
        <v>1012</v>
      </c>
      <c r="D60" s="15" t="str">
        <f>"0,5932"</f>
        <v>0,5932</v>
      </c>
      <c r="E60" s="15" t="s">
        <v>20</v>
      </c>
      <c r="F60" s="15" t="s">
        <v>1350</v>
      </c>
      <c r="G60" s="16" t="s">
        <v>200</v>
      </c>
      <c r="H60" s="16" t="s">
        <v>141</v>
      </c>
      <c r="I60" s="16" t="s">
        <v>74</v>
      </c>
      <c r="J60" s="17"/>
      <c r="K60" s="26" t="str">
        <f>"225,0"</f>
        <v>225,0</v>
      </c>
      <c r="L60" s="27" t="str">
        <f>"193,5315"</f>
        <v>193,5315</v>
      </c>
      <c r="M60" s="15" t="s">
        <v>1351</v>
      </c>
    </row>
    <row r="62" spans="1:13" ht="15" x14ac:dyDescent="0.2">
      <c r="A62" s="34" t="s">
        <v>223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3" x14ac:dyDescent="0.2">
      <c r="A63" s="9" t="s">
        <v>1353</v>
      </c>
      <c r="B63" s="9" t="s">
        <v>1354</v>
      </c>
      <c r="C63" s="9" t="s">
        <v>1355</v>
      </c>
      <c r="D63" s="9" t="str">
        <f>"0,5883"</f>
        <v>0,5883</v>
      </c>
      <c r="E63" s="9" t="s">
        <v>20</v>
      </c>
      <c r="F63" s="9" t="s">
        <v>33</v>
      </c>
      <c r="G63" s="10" t="s">
        <v>48</v>
      </c>
      <c r="H63" s="10" t="s">
        <v>52</v>
      </c>
      <c r="I63" s="10" t="s">
        <v>59</v>
      </c>
      <c r="J63" s="11"/>
      <c r="K63" s="22" t="str">
        <f>"265,0"</f>
        <v>265,0</v>
      </c>
      <c r="L63" s="23" t="str">
        <f>"155,8995"</f>
        <v>155,8995</v>
      </c>
      <c r="M63" s="9" t="s">
        <v>1356</v>
      </c>
    </row>
    <row r="64" spans="1:13" x14ac:dyDescent="0.2">
      <c r="A64" s="15" t="s">
        <v>1358</v>
      </c>
      <c r="B64" s="15" t="s">
        <v>1359</v>
      </c>
      <c r="C64" s="15" t="s">
        <v>1360</v>
      </c>
      <c r="D64" s="15" t="str">
        <f>"0,5743"</f>
        <v>0,5743</v>
      </c>
      <c r="E64" s="15" t="s">
        <v>20</v>
      </c>
      <c r="F64" s="15" t="s">
        <v>1361</v>
      </c>
      <c r="G64" s="16" t="s">
        <v>501</v>
      </c>
      <c r="H64" s="16" t="s">
        <v>197</v>
      </c>
      <c r="I64" s="16" t="s">
        <v>1316</v>
      </c>
      <c r="J64" s="17"/>
      <c r="K64" s="26" t="str">
        <f>"242,5"</f>
        <v>242,5</v>
      </c>
      <c r="L64" s="27" t="str">
        <f>"197,8995"</f>
        <v>197,8995</v>
      </c>
      <c r="M64" s="15" t="s">
        <v>1362</v>
      </c>
    </row>
    <row r="66" spans="1:13" ht="15" x14ac:dyDescent="0.2">
      <c r="A66" s="34" t="s">
        <v>233</v>
      </c>
      <c r="B66" s="34"/>
      <c r="C66" s="34"/>
      <c r="D66" s="34"/>
      <c r="E66" s="34"/>
      <c r="F66" s="34"/>
      <c r="G66" s="34"/>
      <c r="H66" s="34"/>
      <c r="I66" s="34"/>
      <c r="J66" s="34"/>
    </row>
    <row r="67" spans="1:13" x14ac:dyDescent="0.2">
      <c r="A67" s="6" t="s">
        <v>235</v>
      </c>
      <c r="B67" s="6" t="s">
        <v>236</v>
      </c>
      <c r="C67" s="6" t="s">
        <v>237</v>
      </c>
      <c r="D67" s="6" t="str">
        <f>"0,5438"</f>
        <v>0,5438</v>
      </c>
      <c r="E67" s="6" t="s">
        <v>20</v>
      </c>
      <c r="F67" s="6" t="s">
        <v>33</v>
      </c>
      <c r="G67" s="7" t="s">
        <v>141</v>
      </c>
      <c r="H67" s="7" t="s">
        <v>47</v>
      </c>
      <c r="I67" s="8" t="s">
        <v>238</v>
      </c>
      <c r="J67" s="8"/>
      <c r="K67" s="20" t="str">
        <f>"235,0"</f>
        <v>235,0</v>
      </c>
      <c r="L67" s="21" t="str">
        <f>"127,7930"</f>
        <v>127,7930</v>
      </c>
      <c r="M67" s="6" t="s">
        <v>239</v>
      </c>
    </row>
    <row r="69" spans="1:13" ht="15" x14ac:dyDescent="0.2">
      <c r="E69" s="18" t="s">
        <v>80</v>
      </c>
    </row>
    <row r="70" spans="1:13" ht="15" x14ac:dyDescent="0.2">
      <c r="E70" s="18" t="s">
        <v>81</v>
      </c>
    </row>
    <row r="71" spans="1:13" ht="15" x14ac:dyDescent="0.2">
      <c r="E71" s="18" t="s">
        <v>82</v>
      </c>
    </row>
    <row r="72" spans="1:13" ht="15" x14ac:dyDescent="0.2">
      <c r="E72" s="18" t="s">
        <v>83</v>
      </c>
    </row>
    <row r="73" spans="1:13" ht="15" x14ac:dyDescent="0.2">
      <c r="E73" s="18" t="s">
        <v>83</v>
      </c>
    </row>
    <row r="74" spans="1:13" ht="15" x14ac:dyDescent="0.2">
      <c r="E74" s="18" t="s">
        <v>84</v>
      </c>
    </row>
    <row r="75" spans="1:13" ht="15" x14ac:dyDescent="0.2">
      <c r="E75" s="18"/>
    </row>
    <row r="77" spans="1:13" ht="18" x14ac:dyDescent="0.25">
      <c r="A77" s="28" t="s">
        <v>85</v>
      </c>
      <c r="B77" s="28"/>
    </row>
    <row r="78" spans="1:13" ht="15" x14ac:dyDescent="0.2">
      <c r="A78" s="29" t="s">
        <v>86</v>
      </c>
      <c r="B78" s="29"/>
    </row>
    <row r="79" spans="1:13" ht="14.25" x14ac:dyDescent="0.2">
      <c r="A79" s="31"/>
      <c r="B79" s="32" t="s">
        <v>350</v>
      </c>
    </row>
    <row r="80" spans="1:13" ht="15" x14ac:dyDescent="0.2">
      <c r="A80" s="33" t="s">
        <v>88</v>
      </c>
      <c r="B80" s="33" t="s">
        <v>89</v>
      </c>
      <c r="C80" s="33" t="s">
        <v>90</v>
      </c>
      <c r="D80" s="33" t="s">
        <v>549</v>
      </c>
      <c r="E80" s="33" t="s">
        <v>92</v>
      </c>
    </row>
    <row r="81" spans="1:5" x14ac:dyDescent="0.2">
      <c r="A81" s="30" t="s">
        <v>1236</v>
      </c>
      <c r="B81" s="4" t="s">
        <v>149</v>
      </c>
      <c r="C81" s="4" t="s">
        <v>1039</v>
      </c>
      <c r="D81" s="4" t="s">
        <v>22</v>
      </c>
      <c r="E81" s="19" t="s">
        <v>1363</v>
      </c>
    </row>
    <row r="82" spans="1:5" x14ac:dyDescent="0.2">
      <c r="A82" s="30" t="s">
        <v>1247</v>
      </c>
      <c r="B82" s="4" t="s">
        <v>149</v>
      </c>
      <c r="C82" s="4" t="s">
        <v>352</v>
      </c>
      <c r="D82" s="4" t="s">
        <v>37</v>
      </c>
      <c r="E82" s="19" t="s">
        <v>1364</v>
      </c>
    </row>
    <row r="84" spans="1:5" ht="14.25" x14ac:dyDescent="0.2">
      <c r="A84" s="31"/>
      <c r="B84" s="32" t="s">
        <v>103</v>
      </c>
    </row>
    <row r="85" spans="1:5" ht="15" x14ac:dyDescent="0.2">
      <c r="A85" s="33" t="s">
        <v>88</v>
      </c>
      <c r="B85" s="33" t="s">
        <v>89</v>
      </c>
      <c r="C85" s="33" t="s">
        <v>90</v>
      </c>
      <c r="D85" s="33" t="s">
        <v>549</v>
      </c>
      <c r="E85" s="33" t="s">
        <v>92</v>
      </c>
    </row>
    <row r="86" spans="1:5" x14ac:dyDescent="0.2">
      <c r="A86" s="30" t="s">
        <v>1236</v>
      </c>
      <c r="B86" s="4" t="s">
        <v>103</v>
      </c>
      <c r="C86" s="4" t="s">
        <v>1039</v>
      </c>
      <c r="D86" s="4" t="s">
        <v>22</v>
      </c>
      <c r="E86" s="19" t="s">
        <v>1363</v>
      </c>
    </row>
    <row r="87" spans="1:5" x14ac:dyDescent="0.2">
      <c r="A87" s="30" t="s">
        <v>1242</v>
      </c>
      <c r="B87" s="4" t="s">
        <v>103</v>
      </c>
      <c r="C87" s="4" t="s">
        <v>1039</v>
      </c>
      <c r="D87" s="4" t="s">
        <v>177</v>
      </c>
      <c r="E87" s="19" t="s">
        <v>1365</v>
      </c>
    </row>
    <row r="88" spans="1:5" x14ac:dyDescent="0.2">
      <c r="A88" s="30" t="s">
        <v>1250</v>
      </c>
      <c r="B88" s="4" t="s">
        <v>103</v>
      </c>
      <c r="C88" s="4" t="s">
        <v>352</v>
      </c>
      <c r="D88" s="4" t="s">
        <v>190</v>
      </c>
      <c r="E88" s="19" t="s">
        <v>1366</v>
      </c>
    </row>
    <row r="89" spans="1:5" x14ac:dyDescent="0.2">
      <c r="A89" s="30" t="s">
        <v>1258</v>
      </c>
      <c r="B89" s="4" t="s">
        <v>103</v>
      </c>
      <c r="C89" s="4" t="s">
        <v>94</v>
      </c>
      <c r="D89" s="4" t="s">
        <v>23</v>
      </c>
      <c r="E89" s="19" t="s">
        <v>1367</v>
      </c>
    </row>
    <row r="90" spans="1:5" x14ac:dyDescent="0.2">
      <c r="A90" s="30" t="s">
        <v>649</v>
      </c>
      <c r="B90" s="4" t="s">
        <v>103</v>
      </c>
      <c r="C90" s="4" t="s">
        <v>359</v>
      </c>
      <c r="D90" s="4" t="s">
        <v>36</v>
      </c>
      <c r="E90" s="19" t="s">
        <v>1368</v>
      </c>
    </row>
    <row r="91" spans="1:5" x14ac:dyDescent="0.2">
      <c r="A91" s="30" t="s">
        <v>1263</v>
      </c>
      <c r="B91" s="4" t="s">
        <v>103</v>
      </c>
      <c r="C91" s="4" t="s">
        <v>94</v>
      </c>
      <c r="D91" s="4" t="s">
        <v>887</v>
      </c>
      <c r="E91" s="19" t="s">
        <v>1369</v>
      </c>
    </row>
    <row r="94" spans="1:5" ht="15" x14ac:dyDescent="0.2">
      <c r="A94" s="29" t="s">
        <v>97</v>
      </c>
      <c r="B94" s="29"/>
    </row>
    <row r="95" spans="1:5" ht="14.25" x14ac:dyDescent="0.2">
      <c r="A95" s="31"/>
      <c r="B95" s="32" t="s">
        <v>148</v>
      </c>
    </row>
    <row r="96" spans="1:5" ht="15" x14ac:dyDescent="0.2">
      <c r="A96" s="33" t="s">
        <v>88</v>
      </c>
      <c r="B96" s="33" t="s">
        <v>89</v>
      </c>
      <c r="C96" s="33" t="s">
        <v>90</v>
      </c>
      <c r="D96" s="33" t="s">
        <v>549</v>
      </c>
      <c r="E96" s="33" t="s">
        <v>92</v>
      </c>
    </row>
    <row r="97" spans="1:5" x14ac:dyDescent="0.2">
      <c r="A97" s="30" t="s">
        <v>234</v>
      </c>
      <c r="B97" s="4" t="s">
        <v>149</v>
      </c>
      <c r="C97" s="4" t="s">
        <v>245</v>
      </c>
      <c r="D97" s="4" t="s">
        <v>47</v>
      </c>
      <c r="E97" s="19" t="s">
        <v>1370</v>
      </c>
    </row>
    <row r="98" spans="1:5" x14ac:dyDescent="0.2">
      <c r="A98" s="30" t="s">
        <v>1278</v>
      </c>
      <c r="B98" s="4" t="s">
        <v>149</v>
      </c>
      <c r="C98" s="4" t="s">
        <v>242</v>
      </c>
      <c r="D98" s="4" t="s">
        <v>381</v>
      </c>
      <c r="E98" s="19" t="s">
        <v>1371</v>
      </c>
    </row>
    <row r="99" spans="1:5" x14ac:dyDescent="0.2">
      <c r="A99" s="30" t="s">
        <v>1269</v>
      </c>
      <c r="B99" s="4" t="s">
        <v>149</v>
      </c>
      <c r="C99" s="4" t="s">
        <v>94</v>
      </c>
      <c r="D99" s="4" t="s">
        <v>416</v>
      </c>
      <c r="E99" s="19" t="s">
        <v>1372</v>
      </c>
    </row>
    <row r="100" spans="1:5" x14ac:dyDescent="0.2">
      <c r="A100" s="30" t="s">
        <v>401</v>
      </c>
      <c r="B100" s="4" t="s">
        <v>149</v>
      </c>
      <c r="C100" s="4" t="s">
        <v>242</v>
      </c>
      <c r="D100" s="4" t="s">
        <v>208</v>
      </c>
      <c r="E100" s="19" t="s">
        <v>1373</v>
      </c>
    </row>
    <row r="101" spans="1:5" x14ac:dyDescent="0.2">
      <c r="A101" s="30" t="s">
        <v>329</v>
      </c>
      <c r="B101" s="4" t="s">
        <v>149</v>
      </c>
      <c r="C101" s="4" t="s">
        <v>152</v>
      </c>
      <c r="D101" s="4" t="s">
        <v>38</v>
      </c>
      <c r="E101" s="19" t="s">
        <v>1374</v>
      </c>
    </row>
    <row r="103" spans="1:5" ht="14.25" x14ac:dyDescent="0.2">
      <c r="A103" s="31"/>
      <c r="B103" s="32" t="s">
        <v>98</v>
      </c>
    </row>
    <row r="104" spans="1:5" ht="15" x14ac:dyDescent="0.2">
      <c r="A104" s="33" t="s">
        <v>88</v>
      </c>
      <c r="B104" s="33" t="s">
        <v>89</v>
      </c>
      <c r="C104" s="33" t="s">
        <v>90</v>
      </c>
      <c r="D104" s="33" t="s">
        <v>549</v>
      </c>
      <c r="E104" s="33" t="s">
        <v>92</v>
      </c>
    </row>
    <row r="105" spans="1:5" x14ac:dyDescent="0.2">
      <c r="A105" s="30" t="s">
        <v>754</v>
      </c>
      <c r="B105" s="4" t="s">
        <v>99</v>
      </c>
      <c r="C105" s="4" t="s">
        <v>94</v>
      </c>
      <c r="D105" s="4" t="s">
        <v>60</v>
      </c>
      <c r="E105" s="19" t="s">
        <v>1375</v>
      </c>
    </row>
    <row r="106" spans="1:5" x14ac:dyDescent="0.2">
      <c r="A106" s="30" t="s">
        <v>1298</v>
      </c>
      <c r="B106" s="4" t="s">
        <v>99</v>
      </c>
      <c r="C106" s="4" t="s">
        <v>100</v>
      </c>
      <c r="D106" s="4" t="s">
        <v>199</v>
      </c>
      <c r="E106" s="19" t="s">
        <v>1376</v>
      </c>
    </row>
    <row r="108" spans="1:5" ht="14.25" x14ac:dyDescent="0.2">
      <c r="A108" s="31"/>
      <c r="B108" s="32" t="s">
        <v>103</v>
      </c>
    </row>
    <row r="109" spans="1:5" ht="15" x14ac:dyDescent="0.2">
      <c r="A109" s="33" t="s">
        <v>88</v>
      </c>
      <c r="B109" s="33" t="s">
        <v>89</v>
      </c>
      <c r="C109" s="33" t="s">
        <v>90</v>
      </c>
      <c r="D109" s="33" t="s">
        <v>549</v>
      </c>
      <c r="E109" s="33" t="s">
        <v>92</v>
      </c>
    </row>
    <row r="110" spans="1:5" x14ac:dyDescent="0.2">
      <c r="A110" s="30" t="s">
        <v>1274</v>
      </c>
      <c r="B110" s="4" t="s">
        <v>103</v>
      </c>
      <c r="C110" s="4" t="s">
        <v>94</v>
      </c>
      <c r="D110" s="4" t="s">
        <v>216</v>
      </c>
      <c r="E110" s="19" t="s">
        <v>1377</v>
      </c>
    </row>
    <row r="111" spans="1:5" x14ac:dyDescent="0.2">
      <c r="A111" s="30" t="s">
        <v>1352</v>
      </c>
      <c r="B111" s="4" t="s">
        <v>103</v>
      </c>
      <c r="C111" s="4" t="s">
        <v>253</v>
      </c>
      <c r="D111" s="4" t="s">
        <v>59</v>
      </c>
      <c r="E111" s="19" t="s">
        <v>1378</v>
      </c>
    </row>
    <row r="112" spans="1:5" x14ac:dyDescent="0.2">
      <c r="A112" s="30" t="s">
        <v>1313</v>
      </c>
      <c r="B112" s="4" t="s">
        <v>103</v>
      </c>
      <c r="C112" s="4" t="s">
        <v>248</v>
      </c>
      <c r="D112" s="4" t="s">
        <v>75</v>
      </c>
      <c r="E112" s="19" t="s">
        <v>1379</v>
      </c>
    </row>
    <row r="113" spans="1:5" x14ac:dyDescent="0.2">
      <c r="A113" s="30" t="s">
        <v>1318</v>
      </c>
      <c r="B113" s="4" t="s">
        <v>103</v>
      </c>
      <c r="C113" s="4" t="s">
        <v>248</v>
      </c>
      <c r="D113" s="4" t="s">
        <v>75</v>
      </c>
      <c r="E113" s="19" t="s">
        <v>1380</v>
      </c>
    </row>
    <row r="114" spans="1:5" x14ac:dyDescent="0.2">
      <c r="A114" s="30" t="s">
        <v>1302</v>
      </c>
      <c r="B114" s="4" t="s">
        <v>103</v>
      </c>
      <c r="C114" s="4" t="s">
        <v>100</v>
      </c>
      <c r="D114" s="4" t="s">
        <v>141</v>
      </c>
      <c r="E114" s="19" t="s">
        <v>1381</v>
      </c>
    </row>
    <row r="115" spans="1:5" x14ac:dyDescent="0.2">
      <c r="A115" s="30" t="s">
        <v>1326</v>
      </c>
      <c r="B115" s="4" t="s">
        <v>103</v>
      </c>
      <c r="C115" s="4" t="s">
        <v>152</v>
      </c>
      <c r="D115" s="4" t="s">
        <v>48</v>
      </c>
      <c r="E115" s="19" t="s">
        <v>1382</v>
      </c>
    </row>
    <row r="116" spans="1:5" x14ac:dyDescent="0.2">
      <c r="A116" s="30" t="s">
        <v>1287</v>
      </c>
      <c r="B116" s="4" t="s">
        <v>103</v>
      </c>
      <c r="C116" s="4" t="s">
        <v>242</v>
      </c>
      <c r="D116" s="4" t="s">
        <v>216</v>
      </c>
      <c r="E116" s="19" t="s">
        <v>1383</v>
      </c>
    </row>
    <row r="117" spans="1:5" x14ac:dyDescent="0.2">
      <c r="A117" s="30" t="s">
        <v>957</v>
      </c>
      <c r="B117" s="4" t="s">
        <v>103</v>
      </c>
      <c r="C117" s="4" t="s">
        <v>152</v>
      </c>
      <c r="D117" s="4" t="s">
        <v>75</v>
      </c>
      <c r="E117" s="19" t="s">
        <v>1384</v>
      </c>
    </row>
    <row r="118" spans="1:5" x14ac:dyDescent="0.2">
      <c r="A118" s="30" t="s">
        <v>1343</v>
      </c>
      <c r="B118" s="4" t="s">
        <v>103</v>
      </c>
      <c r="C118" s="4" t="s">
        <v>104</v>
      </c>
      <c r="D118" s="4" t="s">
        <v>75</v>
      </c>
      <c r="E118" s="19" t="s">
        <v>1385</v>
      </c>
    </row>
    <row r="119" spans="1:5" x14ac:dyDescent="0.2">
      <c r="A119" s="30" t="s">
        <v>1323</v>
      </c>
      <c r="B119" s="4" t="s">
        <v>103</v>
      </c>
      <c r="C119" s="4" t="s">
        <v>248</v>
      </c>
      <c r="D119" s="4" t="s">
        <v>127</v>
      </c>
      <c r="E119" s="19" t="s">
        <v>1386</v>
      </c>
    </row>
    <row r="121" spans="1:5" ht="14.25" x14ac:dyDescent="0.2">
      <c r="A121" s="31"/>
      <c r="B121" s="32" t="s">
        <v>87</v>
      </c>
    </row>
    <row r="122" spans="1:5" ht="15" x14ac:dyDescent="0.2">
      <c r="A122" s="33" t="s">
        <v>88</v>
      </c>
      <c r="B122" s="33" t="s">
        <v>89</v>
      </c>
      <c r="C122" s="33" t="s">
        <v>90</v>
      </c>
      <c r="D122" s="33" t="s">
        <v>549</v>
      </c>
      <c r="E122" s="33" t="s">
        <v>92</v>
      </c>
    </row>
    <row r="123" spans="1:5" x14ac:dyDescent="0.2">
      <c r="A123" s="30" t="s">
        <v>1306</v>
      </c>
      <c r="B123" s="4" t="s">
        <v>568</v>
      </c>
      <c r="C123" s="4" t="s">
        <v>100</v>
      </c>
      <c r="D123" s="4" t="s">
        <v>218</v>
      </c>
      <c r="E123" s="19" t="s">
        <v>1387</v>
      </c>
    </row>
    <row r="124" spans="1:5" x14ac:dyDescent="0.2">
      <c r="A124" s="30" t="s">
        <v>1357</v>
      </c>
      <c r="B124" s="4" t="s">
        <v>568</v>
      </c>
      <c r="C124" s="4" t="s">
        <v>253</v>
      </c>
      <c r="D124" s="4" t="s">
        <v>1316</v>
      </c>
      <c r="E124" s="19" t="s">
        <v>1388</v>
      </c>
    </row>
    <row r="125" spans="1:5" x14ac:dyDescent="0.2">
      <c r="A125" s="30" t="s">
        <v>1347</v>
      </c>
      <c r="B125" s="4" t="s">
        <v>568</v>
      </c>
      <c r="C125" s="4" t="s">
        <v>104</v>
      </c>
      <c r="D125" s="4" t="s">
        <v>74</v>
      </c>
      <c r="E125" s="19" t="s">
        <v>1389</v>
      </c>
    </row>
    <row r="126" spans="1:5" x14ac:dyDescent="0.2">
      <c r="A126" s="30" t="s">
        <v>852</v>
      </c>
      <c r="B126" s="4" t="s">
        <v>576</v>
      </c>
      <c r="C126" s="4" t="s">
        <v>100</v>
      </c>
      <c r="D126" s="4" t="s">
        <v>129</v>
      </c>
      <c r="E126" s="19" t="s">
        <v>1390</v>
      </c>
    </row>
    <row r="127" spans="1:5" x14ac:dyDescent="0.2">
      <c r="A127" s="30" t="s">
        <v>1229</v>
      </c>
      <c r="B127" s="4" t="s">
        <v>1083</v>
      </c>
      <c r="C127" s="4" t="s">
        <v>152</v>
      </c>
      <c r="D127" s="4" t="s">
        <v>191</v>
      </c>
      <c r="E127" s="19" t="s">
        <v>1391</v>
      </c>
    </row>
    <row r="128" spans="1:5" x14ac:dyDescent="0.2">
      <c r="A128" s="30" t="s">
        <v>957</v>
      </c>
      <c r="B128" s="4" t="s">
        <v>157</v>
      </c>
      <c r="C128" s="4" t="s">
        <v>152</v>
      </c>
      <c r="D128" s="4" t="s">
        <v>75</v>
      </c>
      <c r="E128" s="19" t="s">
        <v>1392</v>
      </c>
    </row>
    <row r="129" spans="1:5" x14ac:dyDescent="0.2">
      <c r="A129" s="30" t="s">
        <v>1336</v>
      </c>
      <c r="B129" s="4" t="s">
        <v>568</v>
      </c>
      <c r="C129" s="4" t="s">
        <v>152</v>
      </c>
      <c r="D129" s="4" t="s">
        <v>39</v>
      </c>
      <c r="E129" s="19" t="s">
        <v>1393</v>
      </c>
    </row>
    <row r="130" spans="1:5" x14ac:dyDescent="0.2">
      <c r="A130" s="30" t="s">
        <v>1293</v>
      </c>
      <c r="B130" s="4" t="s">
        <v>373</v>
      </c>
      <c r="C130" s="4" t="s">
        <v>242</v>
      </c>
      <c r="D130" s="4" t="s">
        <v>141</v>
      </c>
      <c r="E130" s="19" t="s">
        <v>1394</v>
      </c>
    </row>
    <row r="131" spans="1:5" x14ac:dyDescent="0.2">
      <c r="A131" s="30" t="s">
        <v>1224</v>
      </c>
      <c r="B131" s="4" t="s">
        <v>568</v>
      </c>
      <c r="C131" s="4" t="s">
        <v>152</v>
      </c>
      <c r="D131" s="4" t="s">
        <v>127</v>
      </c>
      <c r="E131" s="19" t="s">
        <v>1395</v>
      </c>
    </row>
    <row r="132" spans="1:5" x14ac:dyDescent="0.2">
      <c r="A132" s="30" t="s">
        <v>1326</v>
      </c>
      <c r="B132" s="4" t="s">
        <v>109</v>
      </c>
      <c r="C132" s="4" t="s">
        <v>152</v>
      </c>
      <c r="D132" s="4" t="s">
        <v>48</v>
      </c>
      <c r="E132" s="19" t="s">
        <v>1396</v>
      </c>
    </row>
    <row r="133" spans="1:5" x14ac:dyDescent="0.2">
      <c r="A133" s="30" t="s">
        <v>1332</v>
      </c>
      <c r="B133" s="4" t="s">
        <v>373</v>
      </c>
      <c r="C133" s="4" t="s">
        <v>152</v>
      </c>
      <c r="D133" s="4" t="s">
        <v>141</v>
      </c>
      <c r="E133" s="19" t="s">
        <v>1397</v>
      </c>
    </row>
  </sheetData>
  <mergeCells count="24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66:J66"/>
    <mergeCell ref="A8:J8"/>
    <mergeCell ref="A13:J13"/>
    <mergeCell ref="A17:J17"/>
    <mergeCell ref="A20:J20"/>
    <mergeCell ref="A24:J24"/>
    <mergeCell ref="A29:J29"/>
    <mergeCell ref="A35:J35"/>
    <mergeCell ref="A41:J41"/>
    <mergeCell ref="A47:J47"/>
    <mergeCell ref="A58:J58"/>
    <mergeCell ref="A62:J6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" style="4" bestFit="1" customWidth="1"/>
    <col min="7" max="7" width="13.85546875" style="3" customWidth="1"/>
    <col min="8" max="8" width="12" style="3" customWidth="1"/>
    <col min="9" max="9" width="9.28515625" style="19" customWidth="1"/>
    <col min="10" max="10" width="9.5703125" style="2" bestFit="1" customWidth="1"/>
    <col min="11" max="11" width="30.7109375" style="4" bestFit="1" customWidth="1"/>
    <col min="12" max="16384" width="9.140625" style="3"/>
  </cols>
  <sheetData>
    <row r="1" spans="1:11" s="2" customFormat="1" ht="29.1" customHeight="1" x14ac:dyDescent="0.2">
      <c r="A1" s="41" t="s">
        <v>1743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1403</v>
      </c>
      <c r="E3" s="35" t="s">
        <v>4</v>
      </c>
      <c r="F3" s="35" t="s">
        <v>7</v>
      </c>
      <c r="G3" s="35" t="s">
        <v>1734</v>
      </c>
      <c r="H3" s="35"/>
      <c r="I3" s="35" t="s">
        <v>1492</v>
      </c>
      <c r="J3" s="35" t="s">
        <v>3</v>
      </c>
      <c r="K3" s="37" t="s">
        <v>2</v>
      </c>
    </row>
    <row r="4" spans="1:11" s="1" customFormat="1" ht="21" customHeight="1" thickBot="1" x14ac:dyDescent="0.25">
      <c r="A4" s="48"/>
      <c r="B4" s="36"/>
      <c r="C4" s="36"/>
      <c r="D4" s="36"/>
      <c r="E4" s="36"/>
      <c r="F4" s="36"/>
      <c r="G4" s="5" t="s">
        <v>8</v>
      </c>
      <c r="H4" s="5" t="s">
        <v>9</v>
      </c>
      <c r="I4" s="36"/>
      <c r="J4" s="36"/>
      <c r="K4" s="38"/>
    </row>
    <row r="5" spans="1:11" ht="15" x14ac:dyDescent="0.2">
      <c r="A5" s="39" t="s">
        <v>654</v>
      </c>
      <c r="B5" s="40"/>
      <c r="C5" s="40"/>
      <c r="D5" s="40"/>
      <c r="E5" s="40"/>
      <c r="F5" s="40"/>
      <c r="G5" s="40"/>
      <c r="H5" s="40"/>
    </row>
    <row r="6" spans="1:11" x14ac:dyDescent="0.2">
      <c r="A6" s="6" t="s">
        <v>1494</v>
      </c>
      <c r="B6" s="6" t="s">
        <v>1495</v>
      </c>
      <c r="C6" s="6" t="s">
        <v>1496</v>
      </c>
      <c r="D6" s="6" t="str">
        <f>"0,9726"</f>
        <v>0,9726</v>
      </c>
      <c r="E6" s="6" t="s">
        <v>20</v>
      </c>
      <c r="F6" s="6" t="s">
        <v>1407</v>
      </c>
      <c r="G6" s="7" t="s">
        <v>298</v>
      </c>
      <c r="H6" s="7" t="s">
        <v>292</v>
      </c>
      <c r="I6" s="20" t="str">
        <f>"2625,0"</f>
        <v>2625,0</v>
      </c>
      <c r="J6" s="21" t="str">
        <f>"2553,2062"</f>
        <v>2553,2062</v>
      </c>
      <c r="K6" s="6" t="s">
        <v>1416</v>
      </c>
    </row>
    <row r="8" spans="1:11" ht="15" x14ac:dyDescent="0.2">
      <c r="A8" s="34" t="s">
        <v>280</v>
      </c>
      <c r="B8" s="34"/>
      <c r="C8" s="34"/>
      <c r="D8" s="34"/>
      <c r="E8" s="34"/>
      <c r="F8" s="34"/>
      <c r="G8" s="34"/>
      <c r="H8" s="34"/>
    </row>
    <row r="9" spans="1:11" x14ac:dyDescent="0.2">
      <c r="A9" s="9" t="s">
        <v>1498</v>
      </c>
      <c r="B9" s="9" t="s">
        <v>1499</v>
      </c>
      <c r="C9" s="9" t="s">
        <v>1500</v>
      </c>
      <c r="D9" s="9" t="str">
        <f>"0,8425"</f>
        <v>0,8425</v>
      </c>
      <c r="E9" s="9" t="s">
        <v>20</v>
      </c>
      <c r="F9" s="9" t="s">
        <v>595</v>
      </c>
      <c r="G9" s="10" t="s">
        <v>175</v>
      </c>
      <c r="H9" s="10" t="s">
        <v>1501</v>
      </c>
      <c r="I9" s="22" t="str">
        <f>"2160,0"</f>
        <v>2160,0</v>
      </c>
      <c r="J9" s="23" t="str">
        <f>"1819,6920"</f>
        <v>1819,6920</v>
      </c>
      <c r="K9" s="9" t="s">
        <v>1502</v>
      </c>
    </row>
    <row r="10" spans="1:11" x14ac:dyDescent="0.2">
      <c r="A10" s="15" t="s">
        <v>1498</v>
      </c>
      <c r="B10" s="15" t="s">
        <v>1503</v>
      </c>
      <c r="C10" s="15" t="s">
        <v>1500</v>
      </c>
      <c r="D10" s="15" t="str">
        <f>"0,8425"</f>
        <v>0,8425</v>
      </c>
      <c r="E10" s="15" t="s">
        <v>20</v>
      </c>
      <c r="F10" s="15" t="s">
        <v>595</v>
      </c>
      <c r="G10" s="16" t="s">
        <v>175</v>
      </c>
      <c r="H10" s="16" t="s">
        <v>1501</v>
      </c>
      <c r="I10" s="26" t="str">
        <f>"2160,0"</f>
        <v>2160,0</v>
      </c>
      <c r="J10" s="27" t="str">
        <f>"2056,2520"</f>
        <v>2056,2520</v>
      </c>
      <c r="K10" s="15" t="s">
        <v>1502</v>
      </c>
    </row>
    <row r="12" spans="1:11" ht="15" x14ac:dyDescent="0.2">
      <c r="A12" s="34" t="s">
        <v>15</v>
      </c>
      <c r="B12" s="34"/>
      <c r="C12" s="34"/>
      <c r="D12" s="34"/>
      <c r="E12" s="34"/>
      <c r="F12" s="34"/>
      <c r="G12" s="34"/>
      <c r="H12" s="34"/>
    </row>
    <row r="13" spans="1:11" x14ac:dyDescent="0.2">
      <c r="A13" s="9" t="s">
        <v>1505</v>
      </c>
      <c r="B13" s="9" t="s">
        <v>1506</v>
      </c>
      <c r="C13" s="9" t="s">
        <v>1507</v>
      </c>
      <c r="D13" s="9" t="str">
        <f>"0,7786"</f>
        <v>0,7786</v>
      </c>
      <c r="E13" s="9" t="s">
        <v>20</v>
      </c>
      <c r="F13" s="9" t="s">
        <v>446</v>
      </c>
      <c r="G13" s="10" t="s">
        <v>116</v>
      </c>
      <c r="H13" s="10" t="s">
        <v>1508</v>
      </c>
      <c r="I13" s="22" t="str">
        <f>"1365,0"</f>
        <v>1365,0</v>
      </c>
      <c r="J13" s="23" t="str">
        <f>"1062,7890"</f>
        <v>1062,7890</v>
      </c>
      <c r="K13" s="9" t="s">
        <v>1509</v>
      </c>
    </row>
    <row r="14" spans="1:11" x14ac:dyDescent="0.2">
      <c r="A14" s="12" t="s">
        <v>1510</v>
      </c>
      <c r="B14" s="12" t="s">
        <v>387</v>
      </c>
      <c r="C14" s="12" t="s">
        <v>388</v>
      </c>
      <c r="D14" s="12" t="str">
        <f>"0,8172"</f>
        <v>0,8172</v>
      </c>
      <c r="E14" s="12" t="s">
        <v>20</v>
      </c>
      <c r="F14" s="12" t="s">
        <v>389</v>
      </c>
      <c r="G14" s="14" t="s">
        <v>183</v>
      </c>
      <c r="H14" s="14" t="s">
        <v>1508</v>
      </c>
      <c r="I14" s="24" t="str">
        <f>"1312,5"</f>
        <v>1312,5</v>
      </c>
      <c r="J14" s="25" t="str">
        <f>"1072,5750"</f>
        <v>1072,5750</v>
      </c>
      <c r="K14" s="12" t="s">
        <v>390</v>
      </c>
    </row>
    <row r="15" spans="1:11" x14ac:dyDescent="0.2">
      <c r="A15" s="12" t="s">
        <v>1512</v>
      </c>
      <c r="B15" s="12" t="s">
        <v>1513</v>
      </c>
      <c r="C15" s="12" t="s">
        <v>1514</v>
      </c>
      <c r="D15" s="12" t="str">
        <f>"0,7764"</f>
        <v>0,7764</v>
      </c>
      <c r="E15" s="12" t="s">
        <v>20</v>
      </c>
      <c r="F15" s="12" t="s">
        <v>400</v>
      </c>
      <c r="G15" s="14" t="s">
        <v>116</v>
      </c>
      <c r="H15" s="14" t="s">
        <v>1515</v>
      </c>
      <c r="I15" s="24" t="str">
        <f>"6760,0"</f>
        <v>6760,0</v>
      </c>
      <c r="J15" s="25" t="str">
        <f>"5248,8019"</f>
        <v>5248,8019</v>
      </c>
      <c r="K15" s="12" t="s">
        <v>1516</v>
      </c>
    </row>
    <row r="16" spans="1:11" x14ac:dyDescent="0.2">
      <c r="A16" s="15" t="s">
        <v>1517</v>
      </c>
      <c r="B16" s="15" t="s">
        <v>761</v>
      </c>
      <c r="C16" s="15" t="s">
        <v>388</v>
      </c>
      <c r="D16" s="15" t="str">
        <f>"0,8172"</f>
        <v>0,8172</v>
      </c>
      <c r="E16" s="15" t="s">
        <v>20</v>
      </c>
      <c r="F16" s="15" t="s">
        <v>389</v>
      </c>
      <c r="G16" s="16" t="s">
        <v>183</v>
      </c>
      <c r="H16" s="16" t="s">
        <v>1458</v>
      </c>
      <c r="I16" s="26" t="str">
        <f>"2062,5"</f>
        <v>2062,5</v>
      </c>
      <c r="J16" s="27" t="str">
        <f>"1685,4750"</f>
        <v>1685,4750</v>
      </c>
      <c r="K16" s="15" t="s">
        <v>390</v>
      </c>
    </row>
    <row r="18" spans="1:11" ht="15" x14ac:dyDescent="0.2">
      <c r="A18" s="34" t="s">
        <v>29</v>
      </c>
      <c r="B18" s="34"/>
      <c r="C18" s="34"/>
      <c r="D18" s="34"/>
      <c r="E18" s="34"/>
      <c r="F18" s="34"/>
      <c r="G18" s="34"/>
      <c r="H18" s="34"/>
    </row>
    <row r="19" spans="1:11" x14ac:dyDescent="0.2">
      <c r="A19" s="9" t="s">
        <v>1519</v>
      </c>
      <c r="B19" s="9" t="s">
        <v>1520</v>
      </c>
      <c r="C19" s="9" t="s">
        <v>1521</v>
      </c>
      <c r="D19" s="9" t="str">
        <f>"0,7086"</f>
        <v>0,7086</v>
      </c>
      <c r="E19" s="9" t="s">
        <v>20</v>
      </c>
      <c r="F19" s="9" t="s">
        <v>33</v>
      </c>
      <c r="G19" s="10" t="s">
        <v>708</v>
      </c>
      <c r="H19" s="10" t="s">
        <v>292</v>
      </c>
      <c r="I19" s="22" t="str">
        <f>"3625,0"</f>
        <v>3625,0</v>
      </c>
      <c r="J19" s="23" t="str">
        <f>"2568,8562"</f>
        <v>2568,8562</v>
      </c>
      <c r="K19" s="9" t="s">
        <v>1522</v>
      </c>
    </row>
    <row r="20" spans="1:11" x14ac:dyDescent="0.2">
      <c r="A20" s="12" t="s">
        <v>1524</v>
      </c>
      <c r="B20" s="12" t="s">
        <v>1525</v>
      </c>
      <c r="C20" s="12" t="s">
        <v>1526</v>
      </c>
      <c r="D20" s="12" t="str">
        <f>"0,7383"</f>
        <v>0,7383</v>
      </c>
      <c r="E20" s="12" t="s">
        <v>20</v>
      </c>
      <c r="F20" s="12" t="s">
        <v>33</v>
      </c>
      <c r="G20" s="14" t="s">
        <v>176</v>
      </c>
      <c r="H20" s="14" t="s">
        <v>1527</v>
      </c>
      <c r="I20" s="24" t="str">
        <f>"3360,0"</f>
        <v>3360,0</v>
      </c>
      <c r="J20" s="25" t="str">
        <f>"2480,8559"</f>
        <v>2480,8559</v>
      </c>
      <c r="K20" s="12" t="s">
        <v>1528</v>
      </c>
    </row>
    <row r="21" spans="1:11" x14ac:dyDescent="0.2">
      <c r="A21" s="12" t="s">
        <v>1530</v>
      </c>
      <c r="B21" s="12" t="s">
        <v>1531</v>
      </c>
      <c r="C21" s="12" t="s">
        <v>1532</v>
      </c>
      <c r="D21" s="12" t="str">
        <f>"0,7005"</f>
        <v>0,7005</v>
      </c>
      <c r="E21" s="12" t="s">
        <v>20</v>
      </c>
      <c r="F21" s="12" t="s">
        <v>641</v>
      </c>
      <c r="G21" s="14" t="s">
        <v>117</v>
      </c>
      <c r="H21" s="14" t="s">
        <v>1422</v>
      </c>
      <c r="I21" s="24" t="str">
        <f>"2400,0"</f>
        <v>2400,0</v>
      </c>
      <c r="J21" s="25" t="str">
        <f>"1681,0800"</f>
        <v>1681,0800</v>
      </c>
      <c r="K21" s="12" t="s">
        <v>1533</v>
      </c>
    </row>
    <row r="22" spans="1:11" x14ac:dyDescent="0.2">
      <c r="A22" s="12" t="s">
        <v>1535</v>
      </c>
      <c r="B22" s="12" t="s">
        <v>1536</v>
      </c>
      <c r="C22" s="12" t="s">
        <v>1537</v>
      </c>
      <c r="D22" s="12" t="str">
        <f>"0,7181"</f>
        <v>0,7181</v>
      </c>
      <c r="E22" s="12" t="s">
        <v>20</v>
      </c>
      <c r="F22" s="12" t="s">
        <v>33</v>
      </c>
      <c r="G22" s="14" t="s">
        <v>708</v>
      </c>
      <c r="H22" s="14" t="s">
        <v>1538</v>
      </c>
      <c r="I22" s="24" t="str">
        <f>"1450,0"</f>
        <v>1450,0</v>
      </c>
      <c r="J22" s="25" t="str">
        <f>"1041,1725"</f>
        <v>1041,1725</v>
      </c>
      <c r="K22" s="12" t="s">
        <v>1539</v>
      </c>
    </row>
    <row r="23" spans="1:11" x14ac:dyDescent="0.2">
      <c r="A23" s="12" t="s">
        <v>1541</v>
      </c>
      <c r="B23" s="12" t="s">
        <v>1542</v>
      </c>
      <c r="C23" s="12" t="s">
        <v>1543</v>
      </c>
      <c r="D23" s="12" t="str">
        <f>"0,7288"</f>
        <v>0,7288</v>
      </c>
      <c r="E23" s="12" t="s">
        <v>20</v>
      </c>
      <c r="F23" s="12" t="s">
        <v>33</v>
      </c>
      <c r="G23" s="14" t="s">
        <v>176</v>
      </c>
      <c r="H23" s="14" t="s">
        <v>1544</v>
      </c>
      <c r="I23" s="24" t="str">
        <f>"1820,0"</f>
        <v>1820,0</v>
      </c>
      <c r="J23" s="25" t="str">
        <f>"1352,9443"</f>
        <v>1352,9443</v>
      </c>
      <c r="K23" s="12" t="s">
        <v>1545</v>
      </c>
    </row>
    <row r="24" spans="1:11" x14ac:dyDescent="0.2">
      <c r="A24" s="15" t="s">
        <v>1546</v>
      </c>
      <c r="B24" s="15" t="s">
        <v>1547</v>
      </c>
      <c r="C24" s="15" t="s">
        <v>1526</v>
      </c>
      <c r="D24" s="15" t="str">
        <f>"0,7383"</f>
        <v>0,7383</v>
      </c>
      <c r="E24" s="15" t="s">
        <v>20</v>
      </c>
      <c r="F24" s="15" t="s">
        <v>33</v>
      </c>
      <c r="G24" s="16" t="s">
        <v>176</v>
      </c>
      <c r="H24" s="16" t="s">
        <v>1527</v>
      </c>
      <c r="I24" s="26" t="str">
        <f>"3360,0"</f>
        <v>3360,0</v>
      </c>
      <c r="J24" s="27" t="str">
        <f>"2684,2861"</f>
        <v>2684,2861</v>
      </c>
      <c r="K24" s="15" t="s">
        <v>1528</v>
      </c>
    </row>
    <row r="26" spans="1:11" ht="15" x14ac:dyDescent="0.2">
      <c r="A26" s="34" t="s">
        <v>41</v>
      </c>
      <c r="B26" s="34"/>
      <c r="C26" s="34"/>
      <c r="D26" s="34"/>
      <c r="E26" s="34"/>
      <c r="F26" s="34"/>
      <c r="G26" s="34"/>
      <c r="H26" s="34"/>
    </row>
    <row r="27" spans="1:11" x14ac:dyDescent="0.2">
      <c r="A27" s="9" t="s">
        <v>1549</v>
      </c>
      <c r="B27" s="9" t="s">
        <v>1550</v>
      </c>
      <c r="C27" s="9" t="s">
        <v>1551</v>
      </c>
      <c r="D27" s="9" t="str">
        <f>"0,6724"</f>
        <v>0,6724</v>
      </c>
      <c r="E27" s="9" t="s">
        <v>20</v>
      </c>
      <c r="F27" s="9" t="s">
        <v>1407</v>
      </c>
      <c r="G27" s="10" t="s">
        <v>266</v>
      </c>
      <c r="H27" s="10" t="s">
        <v>1552</v>
      </c>
      <c r="I27" s="22" t="str">
        <f>"2867,5"</f>
        <v>2867,5</v>
      </c>
      <c r="J27" s="23" t="str">
        <f>"1928,1070"</f>
        <v>1928,1070</v>
      </c>
      <c r="K27" s="9" t="s">
        <v>1416</v>
      </c>
    </row>
    <row r="28" spans="1:11" x14ac:dyDescent="0.2">
      <c r="A28" s="12" t="s">
        <v>1554</v>
      </c>
      <c r="B28" s="12" t="s">
        <v>1555</v>
      </c>
      <c r="C28" s="12" t="s">
        <v>423</v>
      </c>
      <c r="D28" s="12" t="str">
        <f>"0,6540"</f>
        <v>0,6540</v>
      </c>
      <c r="E28" s="12" t="s">
        <v>20</v>
      </c>
      <c r="F28" s="12" t="s">
        <v>33</v>
      </c>
      <c r="G28" s="14" t="s">
        <v>591</v>
      </c>
      <c r="H28" s="14" t="s">
        <v>1556</v>
      </c>
      <c r="I28" s="24" t="str">
        <f>"1320,0"</f>
        <v>1320,0</v>
      </c>
      <c r="J28" s="25" t="str">
        <f>"863,2800"</f>
        <v>863,2800</v>
      </c>
      <c r="K28" s="12" t="s">
        <v>1557</v>
      </c>
    </row>
    <row r="29" spans="1:11" x14ac:dyDescent="0.2">
      <c r="A29" s="12" t="s">
        <v>1559</v>
      </c>
      <c r="B29" s="12" t="s">
        <v>1560</v>
      </c>
      <c r="C29" s="12" t="s">
        <v>851</v>
      </c>
      <c r="D29" s="12" t="str">
        <f>"0,6687"</f>
        <v>0,6687</v>
      </c>
      <c r="E29" s="12" t="s">
        <v>20</v>
      </c>
      <c r="F29" s="12" t="s">
        <v>33</v>
      </c>
      <c r="G29" s="14" t="s">
        <v>25</v>
      </c>
      <c r="H29" s="14" t="s">
        <v>1561</v>
      </c>
      <c r="I29" s="24" t="str">
        <f>"2240,0"</f>
        <v>2240,0</v>
      </c>
      <c r="J29" s="25" t="str">
        <f>"1562,4140"</f>
        <v>1562,4140</v>
      </c>
      <c r="K29" s="12" t="s">
        <v>1562</v>
      </c>
    </row>
    <row r="30" spans="1:11" x14ac:dyDescent="0.2">
      <c r="A30" s="12" t="s">
        <v>1564</v>
      </c>
      <c r="B30" s="12" t="s">
        <v>1565</v>
      </c>
      <c r="C30" s="12" t="s">
        <v>1120</v>
      </c>
      <c r="D30" s="12" t="str">
        <f>"0,6508"</f>
        <v>0,6508</v>
      </c>
      <c r="E30" s="12" t="s">
        <v>20</v>
      </c>
      <c r="F30" s="12" t="s">
        <v>214</v>
      </c>
      <c r="G30" s="14" t="s">
        <v>591</v>
      </c>
      <c r="H30" s="14" t="s">
        <v>1415</v>
      </c>
      <c r="I30" s="24" t="str">
        <f>"2227,5"</f>
        <v>2227,5</v>
      </c>
      <c r="J30" s="25" t="str">
        <f>"1590,2737"</f>
        <v>1590,2737</v>
      </c>
      <c r="K30" s="12" t="s">
        <v>28</v>
      </c>
    </row>
    <row r="31" spans="1:11" x14ac:dyDescent="0.2">
      <c r="A31" s="15" t="s">
        <v>837</v>
      </c>
      <c r="B31" s="15" t="s">
        <v>838</v>
      </c>
      <c r="C31" s="15" t="s">
        <v>839</v>
      </c>
      <c r="D31" s="15" t="str">
        <f>"0,6799"</f>
        <v>0,6799</v>
      </c>
      <c r="E31" s="15" t="s">
        <v>20</v>
      </c>
      <c r="F31" s="15" t="s">
        <v>840</v>
      </c>
      <c r="G31" s="16" t="s">
        <v>266</v>
      </c>
      <c r="H31" s="16" t="s">
        <v>1566</v>
      </c>
      <c r="I31" s="26" t="str">
        <f>"2247,5"</f>
        <v>2247,5</v>
      </c>
      <c r="J31" s="27" t="str">
        <f>"2009,5667"</f>
        <v>2009,5667</v>
      </c>
      <c r="K31" s="15" t="s">
        <v>271</v>
      </c>
    </row>
    <row r="33" spans="1:11" ht="15" x14ac:dyDescent="0.2">
      <c r="A33" s="34" t="s">
        <v>201</v>
      </c>
      <c r="B33" s="34"/>
      <c r="C33" s="34"/>
      <c r="D33" s="34"/>
      <c r="E33" s="34"/>
      <c r="F33" s="34"/>
      <c r="G33" s="34"/>
      <c r="H33" s="34"/>
    </row>
    <row r="34" spans="1:11" x14ac:dyDescent="0.2">
      <c r="A34" s="9" t="s">
        <v>1568</v>
      </c>
      <c r="B34" s="9" t="s">
        <v>1569</v>
      </c>
      <c r="C34" s="9" t="s">
        <v>1570</v>
      </c>
      <c r="D34" s="9" t="str">
        <f>"0,6368"</f>
        <v>0,6368</v>
      </c>
      <c r="E34" s="9" t="s">
        <v>20</v>
      </c>
      <c r="F34" s="9" t="s">
        <v>33</v>
      </c>
      <c r="G34" s="10" t="s">
        <v>291</v>
      </c>
      <c r="H34" s="10" t="s">
        <v>1571</v>
      </c>
      <c r="I34" s="22" t="str">
        <f>"4335,0"</f>
        <v>4335,0</v>
      </c>
      <c r="J34" s="23" t="str">
        <f>"2760,5280"</f>
        <v>2760,5280</v>
      </c>
      <c r="K34" s="9" t="s">
        <v>1572</v>
      </c>
    </row>
    <row r="35" spans="1:11" x14ac:dyDescent="0.2">
      <c r="A35" s="12" t="s">
        <v>1574</v>
      </c>
      <c r="B35" s="12" t="s">
        <v>1575</v>
      </c>
      <c r="C35" s="12" t="s">
        <v>1576</v>
      </c>
      <c r="D35" s="12" t="str">
        <f>"0,6441"</f>
        <v>0,6441</v>
      </c>
      <c r="E35" s="12" t="s">
        <v>20</v>
      </c>
      <c r="F35" s="12" t="s">
        <v>33</v>
      </c>
      <c r="G35" s="14" t="s">
        <v>291</v>
      </c>
      <c r="H35" s="14" t="s">
        <v>1577</v>
      </c>
      <c r="I35" s="24" t="str">
        <f>"3485,0"</f>
        <v>3485,0</v>
      </c>
      <c r="J35" s="25" t="str">
        <f>"2244,6885"</f>
        <v>2244,6885</v>
      </c>
      <c r="K35" s="12" t="s">
        <v>1578</v>
      </c>
    </row>
    <row r="36" spans="1:11" x14ac:dyDescent="0.2">
      <c r="A36" s="12" t="s">
        <v>1579</v>
      </c>
      <c r="B36" s="12" t="s">
        <v>863</v>
      </c>
      <c r="C36" s="12" t="s">
        <v>864</v>
      </c>
      <c r="D36" s="12" t="str">
        <f>"0,6201"</f>
        <v>0,6201</v>
      </c>
      <c r="E36" s="12" t="s">
        <v>20</v>
      </c>
      <c r="F36" s="12" t="s">
        <v>33</v>
      </c>
      <c r="G36" s="14" t="s">
        <v>26</v>
      </c>
      <c r="H36" s="14" t="s">
        <v>1580</v>
      </c>
      <c r="I36" s="24" t="str">
        <f>"2790,0"</f>
        <v>2790,0</v>
      </c>
      <c r="J36" s="25" t="str">
        <f>"1730,0791"</f>
        <v>1730,0791</v>
      </c>
      <c r="K36" s="12" t="s">
        <v>867</v>
      </c>
    </row>
    <row r="37" spans="1:11" x14ac:dyDescent="0.2">
      <c r="A37" s="12" t="s">
        <v>1581</v>
      </c>
      <c r="B37" s="12" t="s">
        <v>874</v>
      </c>
      <c r="C37" s="12" t="s">
        <v>875</v>
      </c>
      <c r="D37" s="12" t="str">
        <f>"0,6238"</f>
        <v>0,6238</v>
      </c>
      <c r="E37" s="12" t="s">
        <v>20</v>
      </c>
      <c r="F37" s="12" t="s">
        <v>33</v>
      </c>
      <c r="G37" s="14" t="s">
        <v>269</v>
      </c>
      <c r="H37" s="14" t="s">
        <v>737</v>
      </c>
      <c r="I37" s="24" t="str">
        <f>"2625,0"</f>
        <v>2625,0</v>
      </c>
      <c r="J37" s="25" t="str">
        <f>"1637,6062"</f>
        <v>1637,6062</v>
      </c>
      <c r="K37" s="12" t="s">
        <v>271</v>
      </c>
    </row>
    <row r="38" spans="1:11" x14ac:dyDescent="0.2">
      <c r="A38" s="12" t="s">
        <v>1583</v>
      </c>
      <c r="B38" s="12" t="s">
        <v>1584</v>
      </c>
      <c r="C38" s="12" t="s">
        <v>1585</v>
      </c>
      <c r="D38" s="12" t="str">
        <f>"0,6387"</f>
        <v>0,6387</v>
      </c>
      <c r="E38" s="12" t="s">
        <v>20</v>
      </c>
      <c r="F38" s="12" t="s">
        <v>1586</v>
      </c>
      <c r="G38" s="14" t="s">
        <v>291</v>
      </c>
      <c r="H38" s="14" t="s">
        <v>1587</v>
      </c>
      <c r="I38" s="24" t="str">
        <f>"2040,0"</f>
        <v>2040,0</v>
      </c>
      <c r="J38" s="25" t="str">
        <f>"1302,9480"</f>
        <v>1302,9480</v>
      </c>
      <c r="K38" s="12" t="s">
        <v>28</v>
      </c>
    </row>
    <row r="39" spans="1:11" x14ac:dyDescent="0.2">
      <c r="A39" s="12" t="s">
        <v>1588</v>
      </c>
      <c r="B39" s="12" t="s">
        <v>883</v>
      </c>
      <c r="C39" s="12" t="s">
        <v>432</v>
      </c>
      <c r="D39" s="12" t="str">
        <f>"0,6259"</f>
        <v>0,6259</v>
      </c>
      <c r="E39" s="12" t="s">
        <v>20</v>
      </c>
      <c r="F39" s="12" t="s">
        <v>389</v>
      </c>
      <c r="G39" s="14" t="s">
        <v>269</v>
      </c>
      <c r="H39" s="14" t="s">
        <v>1589</v>
      </c>
      <c r="I39" s="24" t="str">
        <f>"2012,5"</f>
        <v>2012,5</v>
      </c>
      <c r="J39" s="25" t="str">
        <f>"1272,3216"</f>
        <v>1272,3216</v>
      </c>
      <c r="K39" s="12" t="s">
        <v>390</v>
      </c>
    </row>
    <row r="40" spans="1:11" x14ac:dyDescent="0.2">
      <c r="A40" s="12" t="s">
        <v>1568</v>
      </c>
      <c r="B40" s="12" t="s">
        <v>1590</v>
      </c>
      <c r="C40" s="12" t="s">
        <v>1570</v>
      </c>
      <c r="D40" s="12" t="str">
        <f>"0,6368"</f>
        <v>0,6368</v>
      </c>
      <c r="E40" s="12" t="s">
        <v>20</v>
      </c>
      <c r="F40" s="12" t="s">
        <v>33</v>
      </c>
      <c r="G40" s="14" t="s">
        <v>291</v>
      </c>
      <c r="H40" s="14" t="s">
        <v>1571</v>
      </c>
      <c r="I40" s="24" t="str">
        <f>"4335,0"</f>
        <v>4335,0</v>
      </c>
      <c r="J40" s="25" t="str">
        <f>"2912,3570"</f>
        <v>2912,3570</v>
      </c>
      <c r="K40" s="12" t="s">
        <v>1572</v>
      </c>
    </row>
    <row r="41" spans="1:11" x14ac:dyDescent="0.2">
      <c r="A41" s="12" t="s">
        <v>1591</v>
      </c>
      <c r="B41" s="12" t="s">
        <v>886</v>
      </c>
      <c r="C41" s="12" t="s">
        <v>379</v>
      </c>
      <c r="D41" s="12" t="str">
        <f>"0,6217"</f>
        <v>0,6217</v>
      </c>
      <c r="E41" s="12" t="s">
        <v>20</v>
      </c>
      <c r="F41" s="12" t="s">
        <v>389</v>
      </c>
      <c r="G41" s="14" t="s">
        <v>269</v>
      </c>
      <c r="H41" s="14" t="s">
        <v>1544</v>
      </c>
      <c r="I41" s="24" t="str">
        <f>"2275,0"</f>
        <v>2275,0</v>
      </c>
      <c r="J41" s="25" t="str">
        <f>"1492,2777"</f>
        <v>1492,2777</v>
      </c>
      <c r="K41" s="12" t="s">
        <v>390</v>
      </c>
    </row>
    <row r="42" spans="1:11" x14ac:dyDescent="0.2">
      <c r="A42" s="15" t="s">
        <v>1592</v>
      </c>
      <c r="B42" s="15" t="s">
        <v>890</v>
      </c>
      <c r="C42" s="15" t="s">
        <v>891</v>
      </c>
      <c r="D42" s="15" t="str">
        <f>"0,6173"</f>
        <v>0,6173</v>
      </c>
      <c r="E42" s="15" t="s">
        <v>20</v>
      </c>
      <c r="F42" s="15" t="s">
        <v>33</v>
      </c>
      <c r="G42" s="16" t="s">
        <v>26</v>
      </c>
      <c r="H42" s="16" t="s">
        <v>1593</v>
      </c>
      <c r="I42" s="26" t="str">
        <f>"1530,0"</f>
        <v>1530,0</v>
      </c>
      <c r="J42" s="27" t="str">
        <f>"996,4148"</f>
        <v>996,4148</v>
      </c>
      <c r="K42" s="15" t="s">
        <v>892</v>
      </c>
    </row>
    <row r="44" spans="1:11" ht="15" x14ac:dyDescent="0.2">
      <c r="A44" s="34" t="s">
        <v>131</v>
      </c>
      <c r="B44" s="34"/>
      <c r="C44" s="34"/>
      <c r="D44" s="34"/>
      <c r="E44" s="34"/>
      <c r="F44" s="34"/>
      <c r="G44" s="34"/>
      <c r="H44" s="34"/>
    </row>
    <row r="45" spans="1:11" x14ac:dyDescent="0.2">
      <c r="A45" s="9" t="s">
        <v>954</v>
      </c>
      <c r="B45" s="9" t="s">
        <v>955</v>
      </c>
      <c r="C45" s="9" t="s">
        <v>956</v>
      </c>
      <c r="D45" s="9" t="str">
        <f>"0,5821"</f>
        <v>0,5821</v>
      </c>
      <c r="E45" s="9" t="s">
        <v>20</v>
      </c>
      <c r="F45" s="9" t="s">
        <v>33</v>
      </c>
      <c r="G45" s="10" t="s">
        <v>27</v>
      </c>
      <c r="H45" s="10" t="s">
        <v>1508</v>
      </c>
      <c r="I45" s="22" t="str">
        <f>"2100,0"</f>
        <v>2100,0</v>
      </c>
      <c r="J45" s="23" t="str">
        <f>"1497,3237"</f>
        <v>1497,3237</v>
      </c>
      <c r="K45" s="9" t="s">
        <v>271</v>
      </c>
    </row>
    <row r="46" spans="1:11" x14ac:dyDescent="0.2">
      <c r="A46" s="15" t="s">
        <v>963</v>
      </c>
      <c r="B46" s="15" t="s">
        <v>964</v>
      </c>
      <c r="C46" s="15" t="s">
        <v>163</v>
      </c>
      <c r="D46" s="15" t="str">
        <f>"0,5813"</f>
        <v>0,5813</v>
      </c>
      <c r="E46" s="15" t="s">
        <v>20</v>
      </c>
      <c r="F46" s="15" t="s">
        <v>965</v>
      </c>
      <c r="G46" s="16" t="s">
        <v>27</v>
      </c>
      <c r="H46" s="16" t="s">
        <v>1593</v>
      </c>
      <c r="I46" s="26" t="str">
        <f>"1700,0"</f>
        <v>1700,0</v>
      </c>
      <c r="J46" s="27" t="str">
        <f>"1493,1854"</f>
        <v>1493,1854</v>
      </c>
      <c r="K46" s="15" t="s">
        <v>967</v>
      </c>
    </row>
    <row r="48" spans="1:11" ht="15" x14ac:dyDescent="0.2">
      <c r="A48" s="34" t="s">
        <v>66</v>
      </c>
      <c r="B48" s="34"/>
      <c r="C48" s="34"/>
      <c r="D48" s="34"/>
      <c r="E48" s="34"/>
      <c r="F48" s="34"/>
      <c r="G48" s="34"/>
      <c r="H48" s="34"/>
    </row>
    <row r="49" spans="1:11" x14ac:dyDescent="0.2">
      <c r="A49" s="6" t="s">
        <v>1007</v>
      </c>
      <c r="B49" s="6" t="s">
        <v>1008</v>
      </c>
      <c r="C49" s="6" t="s">
        <v>1009</v>
      </c>
      <c r="D49" s="6" t="str">
        <f>"0,5659"</f>
        <v>0,5659</v>
      </c>
      <c r="E49" s="6" t="s">
        <v>20</v>
      </c>
      <c r="F49" s="6" t="s">
        <v>33</v>
      </c>
      <c r="G49" s="7" t="s">
        <v>36</v>
      </c>
      <c r="H49" s="7" t="s">
        <v>1464</v>
      </c>
      <c r="I49" s="20" t="str">
        <f>"1100,0"</f>
        <v>1100,0</v>
      </c>
      <c r="J49" s="21" t="str">
        <f>"803,7056"</f>
        <v>803,7056</v>
      </c>
      <c r="K49" s="6" t="s">
        <v>147</v>
      </c>
    </row>
    <row r="51" spans="1:11" ht="15" x14ac:dyDescent="0.2">
      <c r="A51" s="34" t="s">
        <v>223</v>
      </c>
      <c r="B51" s="34"/>
      <c r="C51" s="34"/>
      <c r="D51" s="34"/>
      <c r="E51" s="34"/>
      <c r="F51" s="34"/>
      <c r="G51" s="34"/>
      <c r="H51" s="34"/>
    </row>
    <row r="52" spans="1:11" x14ac:dyDescent="0.2">
      <c r="A52" s="6" t="s">
        <v>1595</v>
      </c>
      <c r="B52" s="6" t="s">
        <v>1596</v>
      </c>
      <c r="C52" s="6" t="s">
        <v>1355</v>
      </c>
      <c r="D52" s="6" t="str">
        <f>"0,5623"</f>
        <v>0,5623</v>
      </c>
      <c r="E52" s="6" t="s">
        <v>20</v>
      </c>
      <c r="F52" s="6" t="s">
        <v>389</v>
      </c>
      <c r="G52" s="7" t="s">
        <v>285</v>
      </c>
      <c r="H52" s="7" t="s">
        <v>1597</v>
      </c>
      <c r="I52" s="20" t="str">
        <f>"900,0"</f>
        <v>900,0</v>
      </c>
      <c r="J52" s="21" t="str">
        <f>"506,1150"</f>
        <v>506,1150</v>
      </c>
      <c r="K52" s="6" t="s">
        <v>390</v>
      </c>
    </row>
    <row r="54" spans="1:11" ht="15" x14ac:dyDescent="0.2">
      <c r="A54" s="34" t="s">
        <v>544</v>
      </c>
      <c r="B54" s="34"/>
      <c r="C54" s="34"/>
      <c r="D54" s="34"/>
      <c r="E54" s="34"/>
      <c r="F54" s="34"/>
      <c r="G54" s="34"/>
      <c r="H54" s="34"/>
    </row>
    <row r="55" spans="1:11" x14ac:dyDescent="0.2">
      <c r="A55" s="9" t="s">
        <v>1599</v>
      </c>
      <c r="B55" s="9" t="s">
        <v>1600</v>
      </c>
      <c r="C55" s="9" t="s">
        <v>1601</v>
      </c>
      <c r="D55" s="9" t="str">
        <f>"0,5369"</f>
        <v>0,5369</v>
      </c>
      <c r="E55" s="9" t="s">
        <v>20</v>
      </c>
      <c r="F55" s="9" t="s">
        <v>33</v>
      </c>
      <c r="G55" s="10" t="s">
        <v>416</v>
      </c>
      <c r="H55" s="10" t="s">
        <v>1602</v>
      </c>
      <c r="I55" s="22" t="str">
        <f>"3375,0"</f>
        <v>3375,0</v>
      </c>
      <c r="J55" s="23" t="str">
        <f>"1812,1050"</f>
        <v>1812,1050</v>
      </c>
      <c r="K55" s="9" t="s">
        <v>1603</v>
      </c>
    </row>
    <row r="56" spans="1:11" x14ac:dyDescent="0.2">
      <c r="A56" s="15" t="s">
        <v>1599</v>
      </c>
      <c r="B56" s="15" t="s">
        <v>1604</v>
      </c>
      <c r="C56" s="15" t="s">
        <v>1601</v>
      </c>
      <c r="D56" s="15" t="str">
        <f>"0,5369"</f>
        <v>0,5369</v>
      </c>
      <c r="E56" s="15" t="s">
        <v>20</v>
      </c>
      <c r="F56" s="15" t="s">
        <v>33</v>
      </c>
      <c r="G56" s="16" t="s">
        <v>416</v>
      </c>
      <c r="H56" s="16" t="s">
        <v>1602</v>
      </c>
      <c r="I56" s="26" t="str">
        <f>"3375,0"</f>
        <v>3375,0</v>
      </c>
      <c r="J56" s="27" t="str">
        <f>"1830,2261"</f>
        <v>1830,2261</v>
      </c>
      <c r="K56" s="15" t="s">
        <v>1603</v>
      </c>
    </row>
    <row r="58" spans="1:11" ht="15" x14ac:dyDescent="0.2">
      <c r="E58" s="18" t="s">
        <v>80</v>
      </c>
    </row>
    <row r="59" spans="1:11" ht="15" x14ac:dyDescent="0.2">
      <c r="E59" s="18" t="s">
        <v>81</v>
      </c>
    </row>
    <row r="60" spans="1:11" ht="15" x14ac:dyDescent="0.2">
      <c r="E60" s="18" t="s">
        <v>82</v>
      </c>
    </row>
    <row r="61" spans="1:11" ht="15" x14ac:dyDescent="0.2">
      <c r="E61" s="18" t="s">
        <v>83</v>
      </c>
    </row>
    <row r="62" spans="1:11" ht="15" x14ac:dyDescent="0.2">
      <c r="E62" s="18" t="s">
        <v>83</v>
      </c>
    </row>
    <row r="63" spans="1:11" ht="15" x14ac:dyDescent="0.2">
      <c r="E63" s="18" t="s">
        <v>84</v>
      </c>
    </row>
    <row r="64" spans="1:11" ht="15" x14ac:dyDescent="0.2">
      <c r="E64" s="18"/>
    </row>
    <row r="66" spans="1:5" ht="18" x14ac:dyDescent="0.25">
      <c r="A66" s="28" t="s">
        <v>85</v>
      </c>
      <c r="B66" s="28"/>
    </row>
    <row r="67" spans="1:5" ht="15" x14ac:dyDescent="0.2">
      <c r="A67" s="29" t="s">
        <v>97</v>
      </c>
      <c r="B67" s="29"/>
    </row>
    <row r="68" spans="1:5" ht="14.25" x14ac:dyDescent="0.2">
      <c r="A68" s="31"/>
      <c r="B68" s="32" t="s">
        <v>148</v>
      </c>
    </row>
    <row r="69" spans="1:5" ht="15" x14ac:dyDescent="0.2">
      <c r="A69" s="33" t="s">
        <v>88</v>
      </c>
      <c r="B69" s="33" t="s">
        <v>89</v>
      </c>
      <c r="C69" s="33" t="s">
        <v>90</v>
      </c>
      <c r="D69" s="33" t="s">
        <v>549</v>
      </c>
      <c r="E69" s="33" t="s">
        <v>1466</v>
      </c>
    </row>
    <row r="70" spans="1:5" x14ac:dyDescent="0.2">
      <c r="A70" s="30" t="s">
        <v>1548</v>
      </c>
      <c r="B70" s="4" t="s">
        <v>149</v>
      </c>
      <c r="C70" s="4" t="s">
        <v>100</v>
      </c>
      <c r="D70" s="4" t="s">
        <v>1605</v>
      </c>
      <c r="E70" s="19" t="s">
        <v>1606</v>
      </c>
    </row>
    <row r="71" spans="1:5" x14ac:dyDescent="0.2">
      <c r="A71" s="30" t="s">
        <v>385</v>
      </c>
      <c r="B71" s="4" t="s">
        <v>149</v>
      </c>
      <c r="C71" s="4" t="s">
        <v>94</v>
      </c>
      <c r="D71" s="4" t="s">
        <v>1607</v>
      </c>
      <c r="E71" s="19" t="s">
        <v>1608</v>
      </c>
    </row>
    <row r="72" spans="1:5" x14ac:dyDescent="0.2">
      <c r="A72" s="30" t="s">
        <v>1504</v>
      </c>
      <c r="B72" s="4" t="s">
        <v>149</v>
      </c>
      <c r="C72" s="4" t="s">
        <v>94</v>
      </c>
      <c r="D72" s="4" t="s">
        <v>1609</v>
      </c>
      <c r="E72" s="19" t="s">
        <v>1610</v>
      </c>
    </row>
    <row r="74" spans="1:5" ht="14.25" x14ac:dyDescent="0.2">
      <c r="A74" s="31"/>
      <c r="B74" s="32" t="s">
        <v>103</v>
      </c>
    </row>
    <row r="75" spans="1:5" ht="15" x14ac:dyDescent="0.2">
      <c r="A75" s="33" t="s">
        <v>88</v>
      </c>
      <c r="B75" s="33" t="s">
        <v>89</v>
      </c>
      <c r="C75" s="33" t="s">
        <v>90</v>
      </c>
      <c r="D75" s="33" t="s">
        <v>549</v>
      </c>
      <c r="E75" s="33" t="s">
        <v>1466</v>
      </c>
    </row>
    <row r="76" spans="1:5" x14ac:dyDescent="0.2">
      <c r="A76" s="30" t="s">
        <v>1511</v>
      </c>
      <c r="B76" s="4" t="s">
        <v>103</v>
      </c>
      <c r="C76" s="4" t="s">
        <v>94</v>
      </c>
      <c r="D76" s="4" t="s">
        <v>1611</v>
      </c>
      <c r="E76" s="19" t="s">
        <v>1612</v>
      </c>
    </row>
    <row r="77" spans="1:5" x14ac:dyDescent="0.2">
      <c r="A77" s="30" t="s">
        <v>1567</v>
      </c>
      <c r="B77" s="4" t="s">
        <v>103</v>
      </c>
      <c r="C77" s="4" t="s">
        <v>248</v>
      </c>
      <c r="D77" s="4" t="s">
        <v>1613</v>
      </c>
      <c r="E77" s="19" t="s">
        <v>1614</v>
      </c>
    </row>
    <row r="78" spans="1:5" x14ac:dyDescent="0.2">
      <c r="A78" s="30" t="s">
        <v>1518</v>
      </c>
      <c r="B78" s="4" t="s">
        <v>103</v>
      </c>
      <c r="C78" s="4" t="s">
        <v>242</v>
      </c>
      <c r="D78" s="4" t="s">
        <v>1615</v>
      </c>
      <c r="E78" s="19" t="s">
        <v>1616</v>
      </c>
    </row>
    <row r="79" spans="1:5" x14ac:dyDescent="0.2">
      <c r="A79" s="30" t="s">
        <v>1493</v>
      </c>
      <c r="B79" s="4" t="s">
        <v>103</v>
      </c>
      <c r="C79" s="4" t="s">
        <v>1039</v>
      </c>
      <c r="D79" s="4" t="s">
        <v>1617</v>
      </c>
      <c r="E79" s="19" t="s">
        <v>1618</v>
      </c>
    </row>
    <row r="80" spans="1:5" x14ac:dyDescent="0.2">
      <c r="A80" s="30" t="s">
        <v>1523</v>
      </c>
      <c r="B80" s="4" t="s">
        <v>103</v>
      </c>
      <c r="C80" s="4" t="s">
        <v>242</v>
      </c>
      <c r="D80" s="4" t="s">
        <v>1619</v>
      </c>
      <c r="E80" s="19" t="s">
        <v>1620</v>
      </c>
    </row>
    <row r="81" spans="1:5" x14ac:dyDescent="0.2">
      <c r="A81" s="30" t="s">
        <v>1573</v>
      </c>
      <c r="B81" s="4" t="s">
        <v>103</v>
      </c>
      <c r="C81" s="4" t="s">
        <v>248</v>
      </c>
      <c r="D81" s="4" t="s">
        <v>1621</v>
      </c>
      <c r="E81" s="19" t="s">
        <v>1622</v>
      </c>
    </row>
    <row r="82" spans="1:5" x14ac:dyDescent="0.2">
      <c r="A82" s="30" t="s">
        <v>1497</v>
      </c>
      <c r="B82" s="4" t="s">
        <v>103</v>
      </c>
      <c r="C82" s="4" t="s">
        <v>356</v>
      </c>
      <c r="D82" s="4" t="s">
        <v>1477</v>
      </c>
      <c r="E82" s="19" t="s">
        <v>1623</v>
      </c>
    </row>
    <row r="83" spans="1:5" x14ac:dyDescent="0.2">
      <c r="A83" s="30" t="s">
        <v>1598</v>
      </c>
      <c r="B83" s="4" t="s">
        <v>103</v>
      </c>
      <c r="C83" s="4" t="s">
        <v>582</v>
      </c>
      <c r="D83" s="4" t="s">
        <v>1624</v>
      </c>
      <c r="E83" s="19" t="s">
        <v>1625</v>
      </c>
    </row>
    <row r="84" spans="1:5" x14ac:dyDescent="0.2">
      <c r="A84" s="30" t="s">
        <v>861</v>
      </c>
      <c r="B84" s="4" t="s">
        <v>103</v>
      </c>
      <c r="C84" s="4" t="s">
        <v>248</v>
      </c>
      <c r="D84" s="4" t="s">
        <v>1626</v>
      </c>
      <c r="E84" s="19" t="s">
        <v>1627</v>
      </c>
    </row>
    <row r="85" spans="1:5" x14ac:dyDescent="0.2">
      <c r="A85" s="30" t="s">
        <v>759</v>
      </c>
      <c r="B85" s="4" t="s">
        <v>103</v>
      </c>
      <c r="C85" s="4" t="s">
        <v>94</v>
      </c>
      <c r="D85" s="4" t="s">
        <v>1628</v>
      </c>
      <c r="E85" s="19" t="s">
        <v>1629</v>
      </c>
    </row>
    <row r="86" spans="1:5" x14ac:dyDescent="0.2">
      <c r="A86" s="30" t="s">
        <v>1529</v>
      </c>
      <c r="B86" s="4" t="s">
        <v>103</v>
      </c>
      <c r="C86" s="4" t="s">
        <v>242</v>
      </c>
      <c r="D86" s="4" t="s">
        <v>1630</v>
      </c>
      <c r="E86" s="19" t="s">
        <v>1631</v>
      </c>
    </row>
    <row r="87" spans="1:5" x14ac:dyDescent="0.2">
      <c r="A87" s="30" t="s">
        <v>872</v>
      </c>
      <c r="B87" s="4" t="s">
        <v>103</v>
      </c>
      <c r="C87" s="4" t="s">
        <v>248</v>
      </c>
      <c r="D87" s="4" t="s">
        <v>1617</v>
      </c>
      <c r="E87" s="19" t="s">
        <v>1632</v>
      </c>
    </row>
    <row r="88" spans="1:5" x14ac:dyDescent="0.2">
      <c r="A88" s="30" t="s">
        <v>1582</v>
      </c>
      <c r="B88" s="4" t="s">
        <v>103</v>
      </c>
      <c r="C88" s="4" t="s">
        <v>248</v>
      </c>
      <c r="D88" s="4" t="s">
        <v>1633</v>
      </c>
      <c r="E88" s="19" t="s">
        <v>1634</v>
      </c>
    </row>
    <row r="89" spans="1:5" x14ac:dyDescent="0.2">
      <c r="A89" s="30" t="s">
        <v>1534</v>
      </c>
      <c r="B89" s="4" t="s">
        <v>103</v>
      </c>
      <c r="C89" s="4" t="s">
        <v>242</v>
      </c>
      <c r="D89" s="4" t="s">
        <v>1635</v>
      </c>
      <c r="E89" s="19" t="s">
        <v>1636</v>
      </c>
    </row>
    <row r="90" spans="1:5" x14ac:dyDescent="0.2">
      <c r="A90" s="30" t="s">
        <v>1553</v>
      </c>
      <c r="B90" s="4" t="s">
        <v>103</v>
      </c>
      <c r="C90" s="4" t="s">
        <v>100</v>
      </c>
      <c r="D90" s="4" t="s">
        <v>1637</v>
      </c>
      <c r="E90" s="19" t="s">
        <v>1638</v>
      </c>
    </row>
    <row r="91" spans="1:5" x14ac:dyDescent="0.2">
      <c r="A91" s="30" t="s">
        <v>1594</v>
      </c>
      <c r="B91" s="4" t="s">
        <v>103</v>
      </c>
      <c r="C91" s="4" t="s">
        <v>253</v>
      </c>
      <c r="D91" s="4" t="s">
        <v>1639</v>
      </c>
      <c r="E91" s="19" t="s">
        <v>1640</v>
      </c>
    </row>
    <row r="93" spans="1:5" ht="14.25" x14ac:dyDescent="0.2">
      <c r="A93" s="31"/>
      <c r="B93" s="32" t="s">
        <v>87</v>
      </c>
    </row>
    <row r="94" spans="1:5" ht="15" x14ac:dyDescent="0.2">
      <c r="A94" s="33" t="s">
        <v>88</v>
      </c>
      <c r="B94" s="33" t="s">
        <v>89</v>
      </c>
      <c r="C94" s="33" t="s">
        <v>90</v>
      </c>
      <c r="D94" s="33" t="s">
        <v>549</v>
      </c>
      <c r="E94" s="33" t="s">
        <v>1466</v>
      </c>
    </row>
    <row r="95" spans="1:5" x14ac:dyDescent="0.2">
      <c r="A95" s="30" t="s">
        <v>1567</v>
      </c>
      <c r="B95" s="4" t="s">
        <v>373</v>
      </c>
      <c r="C95" s="4" t="s">
        <v>248</v>
      </c>
      <c r="D95" s="4" t="s">
        <v>1613</v>
      </c>
      <c r="E95" s="19" t="s">
        <v>1641</v>
      </c>
    </row>
    <row r="96" spans="1:5" x14ac:dyDescent="0.2">
      <c r="A96" s="30" t="s">
        <v>1523</v>
      </c>
      <c r="B96" s="4" t="s">
        <v>373</v>
      </c>
      <c r="C96" s="4" t="s">
        <v>242</v>
      </c>
      <c r="D96" s="4" t="s">
        <v>1619</v>
      </c>
      <c r="E96" s="19" t="s">
        <v>1642</v>
      </c>
    </row>
    <row r="97" spans="1:5" x14ac:dyDescent="0.2">
      <c r="A97" s="30" t="s">
        <v>1497</v>
      </c>
      <c r="B97" s="4" t="s">
        <v>93</v>
      </c>
      <c r="C97" s="4" t="s">
        <v>356</v>
      </c>
      <c r="D97" s="4" t="s">
        <v>1477</v>
      </c>
      <c r="E97" s="19" t="s">
        <v>1643</v>
      </c>
    </row>
    <row r="98" spans="1:5" x14ac:dyDescent="0.2">
      <c r="A98" s="30" t="s">
        <v>836</v>
      </c>
      <c r="B98" s="4" t="s">
        <v>157</v>
      </c>
      <c r="C98" s="4" t="s">
        <v>100</v>
      </c>
      <c r="D98" s="4" t="s">
        <v>1644</v>
      </c>
      <c r="E98" s="19" t="s">
        <v>1645</v>
      </c>
    </row>
    <row r="99" spans="1:5" x14ac:dyDescent="0.2">
      <c r="A99" s="30" t="s">
        <v>1598</v>
      </c>
      <c r="B99" s="4" t="s">
        <v>109</v>
      </c>
      <c r="C99" s="4" t="s">
        <v>582</v>
      </c>
      <c r="D99" s="4" t="s">
        <v>1624</v>
      </c>
      <c r="E99" s="19" t="s">
        <v>1646</v>
      </c>
    </row>
    <row r="100" spans="1:5" x14ac:dyDescent="0.2">
      <c r="A100" s="30" t="s">
        <v>1563</v>
      </c>
      <c r="B100" s="4" t="s">
        <v>373</v>
      </c>
      <c r="C100" s="4" t="s">
        <v>100</v>
      </c>
      <c r="D100" s="4" t="s">
        <v>1647</v>
      </c>
      <c r="E100" s="19" t="s">
        <v>1648</v>
      </c>
    </row>
    <row r="101" spans="1:5" x14ac:dyDescent="0.2">
      <c r="A101" s="30" t="s">
        <v>1558</v>
      </c>
      <c r="B101" s="4" t="s">
        <v>109</v>
      </c>
      <c r="C101" s="4" t="s">
        <v>100</v>
      </c>
      <c r="D101" s="4" t="s">
        <v>1649</v>
      </c>
      <c r="E101" s="19" t="s">
        <v>1650</v>
      </c>
    </row>
    <row r="102" spans="1:5" x14ac:dyDescent="0.2">
      <c r="A102" s="30" t="s">
        <v>953</v>
      </c>
      <c r="B102" s="4" t="s">
        <v>157</v>
      </c>
      <c r="C102" s="4" t="s">
        <v>152</v>
      </c>
      <c r="D102" s="4" t="s">
        <v>1651</v>
      </c>
      <c r="E102" s="19" t="s">
        <v>1652</v>
      </c>
    </row>
    <row r="103" spans="1:5" x14ac:dyDescent="0.2">
      <c r="A103" s="30" t="s">
        <v>962</v>
      </c>
      <c r="B103" s="4" t="s">
        <v>1083</v>
      </c>
      <c r="C103" s="4" t="s">
        <v>152</v>
      </c>
      <c r="D103" s="4" t="s">
        <v>1653</v>
      </c>
      <c r="E103" s="19" t="s">
        <v>1654</v>
      </c>
    </row>
    <row r="104" spans="1:5" x14ac:dyDescent="0.2">
      <c r="A104" s="30" t="s">
        <v>884</v>
      </c>
      <c r="B104" s="4" t="s">
        <v>373</v>
      </c>
      <c r="C104" s="4" t="s">
        <v>248</v>
      </c>
      <c r="D104" s="4" t="s">
        <v>1655</v>
      </c>
      <c r="E104" s="19" t="s">
        <v>1656</v>
      </c>
    </row>
    <row r="105" spans="1:5" x14ac:dyDescent="0.2">
      <c r="A105" s="30" t="s">
        <v>1540</v>
      </c>
      <c r="B105" s="4" t="s">
        <v>109</v>
      </c>
      <c r="C105" s="4" t="s">
        <v>242</v>
      </c>
      <c r="D105" s="4" t="s">
        <v>1657</v>
      </c>
      <c r="E105" s="19" t="s">
        <v>1658</v>
      </c>
    </row>
    <row r="106" spans="1:5" x14ac:dyDescent="0.2">
      <c r="A106" s="30" t="s">
        <v>881</v>
      </c>
      <c r="B106" s="4" t="s">
        <v>109</v>
      </c>
      <c r="C106" s="4" t="s">
        <v>248</v>
      </c>
      <c r="D106" s="4" t="s">
        <v>1659</v>
      </c>
      <c r="E106" s="19" t="s">
        <v>1660</v>
      </c>
    </row>
    <row r="107" spans="1:5" x14ac:dyDescent="0.2">
      <c r="A107" s="30" t="s">
        <v>888</v>
      </c>
      <c r="B107" s="4" t="s">
        <v>373</v>
      </c>
      <c r="C107" s="4" t="s">
        <v>248</v>
      </c>
      <c r="D107" s="4" t="s">
        <v>1661</v>
      </c>
      <c r="E107" s="19" t="s">
        <v>1662</v>
      </c>
    </row>
    <row r="108" spans="1:5" x14ac:dyDescent="0.2">
      <c r="A108" s="30" t="s">
        <v>1006</v>
      </c>
      <c r="B108" s="4" t="s">
        <v>157</v>
      </c>
      <c r="C108" s="4" t="s">
        <v>104</v>
      </c>
      <c r="D108" s="4" t="s">
        <v>1490</v>
      </c>
      <c r="E108" s="19" t="s">
        <v>1491</v>
      </c>
    </row>
  </sheetData>
  <mergeCells count="21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  <mergeCell ref="A48:H48"/>
    <mergeCell ref="A51:H51"/>
    <mergeCell ref="A54:H54"/>
    <mergeCell ref="A8:H8"/>
    <mergeCell ref="A12:H12"/>
    <mergeCell ref="A18:H18"/>
    <mergeCell ref="A26:H26"/>
    <mergeCell ref="A33:H33"/>
    <mergeCell ref="A44:H4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workbookViewId="0">
      <selection activeCell="M20" sqref="M20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" style="4" bestFit="1" customWidth="1"/>
    <col min="7" max="7" width="14.42578125" style="3" customWidth="1"/>
    <col min="8" max="8" width="14" style="3" customWidth="1"/>
    <col min="9" max="9" width="10.28515625" style="19" customWidth="1"/>
    <col min="10" max="10" width="9.5703125" style="2" bestFit="1" customWidth="1"/>
    <col min="11" max="11" width="19.7109375" style="4" bestFit="1" customWidth="1"/>
    <col min="12" max="16384" width="9.140625" style="3"/>
  </cols>
  <sheetData>
    <row r="1" spans="1:11" s="2" customFormat="1" ht="29.1" customHeight="1" x14ac:dyDescent="0.2">
      <c r="A1" s="41" t="s">
        <v>1744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1403</v>
      </c>
      <c r="E3" s="35" t="s">
        <v>4</v>
      </c>
      <c r="F3" s="35" t="s">
        <v>7</v>
      </c>
      <c r="G3" s="35" t="s">
        <v>1734</v>
      </c>
      <c r="H3" s="35"/>
      <c r="I3" s="35" t="s">
        <v>1492</v>
      </c>
      <c r="J3" s="35" t="s">
        <v>3</v>
      </c>
      <c r="K3" s="37" t="s">
        <v>2</v>
      </c>
    </row>
    <row r="4" spans="1:11" s="1" customFormat="1" ht="21" customHeight="1" thickBot="1" x14ac:dyDescent="0.25">
      <c r="A4" s="48"/>
      <c r="B4" s="36"/>
      <c r="C4" s="36"/>
      <c r="D4" s="36"/>
      <c r="E4" s="36"/>
      <c r="F4" s="36"/>
      <c r="G4" s="5" t="s">
        <v>8</v>
      </c>
      <c r="H4" s="5" t="s">
        <v>9</v>
      </c>
      <c r="I4" s="36"/>
      <c r="J4" s="36"/>
      <c r="K4" s="38"/>
    </row>
    <row r="5" spans="1:11" ht="15" x14ac:dyDescent="0.2">
      <c r="A5" s="39" t="s">
        <v>261</v>
      </c>
      <c r="B5" s="40"/>
      <c r="C5" s="40"/>
      <c r="D5" s="40"/>
      <c r="E5" s="40"/>
      <c r="F5" s="40"/>
      <c r="G5" s="40"/>
      <c r="H5" s="40"/>
    </row>
    <row r="6" spans="1:11" x14ac:dyDescent="0.2">
      <c r="A6" s="6" t="s">
        <v>645</v>
      </c>
      <c r="B6" s="6" t="s">
        <v>646</v>
      </c>
      <c r="C6" s="6" t="s">
        <v>647</v>
      </c>
      <c r="D6" s="6" t="str">
        <f>"1,1865"</f>
        <v>1,1865</v>
      </c>
      <c r="E6" s="6" t="s">
        <v>20</v>
      </c>
      <c r="F6" s="6" t="s">
        <v>33</v>
      </c>
      <c r="G6" s="7" t="s">
        <v>1602</v>
      </c>
      <c r="H6" s="7" t="s">
        <v>1602</v>
      </c>
      <c r="I6" s="20" t="str">
        <f>"625,0"</f>
        <v>625,0</v>
      </c>
      <c r="J6" s="21" t="str">
        <f>"741,5625"</f>
        <v>741,5625</v>
      </c>
      <c r="K6" s="6" t="s">
        <v>648</v>
      </c>
    </row>
    <row r="8" spans="1:11" ht="15" x14ac:dyDescent="0.2">
      <c r="A8" s="34" t="s">
        <v>654</v>
      </c>
      <c r="B8" s="34"/>
      <c r="C8" s="34"/>
      <c r="D8" s="34"/>
      <c r="E8" s="34"/>
      <c r="F8" s="34"/>
      <c r="G8" s="34"/>
      <c r="H8" s="34"/>
    </row>
    <row r="9" spans="1:11" x14ac:dyDescent="0.2">
      <c r="A9" s="9" t="s">
        <v>1664</v>
      </c>
      <c r="B9" s="9" t="s">
        <v>1665</v>
      </c>
      <c r="C9" s="9" t="s">
        <v>1666</v>
      </c>
      <c r="D9" s="9" t="str">
        <f>"1,1568"</f>
        <v>1,1568</v>
      </c>
      <c r="E9" s="9" t="s">
        <v>20</v>
      </c>
      <c r="F9" s="9" t="s">
        <v>33</v>
      </c>
      <c r="G9" s="10" t="s">
        <v>1602</v>
      </c>
      <c r="H9" s="10" t="s">
        <v>1667</v>
      </c>
      <c r="I9" s="22" t="str">
        <f>"1175,0"</f>
        <v>1175,0</v>
      </c>
      <c r="J9" s="23" t="str">
        <f>"1359,2400"</f>
        <v>1359,2400</v>
      </c>
      <c r="K9" s="9" t="s">
        <v>1668</v>
      </c>
    </row>
    <row r="10" spans="1:11" x14ac:dyDescent="0.2">
      <c r="A10" s="15" t="s">
        <v>674</v>
      </c>
      <c r="B10" s="15" t="s">
        <v>675</v>
      </c>
      <c r="C10" s="15" t="s">
        <v>676</v>
      </c>
      <c r="D10" s="15" t="str">
        <f>"1,1195"</f>
        <v>1,1195</v>
      </c>
      <c r="E10" s="15" t="s">
        <v>20</v>
      </c>
      <c r="F10" s="15" t="s">
        <v>33</v>
      </c>
      <c r="G10" s="16" t="s">
        <v>1669</v>
      </c>
      <c r="H10" s="16" t="s">
        <v>1566</v>
      </c>
      <c r="I10" s="26" t="str">
        <f>"797,5"</f>
        <v>797,5</v>
      </c>
      <c r="J10" s="27" t="str">
        <f>"1057,0767"</f>
        <v>1057,0767</v>
      </c>
      <c r="K10" s="15" t="s">
        <v>648</v>
      </c>
    </row>
    <row r="12" spans="1:11" ht="15" x14ac:dyDescent="0.2">
      <c r="A12" s="34" t="s">
        <v>272</v>
      </c>
      <c r="B12" s="34"/>
      <c r="C12" s="34"/>
      <c r="D12" s="34"/>
      <c r="E12" s="34"/>
      <c r="F12" s="34"/>
      <c r="G12" s="34"/>
      <c r="H12" s="34"/>
    </row>
    <row r="13" spans="1:11" x14ac:dyDescent="0.2">
      <c r="A13" s="9" t="s">
        <v>679</v>
      </c>
      <c r="B13" s="9" t="s">
        <v>680</v>
      </c>
      <c r="C13" s="9" t="s">
        <v>681</v>
      </c>
      <c r="D13" s="9" t="str">
        <f>"1,0561"</f>
        <v>1,0561</v>
      </c>
      <c r="E13" s="9" t="s">
        <v>20</v>
      </c>
      <c r="F13" s="9" t="s">
        <v>33</v>
      </c>
      <c r="G13" s="10" t="s">
        <v>737</v>
      </c>
      <c r="H13" s="10" t="s">
        <v>1602</v>
      </c>
      <c r="I13" s="22" t="str">
        <f>"750,0"</f>
        <v>750,0</v>
      </c>
      <c r="J13" s="23" t="str">
        <f>"792,0750"</f>
        <v>792,0750</v>
      </c>
      <c r="K13" s="9" t="s">
        <v>682</v>
      </c>
    </row>
    <row r="14" spans="1:11" x14ac:dyDescent="0.2">
      <c r="A14" s="15" t="s">
        <v>684</v>
      </c>
      <c r="B14" s="15" t="s">
        <v>685</v>
      </c>
      <c r="C14" s="15" t="s">
        <v>686</v>
      </c>
      <c r="D14" s="15" t="str">
        <f>"1,0701"</f>
        <v>1,0701</v>
      </c>
      <c r="E14" s="15" t="s">
        <v>20</v>
      </c>
      <c r="F14" s="15" t="s">
        <v>33</v>
      </c>
      <c r="G14" s="16" t="s">
        <v>1669</v>
      </c>
      <c r="H14" s="16" t="s">
        <v>1593</v>
      </c>
      <c r="I14" s="26" t="str">
        <f>"467,5"</f>
        <v>467,5</v>
      </c>
      <c r="J14" s="27" t="str">
        <f>"500,2717"</f>
        <v>500,2717</v>
      </c>
      <c r="K14" s="15" t="s">
        <v>688</v>
      </c>
    </row>
    <row r="16" spans="1:11" ht="15" x14ac:dyDescent="0.2">
      <c r="A16" s="34" t="s">
        <v>280</v>
      </c>
      <c r="B16" s="34"/>
      <c r="C16" s="34"/>
      <c r="D16" s="34"/>
      <c r="E16" s="34"/>
      <c r="F16" s="34"/>
      <c r="G16" s="34"/>
      <c r="H16" s="34"/>
    </row>
    <row r="17" spans="1:11" x14ac:dyDescent="0.2">
      <c r="A17" s="9" t="s">
        <v>690</v>
      </c>
      <c r="B17" s="9" t="s">
        <v>691</v>
      </c>
      <c r="C17" s="9" t="s">
        <v>692</v>
      </c>
      <c r="D17" s="9" t="str">
        <f>"0,9956"</f>
        <v>0,9956</v>
      </c>
      <c r="E17" s="9" t="s">
        <v>20</v>
      </c>
      <c r="F17" s="9" t="s">
        <v>33</v>
      </c>
      <c r="G17" s="10" t="s">
        <v>737</v>
      </c>
      <c r="H17" s="10" t="s">
        <v>737</v>
      </c>
      <c r="I17" s="22" t="str">
        <f>"900,0"</f>
        <v>900,0</v>
      </c>
      <c r="J17" s="23" t="str">
        <f>"896,0400"</f>
        <v>896,0400</v>
      </c>
      <c r="K17" s="9" t="s">
        <v>682</v>
      </c>
    </row>
    <row r="18" spans="1:11" x14ac:dyDescent="0.2">
      <c r="A18" s="15" t="s">
        <v>1671</v>
      </c>
      <c r="B18" s="15" t="s">
        <v>1672</v>
      </c>
      <c r="C18" s="15" t="s">
        <v>1673</v>
      </c>
      <c r="D18" s="15" t="str">
        <f>"1,0010"</f>
        <v>1,0010</v>
      </c>
      <c r="E18" s="15" t="s">
        <v>20</v>
      </c>
      <c r="F18" s="15" t="s">
        <v>33</v>
      </c>
      <c r="G18" s="16" t="s">
        <v>737</v>
      </c>
      <c r="H18" s="16" t="s">
        <v>1501</v>
      </c>
      <c r="I18" s="26" t="str">
        <f>"1080,0"</f>
        <v>1080,0</v>
      </c>
      <c r="J18" s="27" t="str">
        <f>"1259,4583"</f>
        <v>1259,4583</v>
      </c>
      <c r="K18" s="15" t="s">
        <v>1674</v>
      </c>
    </row>
    <row r="20" spans="1:11" ht="15" x14ac:dyDescent="0.2">
      <c r="A20" s="34" t="s">
        <v>15</v>
      </c>
      <c r="B20" s="34"/>
      <c r="C20" s="34"/>
      <c r="D20" s="34"/>
      <c r="E20" s="34"/>
      <c r="F20" s="34"/>
      <c r="G20" s="34"/>
      <c r="H20" s="34"/>
    </row>
    <row r="21" spans="1:11" x14ac:dyDescent="0.2">
      <c r="A21" s="6" t="s">
        <v>711</v>
      </c>
      <c r="B21" s="6" t="s">
        <v>1675</v>
      </c>
      <c r="C21" s="6" t="s">
        <v>713</v>
      </c>
      <c r="D21" s="6" t="str">
        <f>"0,9092"</f>
        <v>0,9092</v>
      </c>
      <c r="E21" s="6" t="s">
        <v>20</v>
      </c>
      <c r="F21" s="6" t="s">
        <v>33</v>
      </c>
      <c r="G21" s="7" t="s">
        <v>687</v>
      </c>
      <c r="H21" s="7" t="s">
        <v>1676</v>
      </c>
      <c r="I21" s="20" t="str">
        <f>"1540,0"</f>
        <v>1540,0</v>
      </c>
      <c r="J21" s="21" t="str">
        <f>"1477,0960"</f>
        <v>1477,0960</v>
      </c>
      <c r="K21" s="6" t="s">
        <v>714</v>
      </c>
    </row>
    <row r="23" spans="1:11" ht="15" x14ac:dyDescent="0.2">
      <c r="A23" s="34" t="s">
        <v>41</v>
      </c>
      <c r="B23" s="34"/>
      <c r="C23" s="34"/>
      <c r="D23" s="34"/>
      <c r="E23" s="34"/>
      <c r="F23" s="34"/>
      <c r="G23" s="34"/>
      <c r="H23" s="34"/>
    </row>
    <row r="24" spans="1:11" x14ac:dyDescent="0.2">
      <c r="A24" s="9" t="s">
        <v>1678</v>
      </c>
      <c r="B24" s="9" t="s">
        <v>1679</v>
      </c>
      <c r="C24" s="9" t="s">
        <v>1680</v>
      </c>
      <c r="D24" s="9" t="str">
        <f>"0,8056"</f>
        <v>0,8056</v>
      </c>
      <c r="E24" s="9" t="s">
        <v>20</v>
      </c>
      <c r="F24" s="9" t="s">
        <v>1407</v>
      </c>
      <c r="G24" s="10" t="s">
        <v>119</v>
      </c>
      <c r="H24" s="10" t="s">
        <v>1681</v>
      </c>
      <c r="I24" s="22" t="str">
        <f>"3840,0"</f>
        <v>3840,0</v>
      </c>
      <c r="J24" s="23" t="str">
        <f>"3093,5040"</f>
        <v>3093,5040</v>
      </c>
      <c r="K24" s="9" t="s">
        <v>1409</v>
      </c>
    </row>
    <row r="25" spans="1:11" x14ac:dyDescent="0.2">
      <c r="A25" s="15" t="s">
        <v>1683</v>
      </c>
      <c r="B25" s="15" t="s">
        <v>1684</v>
      </c>
      <c r="C25" s="15" t="s">
        <v>1685</v>
      </c>
      <c r="D25" s="15" t="str">
        <f>"0,8082"</f>
        <v>0,8082</v>
      </c>
      <c r="E25" s="15" t="s">
        <v>20</v>
      </c>
      <c r="F25" s="15" t="s">
        <v>33</v>
      </c>
      <c r="G25" s="16" t="s">
        <v>119</v>
      </c>
      <c r="H25" s="16" t="s">
        <v>737</v>
      </c>
      <c r="I25" s="26" t="str">
        <f>"1200,0"</f>
        <v>1200,0</v>
      </c>
      <c r="J25" s="27" t="str">
        <f>"969,8400"</f>
        <v>969,8400</v>
      </c>
      <c r="K25" s="15" t="s">
        <v>28</v>
      </c>
    </row>
    <row r="27" spans="1:11" ht="15" x14ac:dyDescent="0.2">
      <c r="A27" s="34" t="s">
        <v>654</v>
      </c>
      <c r="B27" s="34"/>
      <c r="C27" s="34"/>
      <c r="D27" s="34"/>
      <c r="E27" s="34"/>
      <c r="F27" s="34"/>
      <c r="G27" s="34"/>
      <c r="H27" s="34"/>
    </row>
    <row r="28" spans="1:11" x14ac:dyDescent="0.2">
      <c r="A28" s="6" t="s">
        <v>730</v>
      </c>
      <c r="B28" s="6" t="s">
        <v>731</v>
      </c>
      <c r="C28" s="6" t="s">
        <v>732</v>
      </c>
      <c r="D28" s="6" t="str">
        <f>"1,0168"</f>
        <v>1,0168</v>
      </c>
      <c r="E28" s="6" t="s">
        <v>20</v>
      </c>
      <c r="F28" s="6" t="s">
        <v>33</v>
      </c>
      <c r="G28" s="7" t="s">
        <v>1602</v>
      </c>
      <c r="H28" s="7" t="s">
        <v>1589</v>
      </c>
      <c r="I28" s="20" t="str">
        <f>"575,0"</f>
        <v>575,0</v>
      </c>
      <c r="J28" s="21" t="str">
        <f>"584,6887"</f>
        <v>584,6887</v>
      </c>
      <c r="K28" s="6" t="s">
        <v>648</v>
      </c>
    </row>
    <row r="30" spans="1:11" ht="15" x14ac:dyDescent="0.2">
      <c r="A30" s="34" t="s">
        <v>15</v>
      </c>
      <c r="B30" s="34"/>
      <c r="C30" s="34"/>
      <c r="D30" s="34"/>
      <c r="E30" s="34"/>
      <c r="F30" s="34"/>
      <c r="G30" s="34"/>
      <c r="H30" s="34"/>
    </row>
    <row r="31" spans="1:11" x14ac:dyDescent="0.2">
      <c r="A31" s="6" t="s">
        <v>749</v>
      </c>
      <c r="B31" s="6" t="s">
        <v>750</v>
      </c>
      <c r="C31" s="6" t="s">
        <v>751</v>
      </c>
      <c r="D31" s="6" t="str">
        <f>"0,7712"</f>
        <v>0,7712</v>
      </c>
      <c r="E31" s="6" t="s">
        <v>20</v>
      </c>
      <c r="F31" s="6" t="s">
        <v>752</v>
      </c>
      <c r="G31" s="7" t="s">
        <v>687</v>
      </c>
      <c r="H31" s="7" t="s">
        <v>1686</v>
      </c>
      <c r="I31" s="20" t="str">
        <f>"770,0"</f>
        <v>770,0</v>
      </c>
      <c r="J31" s="21" t="str">
        <f>"593,8240"</f>
        <v>593,8240</v>
      </c>
      <c r="K31" s="6" t="s">
        <v>753</v>
      </c>
    </row>
    <row r="33" spans="1:11" ht="15" x14ac:dyDescent="0.2">
      <c r="A33" s="34" t="s">
        <v>41</v>
      </c>
      <c r="B33" s="34"/>
      <c r="C33" s="34"/>
      <c r="D33" s="34"/>
      <c r="E33" s="34"/>
      <c r="F33" s="34"/>
      <c r="G33" s="34"/>
      <c r="H33" s="34"/>
    </row>
    <row r="34" spans="1:11" x14ac:dyDescent="0.2">
      <c r="A34" s="9" t="s">
        <v>846</v>
      </c>
      <c r="B34" s="9" t="s">
        <v>847</v>
      </c>
      <c r="C34" s="9" t="s">
        <v>1687</v>
      </c>
      <c r="D34" s="9" t="str">
        <f>"0,6510"</f>
        <v>0,6510</v>
      </c>
      <c r="E34" s="9" t="s">
        <v>20</v>
      </c>
      <c r="F34" s="9" t="s">
        <v>389</v>
      </c>
      <c r="G34" s="10" t="s">
        <v>677</v>
      </c>
      <c r="H34" s="10" t="s">
        <v>1688</v>
      </c>
      <c r="I34" s="22" t="str">
        <f>"2422,5"</f>
        <v>2422,5</v>
      </c>
      <c r="J34" s="23" t="str">
        <f>"2241,1565"</f>
        <v>2241,1565</v>
      </c>
      <c r="K34" s="9" t="s">
        <v>390</v>
      </c>
    </row>
    <row r="35" spans="1:11" x14ac:dyDescent="0.2">
      <c r="A35" s="15" t="s">
        <v>849</v>
      </c>
      <c r="B35" s="15" t="s">
        <v>850</v>
      </c>
      <c r="C35" s="15" t="s">
        <v>851</v>
      </c>
      <c r="D35" s="15" t="str">
        <f>"0,6687"</f>
        <v>0,6687</v>
      </c>
      <c r="E35" s="15" t="s">
        <v>20</v>
      </c>
      <c r="F35" s="15" t="s">
        <v>389</v>
      </c>
      <c r="G35" s="16" t="s">
        <v>119</v>
      </c>
      <c r="H35" s="16" t="s">
        <v>1689</v>
      </c>
      <c r="I35" s="26" t="str">
        <f>"2440,0"</f>
        <v>2440,0</v>
      </c>
      <c r="J35" s="27" t="str">
        <f>"2571,6380"</f>
        <v>2571,6380</v>
      </c>
      <c r="K35" s="15" t="s">
        <v>390</v>
      </c>
    </row>
    <row r="37" spans="1:11" ht="15" x14ac:dyDescent="0.2">
      <c r="A37" s="34" t="s">
        <v>201</v>
      </c>
      <c r="B37" s="34"/>
      <c r="C37" s="34"/>
      <c r="D37" s="34"/>
      <c r="E37" s="34"/>
      <c r="F37" s="34"/>
      <c r="G37" s="34"/>
      <c r="H37" s="34"/>
    </row>
    <row r="38" spans="1:11" x14ac:dyDescent="0.2">
      <c r="A38" s="6" t="s">
        <v>1690</v>
      </c>
      <c r="B38" s="6" t="s">
        <v>901</v>
      </c>
      <c r="C38" s="6" t="s">
        <v>902</v>
      </c>
      <c r="D38" s="6" t="str">
        <f>"0,6122"</f>
        <v>0,6122</v>
      </c>
      <c r="E38" s="6" t="s">
        <v>20</v>
      </c>
      <c r="F38" s="6" t="s">
        <v>33</v>
      </c>
      <c r="G38" s="7" t="s">
        <v>120</v>
      </c>
      <c r="H38" s="7" t="s">
        <v>175</v>
      </c>
      <c r="I38" s="20" t="str">
        <f>"2700,0"</f>
        <v>2700,0</v>
      </c>
      <c r="J38" s="21" t="str">
        <f>"2349,0195"</f>
        <v>2349,0195</v>
      </c>
      <c r="K38" s="6" t="s">
        <v>903</v>
      </c>
    </row>
    <row r="40" spans="1:11" ht="15" x14ac:dyDescent="0.2">
      <c r="A40" s="34" t="s">
        <v>131</v>
      </c>
      <c r="B40" s="34"/>
      <c r="C40" s="34"/>
      <c r="D40" s="34"/>
      <c r="E40" s="34"/>
      <c r="F40" s="34"/>
      <c r="G40" s="34"/>
      <c r="H40" s="34"/>
    </row>
    <row r="41" spans="1:11" x14ac:dyDescent="0.2">
      <c r="A41" s="6" t="s">
        <v>1692</v>
      </c>
      <c r="B41" s="6" t="s">
        <v>1693</v>
      </c>
      <c r="C41" s="6" t="s">
        <v>1694</v>
      </c>
      <c r="D41" s="6" t="str">
        <f>"0,6036"</f>
        <v>0,6036</v>
      </c>
      <c r="E41" s="6" t="s">
        <v>20</v>
      </c>
      <c r="F41" s="6" t="s">
        <v>1407</v>
      </c>
      <c r="G41" s="7" t="s">
        <v>268</v>
      </c>
      <c r="H41" s="7" t="s">
        <v>117</v>
      </c>
      <c r="I41" s="20" t="str">
        <f>"3562,5"</f>
        <v>3562,5</v>
      </c>
      <c r="J41" s="21" t="str">
        <f>"2150,5030"</f>
        <v>2150,5030</v>
      </c>
      <c r="K41" s="6" t="s">
        <v>1409</v>
      </c>
    </row>
    <row r="43" spans="1:11" ht="15" x14ac:dyDescent="0.2">
      <c r="E43" s="18" t="s">
        <v>80</v>
      </c>
    </row>
    <row r="44" spans="1:11" ht="15" x14ac:dyDescent="0.2">
      <c r="E44" s="18" t="s">
        <v>81</v>
      </c>
    </row>
    <row r="45" spans="1:11" ht="15" x14ac:dyDescent="0.2">
      <c r="E45" s="18" t="s">
        <v>82</v>
      </c>
    </row>
    <row r="46" spans="1:11" ht="15" x14ac:dyDescent="0.2">
      <c r="E46" s="18" t="s">
        <v>83</v>
      </c>
    </row>
    <row r="47" spans="1:11" ht="15" x14ac:dyDescent="0.2">
      <c r="E47" s="18" t="s">
        <v>83</v>
      </c>
    </row>
    <row r="48" spans="1:11" ht="15" x14ac:dyDescent="0.2">
      <c r="E48" s="18" t="s">
        <v>84</v>
      </c>
    </row>
    <row r="49" spans="1:5" ht="15" x14ac:dyDescent="0.2">
      <c r="E49" s="18"/>
    </row>
    <row r="51" spans="1:5" ht="18" x14ac:dyDescent="0.25">
      <c r="A51" s="28" t="s">
        <v>85</v>
      </c>
      <c r="B51" s="28"/>
    </row>
    <row r="52" spans="1:5" ht="15" x14ac:dyDescent="0.2">
      <c r="A52" s="29" t="s">
        <v>86</v>
      </c>
      <c r="B52" s="29"/>
    </row>
    <row r="53" spans="1:5" ht="14.25" x14ac:dyDescent="0.2">
      <c r="A53" s="31"/>
      <c r="B53" s="32" t="s">
        <v>1035</v>
      </c>
    </row>
    <row r="54" spans="1:5" ht="15" x14ac:dyDescent="0.2">
      <c r="A54" s="33" t="s">
        <v>88</v>
      </c>
      <c r="B54" s="33" t="s">
        <v>89</v>
      </c>
      <c r="C54" s="33" t="s">
        <v>90</v>
      </c>
      <c r="D54" s="33" t="s">
        <v>549</v>
      </c>
      <c r="E54" s="33" t="s">
        <v>1466</v>
      </c>
    </row>
    <row r="55" spans="1:5" x14ac:dyDescent="0.2">
      <c r="A55" s="30" t="s">
        <v>644</v>
      </c>
      <c r="B55" s="4" t="s">
        <v>99</v>
      </c>
      <c r="C55" s="4" t="s">
        <v>359</v>
      </c>
      <c r="D55" s="4" t="s">
        <v>1695</v>
      </c>
      <c r="E55" s="19" t="s">
        <v>1696</v>
      </c>
    </row>
    <row r="57" spans="1:5" ht="14.25" x14ac:dyDescent="0.2">
      <c r="A57" s="31"/>
      <c r="B57" s="32" t="s">
        <v>103</v>
      </c>
    </row>
    <row r="58" spans="1:5" ht="15" x14ac:dyDescent="0.2">
      <c r="A58" s="33" t="s">
        <v>88</v>
      </c>
      <c r="B58" s="33" t="s">
        <v>89</v>
      </c>
      <c r="C58" s="33" t="s">
        <v>90</v>
      </c>
      <c r="D58" s="33" t="s">
        <v>549</v>
      </c>
      <c r="E58" s="33" t="s">
        <v>1466</v>
      </c>
    </row>
    <row r="59" spans="1:5" x14ac:dyDescent="0.2">
      <c r="A59" s="30" t="s">
        <v>1677</v>
      </c>
      <c r="B59" s="4" t="s">
        <v>103</v>
      </c>
      <c r="C59" s="4" t="s">
        <v>100</v>
      </c>
      <c r="D59" s="4" t="s">
        <v>1697</v>
      </c>
      <c r="E59" s="19" t="s">
        <v>1698</v>
      </c>
    </row>
    <row r="60" spans="1:5" x14ac:dyDescent="0.2">
      <c r="A60" s="30" t="s">
        <v>1663</v>
      </c>
      <c r="B60" s="4" t="s">
        <v>103</v>
      </c>
      <c r="C60" s="4" t="s">
        <v>1039</v>
      </c>
      <c r="D60" s="4" t="s">
        <v>1699</v>
      </c>
      <c r="E60" s="19" t="s">
        <v>1700</v>
      </c>
    </row>
    <row r="61" spans="1:5" x14ac:dyDescent="0.2">
      <c r="A61" s="30" t="s">
        <v>1682</v>
      </c>
      <c r="B61" s="4" t="s">
        <v>103</v>
      </c>
      <c r="C61" s="4" t="s">
        <v>100</v>
      </c>
      <c r="D61" s="4" t="s">
        <v>1701</v>
      </c>
      <c r="E61" s="19" t="s">
        <v>1702</v>
      </c>
    </row>
    <row r="62" spans="1:5" x14ac:dyDescent="0.2">
      <c r="A62" s="30" t="s">
        <v>689</v>
      </c>
      <c r="B62" s="4" t="s">
        <v>103</v>
      </c>
      <c r="C62" s="4" t="s">
        <v>356</v>
      </c>
      <c r="D62" s="4" t="s">
        <v>1639</v>
      </c>
      <c r="E62" s="19" t="s">
        <v>1703</v>
      </c>
    </row>
    <row r="63" spans="1:5" x14ac:dyDescent="0.2">
      <c r="A63" s="30" t="s">
        <v>678</v>
      </c>
      <c r="B63" s="4" t="s">
        <v>103</v>
      </c>
      <c r="C63" s="4" t="s">
        <v>352</v>
      </c>
      <c r="D63" s="4" t="s">
        <v>254</v>
      </c>
      <c r="E63" s="19" t="s">
        <v>1704</v>
      </c>
    </row>
    <row r="64" spans="1:5" x14ac:dyDescent="0.2">
      <c r="A64" s="30" t="s">
        <v>683</v>
      </c>
      <c r="B64" s="4" t="s">
        <v>103</v>
      </c>
      <c r="C64" s="4" t="s">
        <v>352</v>
      </c>
      <c r="D64" s="4" t="s">
        <v>1705</v>
      </c>
      <c r="E64" s="19" t="s">
        <v>1706</v>
      </c>
    </row>
    <row r="66" spans="1:5" ht="14.25" x14ac:dyDescent="0.2">
      <c r="A66" s="31"/>
      <c r="B66" s="32" t="s">
        <v>87</v>
      </c>
    </row>
    <row r="67" spans="1:5" ht="15" x14ac:dyDescent="0.2">
      <c r="A67" s="33" t="s">
        <v>88</v>
      </c>
      <c r="B67" s="33" t="s">
        <v>89</v>
      </c>
      <c r="C67" s="33" t="s">
        <v>90</v>
      </c>
      <c r="D67" s="33" t="s">
        <v>549</v>
      </c>
      <c r="E67" s="33" t="s">
        <v>1466</v>
      </c>
    </row>
    <row r="68" spans="1:5" x14ac:dyDescent="0.2">
      <c r="A68" s="30" t="s">
        <v>710</v>
      </c>
      <c r="B68" s="4" t="s">
        <v>109</v>
      </c>
      <c r="C68" s="4" t="s">
        <v>94</v>
      </c>
      <c r="D68" s="4" t="s">
        <v>1707</v>
      </c>
      <c r="E68" s="19" t="s">
        <v>1708</v>
      </c>
    </row>
    <row r="69" spans="1:5" x14ac:dyDescent="0.2">
      <c r="A69" s="30" t="s">
        <v>1670</v>
      </c>
      <c r="B69" s="4" t="s">
        <v>93</v>
      </c>
      <c r="C69" s="4" t="s">
        <v>356</v>
      </c>
      <c r="D69" s="4" t="s">
        <v>1709</v>
      </c>
      <c r="E69" s="19" t="s">
        <v>1710</v>
      </c>
    </row>
    <row r="70" spans="1:5" x14ac:dyDescent="0.2">
      <c r="A70" s="30" t="s">
        <v>673</v>
      </c>
      <c r="B70" s="4" t="s">
        <v>93</v>
      </c>
      <c r="C70" s="4" t="s">
        <v>1039</v>
      </c>
      <c r="D70" s="4" t="s">
        <v>1711</v>
      </c>
      <c r="E70" s="19" t="s">
        <v>1712</v>
      </c>
    </row>
    <row r="73" spans="1:5" ht="15" x14ac:dyDescent="0.2">
      <c r="A73" s="29" t="s">
        <v>97</v>
      </c>
      <c r="B73" s="29"/>
    </row>
    <row r="74" spans="1:5" ht="14.25" x14ac:dyDescent="0.2">
      <c r="A74" s="31"/>
      <c r="B74" s="32" t="s">
        <v>148</v>
      </c>
    </row>
    <row r="75" spans="1:5" ht="15" x14ac:dyDescent="0.2">
      <c r="A75" s="33" t="s">
        <v>88</v>
      </c>
      <c r="B75" s="33" t="s">
        <v>89</v>
      </c>
      <c r="C75" s="33" t="s">
        <v>90</v>
      </c>
      <c r="D75" s="33" t="s">
        <v>549</v>
      </c>
      <c r="E75" s="33" t="s">
        <v>1466</v>
      </c>
    </row>
    <row r="76" spans="1:5" x14ac:dyDescent="0.2">
      <c r="A76" s="30" t="s">
        <v>1691</v>
      </c>
      <c r="B76" s="4" t="s">
        <v>149</v>
      </c>
      <c r="C76" s="4" t="s">
        <v>152</v>
      </c>
      <c r="D76" s="4" t="s">
        <v>1713</v>
      </c>
      <c r="E76" s="19" t="s">
        <v>1714</v>
      </c>
    </row>
    <row r="77" spans="1:5" x14ac:dyDescent="0.2">
      <c r="A77" s="30" t="s">
        <v>748</v>
      </c>
      <c r="B77" s="4" t="s">
        <v>149</v>
      </c>
      <c r="C77" s="4" t="s">
        <v>94</v>
      </c>
      <c r="D77" s="4" t="s">
        <v>1715</v>
      </c>
      <c r="E77" s="19" t="s">
        <v>1716</v>
      </c>
    </row>
    <row r="78" spans="1:5" x14ac:dyDescent="0.2">
      <c r="A78" s="30" t="s">
        <v>729</v>
      </c>
      <c r="B78" s="4" t="s">
        <v>149</v>
      </c>
      <c r="C78" s="4" t="s">
        <v>1039</v>
      </c>
      <c r="D78" s="4" t="s">
        <v>1717</v>
      </c>
      <c r="E78" s="19" t="s">
        <v>1718</v>
      </c>
    </row>
    <row r="80" spans="1:5" ht="14.25" x14ac:dyDescent="0.2">
      <c r="A80" s="31"/>
      <c r="B80" s="32" t="s">
        <v>87</v>
      </c>
    </row>
    <row r="81" spans="1:5" ht="15" x14ac:dyDescent="0.2">
      <c r="A81" s="33" t="s">
        <v>88</v>
      </c>
      <c r="B81" s="33" t="s">
        <v>89</v>
      </c>
      <c r="C81" s="33" t="s">
        <v>90</v>
      </c>
      <c r="D81" s="33" t="s">
        <v>549</v>
      </c>
      <c r="E81" s="33" t="s">
        <v>1466</v>
      </c>
    </row>
    <row r="82" spans="1:5" x14ac:dyDescent="0.2">
      <c r="A82" s="30" t="s">
        <v>848</v>
      </c>
      <c r="B82" s="4" t="s">
        <v>1083</v>
      </c>
      <c r="C82" s="4" t="s">
        <v>100</v>
      </c>
      <c r="D82" s="4" t="s">
        <v>1719</v>
      </c>
      <c r="E82" s="19" t="s">
        <v>1720</v>
      </c>
    </row>
    <row r="83" spans="1:5" x14ac:dyDescent="0.2">
      <c r="A83" s="30" t="s">
        <v>899</v>
      </c>
      <c r="B83" s="4" t="s">
        <v>568</v>
      </c>
      <c r="C83" s="4" t="s">
        <v>248</v>
      </c>
      <c r="D83" s="4" t="s">
        <v>1721</v>
      </c>
      <c r="E83" s="19" t="s">
        <v>1722</v>
      </c>
    </row>
    <row r="84" spans="1:5" x14ac:dyDescent="0.2">
      <c r="A84" s="30" t="s">
        <v>845</v>
      </c>
      <c r="B84" s="4" t="s">
        <v>568</v>
      </c>
      <c r="C84" s="4" t="s">
        <v>100</v>
      </c>
      <c r="D84" s="4" t="s">
        <v>1723</v>
      </c>
      <c r="E84" s="19" t="s">
        <v>1724</v>
      </c>
    </row>
  </sheetData>
  <mergeCells count="2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  <mergeCell ref="A30:H30"/>
    <mergeCell ref="A33:H33"/>
    <mergeCell ref="A37:H37"/>
    <mergeCell ref="A40:H40"/>
    <mergeCell ref="A8:H8"/>
    <mergeCell ref="A12:H12"/>
    <mergeCell ref="A16:H16"/>
    <mergeCell ref="A20:H20"/>
    <mergeCell ref="A23:H23"/>
    <mergeCell ref="A27:H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48"/>
  <sheetViews>
    <sheetView workbookViewId="0">
      <selection activeCell="A5" sqref="A5:R5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8.42578125" style="4" bestFit="1" customWidth="1"/>
    <col min="5" max="5" width="22.7109375" style="4" bestFit="1" customWidth="1"/>
    <col min="6" max="6" width="31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9" bestFit="1" customWidth="1"/>
    <col min="20" max="20" width="8.5703125" style="2" bestFit="1" customWidth="1"/>
    <col min="21" max="21" width="13.140625" style="4" bestFit="1" customWidth="1"/>
    <col min="22" max="16384" width="9.140625" style="3"/>
  </cols>
  <sheetData>
    <row r="1" spans="1:21" s="2" customFormat="1" ht="29.1" customHeight="1" x14ac:dyDescent="0.2">
      <c r="A1" s="41" t="s">
        <v>1727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11</v>
      </c>
      <c r="E3" s="35" t="s">
        <v>4</v>
      </c>
      <c r="F3" s="35" t="s">
        <v>7</v>
      </c>
      <c r="G3" s="35" t="s">
        <v>12</v>
      </c>
      <c r="H3" s="35"/>
      <c r="I3" s="35"/>
      <c r="J3" s="35"/>
      <c r="K3" s="35" t="s">
        <v>13</v>
      </c>
      <c r="L3" s="35"/>
      <c r="M3" s="35"/>
      <c r="N3" s="35"/>
      <c r="O3" s="35" t="s">
        <v>14</v>
      </c>
      <c r="P3" s="35"/>
      <c r="Q3" s="35"/>
      <c r="R3" s="35"/>
      <c r="S3" s="35" t="s">
        <v>1</v>
      </c>
      <c r="T3" s="35" t="s">
        <v>3</v>
      </c>
      <c r="U3" s="37" t="s">
        <v>2</v>
      </c>
    </row>
    <row r="4" spans="1:21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6"/>
      <c r="T4" s="36"/>
      <c r="U4" s="38"/>
    </row>
    <row r="5" spans="1:21" ht="15" x14ac:dyDescent="0.2">
      <c r="A5" s="39" t="s">
        <v>15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 x14ac:dyDescent="0.2">
      <c r="A6" s="6" t="s">
        <v>17</v>
      </c>
      <c r="B6" s="6" t="s">
        <v>18</v>
      </c>
      <c r="C6" s="6" t="s">
        <v>19</v>
      </c>
      <c r="D6" s="6" t="str">
        <f>"1,0317"</f>
        <v>1,0317</v>
      </c>
      <c r="E6" s="6" t="s">
        <v>20</v>
      </c>
      <c r="F6" s="6" t="s">
        <v>21</v>
      </c>
      <c r="G6" s="7" t="s">
        <v>22</v>
      </c>
      <c r="H6" s="7" t="s">
        <v>23</v>
      </c>
      <c r="I6" s="8" t="s">
        <v>24</v>
      </c>
      <c r="J6" s="8"/>
      <c r="K6" s="7" t="s">
        <v>25</v>
      </c>
      <c r="L6" s="7" t="s">
        <v>26</v>
      </c>
      <c r="M6" s="7" t="s">
        <v>27</v>
      </c>
      <c r="N6" s="8"/>
      <c r="O6" s="7" t="s">
        <v>22</v>
      </c>
      <c r="P6" s="7" t="s">
        <v>23</v>
      </c>
      <c r="Q6" s="7" t="s">
        <v>24</v>
      </c>
      <c r="R6" s="8"/>
      <c r="S6" s="20" t="str">
        <f>"410,0"</f>
        <v>410,0</v>
      </c>
      <c r="T6" s="21" t="str">
        <f>"485,1776"</f>
        <v>485,1776</v>
      </c>
      <c r="U6" s="6" t="s">
        <v>28</v>
      </c>
    </row>
    <row r="8" spans="1:21" ht="15" x14ac:dyDescent="0.2">
      <c r="A8" s="34" t="s">
        <v>29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21" x14ac:dyDescent="0.2">
      <c r="A9" s="6" t="s">
        <v>30</v>
      </c>
      <c r="B9" s="6" t="s">
        <v>31</v>
      </c>
      <c r="C9" s="6" t="s">
        <v>32</v>
      </c>
      <c r="D9" s="6" t="str">
        <f>"0,7132"</f>
        <v>0,7132</v>
      </c>
      <c r="E9" s="6" t="s">
        <v>20</v>
      </c>
      <c r="F9" s="6" t="s">
        <v>33</v>
      </c>
      <c r="G9" s="7" t="s">
        <v>34</v>
      </c>
      <c r="H9" s="8" t="s">
        <v>35</v>
      </c>
      <c r="I9" s="8" t="s">
        <v>35</v>
      </c>
      <c r="J9" s="8"/>
      <c r="K9" s="7" t="s">
        <v>36</v>
      </c>
      <c r="L9" s="7" t="s">
        <v>37</v>
      </c>
      <c r="M9" s="8" t="s">
        <v>38</v>
      </c>
      <c r="N9" s="8"/>
      <c r="O9" s="8" t="s">
        <v>39</v>
      </c>
      <c r="P9" s="8" t="s">
        <v>39</v>
      </c>
      <c r="Q9" s="8" t="s">
        <v>39</v>
      </c>
      <c r="R9" s="8"/>
      <c r="S9" s="20" t="str">
        <f>"0.00"</f>
        <v>0.00</v>
      </c>
      <c r="T9" s="21" t="str">
        <f>"0,0000"</f>
        <v>0,0000</v>
      </c>
      <c r="U9" s="6" t="s">
        <v>40</v>
      </c>
    </row>
    <row r="11" spans="1:21" ht="15" x14ac:dyDescent="0.2">
      <c r="A11" s="34" t="s">
        <v>41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21" x14ac:dyDescent="0.2">
      <c r="A12" s="9" t="s">
        <v>43</v>
      </c>
      <c r="B12" s="9" t="s">
        <v>44</v>
      </c>
      <c r="C12" s="9" t="s">
        <v>45</v>
      </c>
      <c r="D12" s="9" t="str">
        <f>"0,6779"</f>
        <v>0,6779</v>
      </c>
      <c r="E12" s="9" t="s">
        <v>20</v>
      </c>
      <c r="F12" s="9" t="s">
        <v>46</v>
      </c>
      <c r="G12" s="10" t="s">
        <v>47</v>
      </c>
      <c r="H12" s="10" t="s">
        <v>48</v>
      </c>
      <c r="I12" s="10" t="s">
        <v>49</v>
      </c>
      <c r="J12" s="11"/>
      <c r="K12" s="10" t="s">
        <v>50</v>
      </c>
      <c r="L12" s="11" t="s">
        <v>34</v>
      </c>
      <c r="M12" s="11" t="s">
        <v>34</v>
      </c>
      <c r="N12" s="11"/>
      <c r="O12" s="10" t="s">
        <v>51</v>
      </c>
      <c r="P12" s="10" t="s">
        <v>52</v>
      </c>
      <c r="Q12" s="11"/>
      <c r="R12" s="11"/>
      <c r="S12" s="22" t="str">
        <f>"670,0"</f>
        <v>670,0</v>
      </c>
      <c r="T12" s="23" t="str">
        <f>"454,1930"</f>
        <v>454,1930</v>
      </c>
      <c r="U12" s="9" t="s">
        <v>53</v>
      </c>
    </row>
    <row r="13" spans="1:21" x14ac:dyDescent="0.2">
      <c r="A13" s="12" t="s">
        <v>55</v>
      </c>
      <c r="B13" s="12" t="s">
        <v>56</v>
      </c>
      <c r="C13" s="12" t="s">
        <v>57</v>
      </c>
      <c r="D13" s="12" t="str">
        <f>"0,6764"</f>
        <v>0,6764</v>
      </c>
      <c r="E13" s="12" t="s">
        <v>20</v>
      </c>
      <c r="F13" s="12" t="s">
        <v>58</v>
      </c>
      <c r="G13" s="13" t="s">
        <v>49</v>
      </c>
      <c r="H13" s="14" t="s">
        <v>49</v>
      </c>
      <c r="I13" s="14" t="s">
        <v>59</v>
      </c>
      <c r="J13" s="13"/>
      <c r="K13" s="13" t="s">
        <v>60</v>
      </c>
      <c r="L13" s="14" t="s">
        <v>60</v>
      </c>
      <c r="M13" s="13" t="s">
        <v>61</v>
      </c>
      <c r="N13" s="13"/>
      <c r="O13" s="13" t="s">
        <v>51</v>
      </c>
      <c r="P13" s="14" t="s">
        <v>52</v>
      </c>
      <c r="Q13" s="14" t="s">
        <v>62</v>
      </c>
      <c r="R13" s="13"/>
      <c r="S13" s="24" t="str">
        <f>"692,5"</f>
        <v>692,5</v>
      </c>
      <c r="T13" s="25" t="str">
        <f>"468,4070"</f>
        <v>468,4070</v>
      </c>
      <c r="U13" s="12" t="s">
        <v>63</v>
      </c>
    </row>
    <row r="14" spans="1:21" x14ac:dyDescent="0.2">
      <c r="A14" s="15" t="s">
        <v>64</v>
      </c>
      <c r="B14" s="15" t="s">
        <v>65</v>
      </c>
      <c r="C14" s="15" t="s">
        <v>45</v>
      </c>
      <c r="D14" s="15" t="str">
        <f>"0,6779"</f>
        <v>0,6779</v>
      </c>
      <c r="E14" s="15" t="s">
        <v>20</v>
      </c>
      <c r="F14" s="15" t="s">
        <v>46</v>
      </c>
      <c r="G14" s="16" t="s">
        <v>47</v>
      </c>
      <c r="H14" s="16" t="s">
        <v>48</v>
      </c>
      <c r="I14" s="16" t="s">
        <v>49</v>
      </c>
      <c r="J14" s="17"/>
      <c r="K14" s="16" t="s">
        <v>50</v>
      </c>
      <c r="L14" s="17" t="s">
        <v>34</v>
      </c>
      <c r="M14" s="17" t="s">
        <v>34</v>
      </c>
      <c r="N14" s="17"/>
      <c r="O14" s="16" t="s">
        <v>51</v>
      </c>
      <c r="P14" s="16" t="s">
        <v>52</v>
      </c>
      <c r="Q14" s="17"/>
      <c r="R14" s="17"/>
      <c r="S14" s="26" t="str">
        <f>"670,0"</f>
        <v>670,0</v>
      </c>
      <c r="T14" s="27" t="str">
        <f>"454,1930"</f>
        <v>454,1930</v>
      </c>
      <c r="U14" s="15" t="s">
        <v>53</v>
      </c>
    </row>
    <row r="16" spans="1:21" ht="15" x14ac:dyDescent="0.2">
      <c r="A16" s="34" t="s">
        <v>66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21" x14ac:dyDescent="0.2">
      <c r="A17" s="9" t="s">
        <v>68</v>
      </c>
      <c r="B17" s="9" t="s">
        <v>69</v>
      </c>
      <c r="C17" s="9" t="s">
        <v>70</v>
      </c>
      <c r="D17" s="9" t="str">
        <f>"0,5912"</f>
        <v>0,5912</v>
      </c>
      <c r="E17" s="9" t="s">
        <v>20</v>
      </c>
      <c r="F17" s="9" t="s">
        <v>33</v>
      </c>
      <c r="G17" s="10" t="s">
        <v>71</v>
      </c>
      <c r="H17" s="11" t="s">
        <v>72</v>
      </c>
      <c r="I17" s="10" t="s">
        <v>72</v>
      </c>
      <c r="J17" s="11"/>
      <c r="K17" s="10" t="s">
        <v>73</v>
      </c>
      <c r="L17" s="10" t="s">
        <v>74</v>
      </c>
      <c r="M17" s="10" t="s">
        <v>75</v>
      </c>
      <c r="N17" s="11"/>
      <c r="O17" s="10" t="s">
        <v>76</v>
      </c>
      <c r="P17" s="10" t="s">
        <v>77</v>
      </c>
      <c r="Q17" s="11" t="s">
        <v>78</v>
      </c>
      <c r="R17" s="11"/>
      <c r="S17" s="22" t="str">
        <f>"820,0"</f>
        <v>820,0</v>
      </c>
      <c r="T17" s="23" t="str">
        <f>"484,7840"</f>
        <v>484,7840</v>
      </c>
      <c r="U17" s="9" t="s">
        <v>28</v>
      </c>
    </row>
    <row r="18" spans="1:21" x14ac:dyDescent="0.2">
      <c r="A18" s="15" t="s">
        <v>68</v>
      </c>
      <c r="B18" s="15" t="s">
        <v>79</v>
      </c>
      <c r="C18" s="15" t="s">
        <v>70</v>
      </c>
      <c r="D18" s="15" t="str">
        <f>"0,5912"</f>
        <v>0,5912</v>
      </c>
      <c r="E18" s="15" t="s">
        <v>20</v>
      </c>
      <c r="F18" s="15" t="s">
        <v>33</v>
      </c>
      <c r="G18" s="16" t="s">
        <v>71</v>
      </c>
      <c r="H18" s="17" t="s">
        <v>72</v>
      </c>
      <c r="I18" s="16" t="s">
        <v>72</v>
      </c>
      <c r="J18" s="17"/>
      <c r="K18" s="16" t="s">
        <v>73</v>
      </c>
      <c r="L18" s="16" t="s">
        <v>74</v>
      </c>
      <c r="M18" s="16" t="s">
        <v>75</v>
      </c>
      <c r="N18" s="17"/>
      <c r="O18" s="16" t="s">
        <v>76</v>
      </c>
      <c r="P18" s="16" t="s">
        <v>77</v>
      </c>
      <c r="Q18" s="17" t="s">
        <v>78</v>
      </c>
      <c r="R18" s="17"/>
      <c r="S18" s="26" t="str">
        <f>"820,0"</f>
        <v>820,0</v>
      </c>
      <c r="T18" s="27" t="str">
        <f>"489,6318"</f>
        <v>489,6318</v>
      </c>
      <c r="U18" s="15" t="s">
        <v>28</v>
      </c>
    </row>
    <row r="20" spans="1:21" ht="15" x14ac:dyDescent="0.2">
      <c r="E20" s="18" t="s">
        <v>80</v>
      </c>
    </row>
    <row r="21" spans="1:21" ht="15" x14ac:dyDescent="0.2">
      <c r="E21" s="18" t="s">
        <v>81</v>
      </c>
    </row>
    <row r="22" spans="1:21" ht="15" x14ac:dyDescent="0.2">
      <c r="E22" s="18" t="s">
        <v>82</v>
      </c>
    </row>
    <row r="23" spans="1:21" ht="15" x14ac:dyDescent="0.2">
      <c r="E23" s="18" t="s">
        <v>83</v>
      </c>
    </row>
    <row r="24" spans="1:21" ht="15" x14ac:dyDescent="0.2">
      <c r="E24" s="18" t="s">
        <v>83</v>
      </c>
    </row>
    <row r="25" spans="1:21" ht="15" x14ac:dyDescent="0.2">
      <c r="E25" s="18" t="s">
        <v>84</v>
      </c>
    </row>
    <row r="26" spans="1:21" ht="15" x14ac:dyDescent="0.2">
      <c r="E26" s="18"/>
    </row>
    <row r="28" spans="1:21" ht="18" x14ac:dyDescent="0.25">
      <c r="A28" s="28" t="s">
        <v>85</v>
      </c>
      <c r="B28" s="28"/>
    </row>
    <row r="29" spans="1:21" ht="15" x14ac:dyDescent="0.2">
      <c r="A29" s="29" t="s">
        <v>86</v>
      </c>
      <c r="B29" s="29"/>
    </row>
    <row r="30" spans="1:21" ht="14.25" x14ac:dyDescent="0.2">
      <c r="A30" s="31"/>
      <c r="B30" s="32" t="s">
        <v>87</v>
      </c>
    </row>
    <row r="31" spans="1:21" ht="15" x14ac:dyDescent="0.2">
      <c r="A31" s="33" t="s">
        <v>88</v>
      </c>
      <c r="B31" s="33" t="s">
        <v>89</v>
      </c>
      <c r="C31" s="33" t="s">
        <v>90</v>
      </c>
      <c r="D31" s="33" t="s">
        <v>91</v>
      </c>
      <c r="E31" s="33" t="s">
        <v>92</v>
      </c>
    </row>
    <row r="32" spans="1:21" x14ac:dyDescent="0.2">
      <c r="A32" s="30" t="s">
        <v>16</v>
      </c>
      <c r="B32" s="4" t="s">
        <v>93</v>
      </c>
      <c r="C32" s="4" t="s">
        <v>94</v>
      </c>
      <c r="D32" s="4" t="s">
        <v>95</v>
      </c>
      <c r="E32" s="19" t="s">
        <v>96</v>
      </c>
    </row>
    <row r="35" spans="1:5" ht="15" x14ac:dyDescent="0.2">
      <c r="A35" s="29" t="s">
        <v>97</v>
      </c>
      <c r="B35" s="29"/>
    </row>
    <row r="36" spans="1:5" ht="14.25" x14ac:dyDescent="0.2">
      <c r="A36" s="31"/>
      <c r="B36" s="32" t="s">
        <v>98</v>
      </c>
    </row>
    <row r="37" spans="1:5" ht="15" x14ac:dyDescent="0.2">
      <c r="A37" s="33" t="s">
        <v>88</v>
      </c>
      <c r="B37" s="33" t="s">
        <v>89</v>
      </c>
      <c r="C37" s="33" t="s">
        <v>90</v>
      </c>
      <c r="D37" s="33" t="s">
        <v>91</v>
      </c>
      <c r="E37" s="33" t="s">
        <v>92</v>
      </c>
    </row>
    <row r="38" spans="1:5" x14ac:dyDescent="0.2">
      <c r="A38" s="30" t="s">
        <v>42</v>
      </c>
      <c r="B38" s="4" t="s">
        <v>99</v>
      </c>
      <c r="C38" s="4" t="s">
        <v>100</v>
      </c>
      <c r="D38" s="4" t="s">
        <v>101</v>
      </c>
      <c r="E38" s="19" t="s">
        <v>102</v>
      </c>
    </row>
    <row r="40" spans="1:5" ht="14.25" x14ac:dyDescent="0.2">
      <c r="A40" s="31"/>
      <c r="B40" s="32" t="s">
        <v>103</v>
      </c>
    </row>
    <row r="41" spans="1:5" ht="15" x14ac:dyDescent="0.2">
      <c r="A41" s="33" t="s">
        <v>88</v>
      </c>
      <c r="B41" s="33" t="s">
        <v>89</v>
      </c>
      <c r="C41" s="33" t="s">
        <v>90</v>
      </c>
      <c r="D41" s="33" t="s">
        <v>91</v>
      </c>
      <c r="E41" s="33" t="s">
        <v>92</v>
      </c>
    </row>
    <row r="42" spans="1:5" x14ac:dyDescent="0.2">
      <c r="A42" s="30" t="s">
        <v>67</v>
      </c>
      <c r="B42" s="4" t="s">
        <v>103</v>
      </c>
      <c r="C42" s="4" t="s">
        <v>104</v>
      </c>
      <c r="D42" s="4" t="s">
        <v>105</v>
      </c>
      <c r="E42" s="19" t="s">
        <v>106</v>
      </c>
    </row>
    <row r="43" spans="1:5" x14ac:dyDescent="0.2">
      <c r="A43" s="30" t="s">
        <v>54</v>
      </c>
      <c r="B43" s="4" t="s">
        <v>103</v>
      </c>
      <c r="C43" s="4" t="s">
        <v>100</v>
      </c>
      <c r="D43" s="4" t="s">
        <v>107</v>
      </c>
      <c r="E43" s="19" t="s">
        <v>108</v>
      </c>
    </row>
    <row r="44" spans="1:5" x14ac:dyDescent="0.2">
      <c r="A44" s="30" t="s">
        <v>42</v>
      </c>
      <c r="B44" s="4" t="s">
        <v>103</v>
      </c>
      <c r="C44" s="4" t="s">
        <v>100</v>
      </c>
      <c r="D44" s="4" t="s">
        <v>101</v>
      </c>
      <c r="E44" s="19" t="s">
        <v>102</v>
      </c>
    </row>
    <row r="46" spans="1:5" ht="14.25" x14ac:dyDescent="0.2">
      <c r="A46" s="31"/>
      <c r="B46" s="32" t="s">
        <v>87</v>
      </c>
    </row>
    <row r="47" spans="1:5" ht="15" x14ac:dyDescent="0.2">
      <c r="A47" s="33" t="s">
        <v>88</v>
      </c>
      <c r="B47" s="33" t="s">
        <v>89</v>
      </c>
      <c r="C47" s="33" t="s">
        <v>90</v>
      </c>
      <c r="D47" s="33" t="s">
        <v>91</v>
      </c>
      <c r="E47" s="33" t="s">
        <v>92</v>
      </c>
    </row>
    <row r="48" spans="1:5" x14ac:dyDescent="0.2">
      <c r="A48" s="30" t="s">
        <v>67</v>
      </c>
      <c r="B48" s="4" t="s">
        <v>109</v>
      </c>
      <c r="C48" s="4" t="s">
        <v>104</v>
      </c>
      <c r="D48" s="4" t="s">
        <v>105</v>
      </c>
      <c r="E48" s="19" t="s">
        <v>110</v>
      </c>
    </row>
  </sheetData>
  <mergeCells count="17"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  <mergeCell ref="A5:R5"/>
    <mergeCell ref="A8:R8"/>
    <mergeCell ref="A11:R11"/>
    <mergeCell ref="A16:R16"/>
    <mergeCell ref="D3:D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8.42578125" style="4" bestFit="1" customWidth="1"/>
    <col min="5" max="5" width="22.7109375" style="4" bestFit="1" customWidth="1"/>
    <col min="6" max="6" width="17.285156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9" bestFit="1" customWidth="1"/>
    <col min="20" max="20" width="8.5703125" style="2" bestFit="1" customWidth="1"/>
    <col min="21" max="21" width="33" style="4" bestFit="1" customWidth="1"/>
    <col min="22" max="16384" width="9.140625" style="3"/>
  </cols>
  <sheetData>
    <row r="1" spans="1:21" s="2" customFormat="1" ht="29.1" customHeight="1" x14ac:dyDescent="0.2">
      <c r="A1" s="41" t="s">
        <v>1728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11</v>
      </c>
      <c r="E3" s="35" t="s">
        <v>4</v>
      </c>
      <c r="F3" s="35" t="s">
        <v>7</v>
      </c>
      <c r="G3" s="35" t="s">
        <v>12</v>
      </c>
      <c r="H3" s="35"/>
      <c r="I3" s="35"/>
      <c r="J3" s="35"/>
      <c r="K3" s="35" t="s">
        <v>13</v>
      </c>
      <c r="L3" s="35"/>
      <c r="M3" s="35"/>
      <c r="N3" s="35"/>
      <c r="O3" s="35" t="s">
        <v>14</v>
      </c>
      <c r="P3" s="35"/>
      <c r="Q3" s="35"/>
      <c r="R3" s="35"/>
      <c r="S3" s="35" t="s">
        <v>1</v>
      </c>
      <c r="T3" s="35" t="s">
        <v>3</v>
      </c>
      <c r="U3" s="37" t="s">
        <v>2</v>
      </c>
    </row>
    <row r="4" spans="1:21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6"/>
      <c r="T4" s="36"/>
      <c r="U4" s="38"/>
    </row>
    <row r="5" spans="1:21" ht="15" x14ac:dyDescent="0.2">
      <c r="A5" s="39" t="s">
        <v>41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 x14ac:dyDescent="0.2">
      <c r="A6" s="9" t="s">
        <v>112</v>
      </c>
      <c r="B6" s="9" t="s">
        <v>113</v>
      </c>
      <c r="C6" s="9" t="s">
        <v>114</v>
      </c>
      <c r="D6" s="9" t="str">
        <f>"0,7093"</f>
        <v>0,7093</v>
      </c>
      <c r="E6" s="9" t="s">
        <v>20</v>
      </c>
      <c r="F6" s="9" t="s">
        <v>33</v>
      </c>
      <c r="G6" s="10" t="s">
        <v>115</v>
      </c>
      <c r="H6" s="10" t="s">
        <v>116</v>
      </c>
      <c r="I6" s="10" t="s">
        <v>117</v>
      </c>
      <c r="J6" s="11"/>
      <c r="K6" s="10" t="s">
        <v>118</v>
      </c>
      <c r="L6" s="10" t="s">
        <v>119</v>
      </c>
      <c r="M6" s="11" t="s">
        <v>120</v>
      </c>
      <c r="N6" s="11"/>
      <c r="O6" s="10" t="s">
        <v>117</v>
      </c>
      <c r="P6" s="10" t="s">
        <v>26</v>
      </c>
      <c r="Q6" s="10" t="s">
        <v>27</v>
      </c>
      <c r="R6" s="11"/>
      <c r="S6" s="22" t="str">
        <f>"215,0"</f>
        <v>215,0</v>
      </c>
      <c r="T6" s="23" t="str">
        <f>"152,4995"</f>
        <v>152,4995</v>
      </c>
      <c r="U6" s="9" t="s">
        <v>121</v>
      </c>
    </row>
    <row r="7" spans="1:21" x14ac:dyDescent="0.2">
      <c r="A7" s="15" t="s">
        <v>123</v>
      </c>
      <c r="B7" s="15" t="s">
        <v>124</v>
      </c>
      <c r="C7" s="15" t="s">
        <v>125</v>
      </c>
      <c r="D7" s="15" t="str">
        <f>"0,6729"</f>
        <v>0,6729</v>
      </c>
      <c r="E7" s="15" t="s">
        <v>126</v>
      </c>
      <c r="F7" s="15" t="s">
        <v>33</v>
      </c>
      <c r="G7" s="16" t="s">
        <v>61</v>
      </c>
      <c r="H7" s="16" t="s">
        <v>127</v>
      </c>
      <c r="I7" s="17" t="s">
        <v>39</v>
      </c>
      <c r="J7" s="17"/>
      <c r="K7" s="16" t="s">
        <v>128</v>
      </c>
      <c r="L7" s="16" t="s">
        <v>129</v>
      </c>
      <c r="M7" s="17" t="s">
        <v>23</v>
      </c>
      <c r="N7" s="17"/>
      <c r="O7" s="16" t="s">
        <v>39</v>
      </c>
      <c r="P7" s="16" t="s">
        <v>73</v>
      </c>
      <c r="Q7" s="16" t="s">
        <v>74</v>
      </c>
      <c r="R7" s="17"/>
      <c r="S7" s="26" t="str">
        <f>"560,0"</f>
        <v>560,0</v>
      </c>
      <c r="T7" s="27" t="str">
        <f>"486,4798"</f>
        <v>486,4798</v>
      </c>
      <c r="U7" s="15" t="s">
        <v>130</v>
      </c>
    </row>
    <row r="9" spans="1:21" ht="15" x14ac:dyDescent="0.2">
      <c r="A9" s="34" t="s">
        <v>131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1:21" x14ac:dyDescent="0.2">
      <c r="A10" s="6" t="s">
        <v>133</v>
      </c>
      <c r="B10" s="6" t="s">
        <v>134</v>
      </c>
      <c r="C10" s="6" t="s">
        <v>135</v>
      </c>
      <c r="D10" s="6" t="str">
        <f>"0,6174"</f>
        <v>0,6174</v>
      </c>
      <c r="E10" s="6" t="s">
        <v>20</v>
      </c>
      <c r="F10" s="6" t="s">
        <v>33</v>
      </c>
      <c r="G10" s="7" t="s">
        <v>75</v>
      </c>
      <c r="H10" s="7" t="s">
        <v>48</v>
      </c>
      <c r="I10" s="7" t="s">
        <v>49</v>
      </c>
      <c r="J10" s="8"/>
      <c r="K10" s="7" t="s">
        <v>24</v>
      </c>
      <c r="L10" s="8" t="s">
        <v>34</v>
      </c>
      <c r="M10" s="8" t="s">
        <v>34</v>
      </c>
      <c r="N10" s="8"/>
      <c r="O10" s="7" t="s">
        <v>49</v>
      </c>
      <c r="P10" s="7" t="s">
        <v>52</v>
      </c>
      <c r="Q10" s="8"/>
      <c r="R10" s="8"/>
      <c r="S10" s="20" t="str">
        <f>"665,0"</f>
        <v>665,0</v>
      </c>
      <c r="T10" s="21" t="str">
        <f>"410,5710"</f>
        <v>410,5710</v>
      </c>
      <c r="U10" s="6" t="s">
        <v>136</v>
      </c>
    </row>
    <row r="12" spans="1:21" ht="15" x14ac:dyDescent="0.2">
      <c r="A12" s="34" t="s">
        <v>66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21" x14ac:dyDescent="0.2">
      <c r="A13" s="9" t="s">
        <v>138</v>
      </c>
      <c r="B13" s="9" t="s">
        <v>139</v>
      </c>
      <c r="C13" s="9" t="s">
        <v>140</v>
      </c>
      <c r="D13" s="9" t="str">
        <f>"0,5893"</f>
        <v>0,5893</v>
      </c>
      <c r="E13" s="9" t="s">
        <v>20</v>
      </c>
      <c r="F13" s="9" t="s">
        <v>33</v>
      </c>
      <c r="G13" s="10" t="s">
        <v>141</v>
      </c>
      <c r="H13" s="10" t="s">
        <v>47</v>
      </c>
      <c r="I13" s="11"/>
      <c r="J13" s="11"/>
      <c r="K13" s="10" t="s">
        <v>23</v>
      </c>
      <c r="L13" s="10" t="s">
        <v>24</v>
      </c>
      <c r="M13" s="10" t="s">
        <v>34</v>
      </c>
      <c r="N13" s="11"/>
      <c r="O13" s="10" t="s">
        <v>71</v>
      </c>
      <c r="P13" s="10" t="s">
        <v>72</v>
      </c>
      <c r="Q13" s="11" t="s">
        <v>77</v>
      </c>
      <c r="R13" s="11"/>
      <c r="S13" s="22" t="str">
        <f>"695,0"</f>
        <v>695,0</v>
      </c>
      <c r="T13" s="23" t="str">
        <f>"409,5635"</f>
        <v>409,5635</v>
      </c>
      <c r="U13" s="9" t="s">
        <v>142</v>
      </c>
    </row>
    <row r="14" spans="1:21" x14ac:dyDescent="0.2">
      <c r="A14" s="15" t="s">
        <v>143</v>
      </c>
      <c r="B14" s="15" t="s">
        <v>144</v>
      </c>
      <c r="C14" s="15" t="s">
        <v>145</v>
      </c>
      <c r="D14" s="15" t="str">
        <f>"0,6009"</f>
        <v>0,6009</v>
      </c>
      <c r="E14" s="15" t="s">
        <v>20</v>
      </c>
      <c r="F14" s="15" t="s">
        <v>33</v>
      </c>
      <c r="G14" s="17" t="s">
        <v>71</v>
      </c>
      <c r="H14" s="17"/>
      <c r="I14" s="17"/>
      <c r="J14" s="17"/>
      <c r="K14" s="17" t="s">
        <v>61</v>
      </c>
      <c r="L14" s="17"/>
      <c r="M14" s="17"/>
      <c r="N14" s="17"/>
      <c r="O14" s="17" t="s">
        <v>146</v>
      </c>
      <c r="P14" s="17"/>
      <c r="Q14" s="17"/>
      <c r="R14" s="17"/>
      <c r="S14" s="26" t="str">
        <f>"0.00"</f>
        <v>0.00</v>
      </c>
      <c r="T14" s="27" t="str">
        <f>"0,0000"</f>
        <v>0,0000</v>
      </c>
      <c r="U14" s="15" t="s">
        <v>147</v>
      </c>
    </row>
    <row r="16" spans="1:21" ht="15" x14ac:dyDescent="0.2">
      <c r="E16" s="18" t="s">
        <v>80</v>
      </c>
    </row>
    <row r="17" spans="1:5" ht="15" x14ac:dyDescent="0.2">
      <c r="E17" s="18" t="s">
        <v>81</v>
      </c>
    </row>
    <row r="18" spans="1:5" ht="15" x14ac:dyDescent="0.2">
      <c r="E18" s="18" t="s">
        <v>82</v>
      </c>
    </row>
    <row r="19" spans="1:5" ht="15" x14ac:dyDescent="0.2">
      <c r="E19" s="18" t="s">
        <v>83</v>
      </c>
    </row>
    <row r="20" spans="1:5" ht="15" x14ac:dyDescent="0.2">
      <c r="E20" s="18" t="s">
        <v>83</v>
      </c>
    </row>
    <row r="21" spans="1:5" ht="15" x14ac:dyDescent="0.2">
      <c r="E21" s="18" t="s">
        <v>84</v>
      </c>
    </row>
    <row r="22" spans="1:5" ht="15" x14ac:dyDescent="0.2">
      <c r="E22" s="18"/>
    </row>
    <row r="24" spans="1:5" ht="18" x14ac:dyDescent="0.25">
      <c r="A24" s="28" t="s">
        <v>85</v>
      </c>
      <c r="B24" s="28"/>
    </row>
    <row r="25" spans="1:5" ht="15" x14ac:dyDescent="0.2">
      <c r="A25" s="29" t="s">
        <v>97</v>
      </c>
      <c r="B25" s="29"/>
    </row>
    <row r="26" spans="1:5" ht="14.25" x14ac:dyDescent="0.2">
      <c r="A26" s="31"/>
      <c r="B26" s="32" t="s">
        <v>148</v>
      </c>
    </row>
    <row r="27" spans="1:5" ht="15" x14ac:dyDescent="0.2">
      <c r="A27" s="33" t="s">
        <v>88</v>
      </c>
      <c r="B27" s="33" t="s">
        <v>89</v>
      </c>
      <c r="C27" s="33" t="s">
        <v>90</v>
      </c>
      <c r="D27" s="33" t="s">
        <v>91</v>
      </c>
      <c r="E27" s="33" t="s">
        <v>92</v>
      </c>
    </row>
    <row r="28" spans="1:5" x14ac:dyDescent="0.2">
      <c r="A28" s="30" t="s">
        <v>111</v>
      </c>
      <c r="B28" s="4" t="s">
        <v>149</v>
      </c>
      <c r="C28" s="4" t="s">
        <v>100</v>
      </c>
      <c r="D28" s="4" t="s">
        <v>150</v>
      </c>
      <c r="E28" s="19" t="s">
        <v>151</v>
      </c>
    </row>
    <row r="30" spans="1:5" ht="14.25" x14ac:dyDescent="0.2">
      <c r="A30" s="31"/>
      <c r="B30" s="32" t="s">
        <v>103</v>
      </c>
    </row>
    <row r="31" spans="1:5" ht="15" x14ac:dyDescent="0.2">
      <c r="A31" s="33" t="s">
        <v>88</v>
      </c>
      <c r="B31" s="33" t="s">
        <v>89</v>
      </c>
      <c r="C31" s="33" t="s">
        <v>90</v>
      </c>
      <c r="D31" s="33" t="s">
        <v>91</v>
      </c>
      <c r="E31" s="33" t="s">
        <v>92</v>
      </c>
    </row>
    <row r="32" spans="1:5" x14ac:dyDescent="0.2">
      <c r="A32" s="30" t="s">
        <v>132</v>
      </c>
      <c r="B32" s="4" t="s">
        <v>103</v>
      </c>
      <c r="C32" s="4" t="s">
        <v>152</v>
      </c>
      <c r="D32" s="4" t="s">
        <v>153</v>
      </c>
      <c r="E32" s="19" t="s">
        <v>154</v>
      </c>
    </row>
    <row r="33" spans="1:5" x14ac:dyDescent="0.2">
      <c r="A33" s="30" t="s">
        <v>137</v>
      </c>
      <c r="B33" s="4" t="s">
        <v>103</v>
      </c>
      <c r="C33" s="4" t="s">
        <v>104</v>
      </c>
      <c r="D33" s="4" t="s">
        <v>155</v>
      </c>
      <c r="E33" s="19" t="s">
        <v>156</v>
      </c>
    </row>
    <row r="35" spans="1:5" ht="14.25" x14ac:dyDescent="0.2">
      <c r="A35" s="31"/>
      <c r="B35" s="32" t="s">
        <v>87</v>
      </c>
    </row>
    <row r="36" spans="1:5" ht="15" x14ac:dyDescent="0.2">
      <c r="A36" s="33" t="s">
        <v>88</v>
      </c>
      <c r="B36" s="33" t="s">
        <v>89</v>
      </c>
      <c r="C36" s="33" t="s">
        <v>90</v>
      </c>
      <c r="D36" s="33" t="s">
        <v>91</v>
      </c>
      <c r="E36" s="33" t="s">
        <v>92</v>
      </c>
    </row>
    <row r="37" spans="1:5" x14ac:dyDescent="0.2">
      <c r="A37" s="30" t="s">
        <v>122</v>
      </c>
      <c r="B37" s="4" t="s">
        <v>157</v>
      </c>
      <c r="C37" s="4" t="s">
        <v>100</v>
      </c>
      <c r="D37" s="4" t="s">
        <v>158</v>
      </c>
      <c r="E37" s="19" t="s">
        <v>159</v>
      </c>
    </row>
  </sheetData>
  <mergeCells count="16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9:R9"/>
    <mergeCell ref="A12:R12"/>
    <mergeCell ref="S3:S4"/>
    <mergeCell ref="T3:T4"/>
    <mergeCell ref="U3:U4"/>
    <mergeCell ref="A5:R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140625" style="4" bestFit="1" customWidth="1"/>
    <col min="7" max="9" width="5.5703125" style="3" customWidth="1"/>
    <col min="10" max="10" width="4.85546875" style="3" customWidth="1"/>
    <col min="11" max="11" width="11.85546875" style="19" customWidth="1"/>
    <col min="12" max="12" width="8.5703125" style="2" bestFit="1" customWidth="1"/>
    <col min="13" max="13" width="12.28515625" style="4" bestFit="1" customWidth="1"/>
    <col min="14" max="16384" width="9.140625" style="3"/>
  </cols>
  <sheetData>
    <row r="1" spans="1:13" s="2" customFormat="1" ht="29.1" customHeight="1" x14ac:dyDescent="0.2">
      <c r="A1" s="41" t="s">
        <v>1729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11</v>
      </c>
      <c r="E3" s="35" t="s">
        <v>4</v>
      </c>
      <c r="F3" s="35" t="s">
        <v>7</v>
      </c>
      <c r="G3" s="35" t="s">
        <v>13</v>
      </c>
      <c r="H3" s="35"/>
      <c r="I3" s="35"/>
      <c r="J3" s="35"/>
      <c r="K3" s="35" t="s">
        <v>587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66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631</v>
      </c>
      <c r="B6" s="6" t="s">
        <v>632</v>
      </c>
      <c r="C6" s="6" t="s">
        <v>633</v>
      </c>
      <c r="D6" s="6" t="str">
        <f>"0,5885"</f>
        <v>0,5885</v>
      </c>
      <c r="E6" s="6" t="s">
        <v>20</v>
      </c>
      <c r="F6" s="6" t="s">
        <v>304</v>
      </c>
      <c r="G6" s="7" t="s">
        <v>634</v>
      </c>
      <c r="H6" s="7" t="s">
        <v>635</v>
      </c>
      <c r="I6" s="8" t="s">
        <v>357</v>
      </c>
      <c r="J6" s="8"/>
      <c r="K6" s="20" t="str">
        <f>"292,5"</f>
        <v>292,5</v>
      </c>
      <c r="L6" s="21" t="str">
        <f>"172,1363"</f>
        <v>172,1363</v>
      </c>
      <c r="M6" s="6" t="s">
        <v>636</v>
      </c>
    </row>
    <row r="8" spans="1:13" ht="15" x14ac:dyDescent="0.2">
      <c r="E8" s="18" t="s">
        <v>80</v>
      </c>
    </row>
    <row r="9" spans="1:13" ht="15" x14ac:dyDescent="0.2">
      <c r="E9" s="18" t="s">
        <v>81</v>
      </c>
    </row>
    <row r="10" spans="1:13" ht="15" x14ac:dyDescent="0.2">
      <c r="E10" s="18" t="s">
        <v>82</v>
      </c>
    </row>
    <row r="11" spans="1:13" ht="15" x14ac:dyDescent="0.2">
      <c r="E11" s="18" t="s">
        <v>83</v>
      </c>
    </row>
    <row r="12" spans="1:13" ht="15" x14ac:dyDescent="0.2">
      <c r="E12" s="18" t="s">
        <v>83</v>
      </c>
    </row>
    <row r="13" spans="1:13" ht="15" x14ac:dyDescent="0.2">
      <c r="E13" s="18" t="s">
        <v>84</v>
      </c>
    </row>
    <row r="14" spans="1:13" ht="15" x14ac:dyDescent="0.2">
      <c r="E14" s="18"/>
    </row>
    <row r="16" spans="1:13" ht="18" x14ac:dyDescent="0.25">
      <c r="A16" s="28" t="s">
        <v>85</v>
      </c>
      <c r="B16" s="28"/>
    </row>
    <row r="17" spans="1:5" ht="15" x14ac:dyDescent="0.2">
      <c r="A17" s="29" t="s">
        <v>97</v>
      </c>
      <c r="B17" s="29"/>
    </row>
    <row r="18" spans="1:5" ht="14.25" x14ac:dyDescent="0.2">
      <c r="A18" s="31"/>
      <c r="B18" s="32" t="s">
        <v>103</v>
      </c>
    </row>
    <row r="19" spans="1:5" ht="15" x14ac:dyDescent="0.2">
      <c r="A19" s="33" t="s">
        <v>88</v>
      </c>
      <c r="B19" s="33" t="s">
        <v>89</v>
      </c>
      <c r="C19" s="33" t="s">
        <v>90</v>
      </c>
      <c r="D19" s="33" t="s">
        <v>549</v>
      </c>
      <c r="E19" s="33" t="s">
        <v>92</v>
      </c>
    </row>
    <row r="20" spans="1:5" x14ac:dyDescent="0.2">
      <c r="A20" s="30" t="s">
        <v>630</v>
      </c>
      <c r="B20" s="4" t="s">
        <v>103</v>
      </c>
      <c r="C20" s="4" t="s">
        <v>104</v>
      </c>
      <c r="D20" s="4" t="s">
        <v>635</v>
      </c>
      <c r="E20" s="19" t="s">
        <v>637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>
      <selection activeCell="O4" sqref="O4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0.28515625" style="4" bestFit="1" customWidth="1"/>
    <col min="7" max="9" width="5.5703125" style="3" customWidth="1"/>
    <col min="10" max="10" width="4.85546875" style="3" customWidth="1"/>
    <col min="11" max="11" width="11.5703125" style="19" customWidth="1"/>
    <col min="12" max="12" width="8.5703125" style="2" bestFit="1" customWidth="1"/>
    <col min="13" max="13" width="15.85546875" style="4" bestFit="1" customWidth="1"/>
    <col min="14" max="16384" width="9.140625" style="3"/>
  </cols>
  <sheetData>
    <row r="1" spans="1:13" s="2" customFormat="1" ht="29.1" customHeight="1" x14ac:dyDescent="0.2">
      <c r="A1" s="41" t="s">
        <v>1730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11</v>
      </c>
      <c r="E3" s="35" t="s">
        <v>4</v>
      </c>
      <c r="F3" s="35" t="s">
        <v>7</v>
      </c>
      <c r="G3" s="35" t="s">
        <v>13</v>
      </c>
      <c r="H3" s="35"/>
      <c r="I3" s="35"/>
      <c r="J3" s="35"/>
      <c r="K3" s="35" t="s">
        <v>587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41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589</v>
      </c>
      <c r="B6" s="6" t="s">
        <v>590</v>
      </c>
      <c r="C6" s="6" t="s">
        <v>414</v>
      </c>
      <c r="D6" s="6" t="str">
        <f>"0,9088"</f>
        <v>0,9088</v>
      </c>
      <c r="E6" s="6" t="s">
        <v>20</v>
      </c>
      <c r="F6" s="6" t="s">
        <v>33</v>
      </c>
      <c r="G6" s="7" t="s">
        <v>120</v>
      </c>
      <c r="H6" s="8" t="s">
        <v>268</v>
      </c>
      <c r="I6" s="7" t="s">
        <v>268</v>
      </c>
      <c r="J6" s="8"/>
      <c r="K6" s="20" t="str">
        <f>"47,5"</f>
        <v>47,5</v>
      </c>
      <c r="L6" s="21" t="str">
        <f>"45,0242"</f>
        <v>45,0242</v>
      </c>
      <c r="M6" s="6" t="s">
        <v>121</v>
      </c>
    </row>
    <row r="8" spans="1:13" ht="15" x14ac:dyDescent="0.2">
      <c r="A8" s="34" t="s">
        <v>29</v>
      </c>
      <c r="B8" s="34"/>
      <c r="C8" s="34"/>
      <c r="D8" s="34"/>
      <c r="E8" s="34"/>
      <c r="F8" s="34"/>
      <c r="G8" s="34"/>
      <c r="H8" s="34"/>
      <c r="I8" s="34"/>
      <c r="J8" s="34"/>
    </row>
    <row r="9" spans="1:13" x14ac:dyDescent="0.2">
      <c r="A9" s="6" t="s">
        <v>397</v>
      </c>
      <c r="B9" s="6" t="s">
        <v>398</v>
      </c>
      <c r="C9" s="6" t="s">
        <v>399</v>
      </c>
      <c r="D9" s="6" t="str">
        <f>"0,7159"</f>
        <v>0,7159</v>
      </c>
      <c r="E9" s="6" t="s">
        <v>20</v>
      </c>
      <c r="F9" s="6" t="s">
        <v>400</v>
      </c>
      <c r="G9" s="7" t="s">
        <v>266</v>
      </c>
      <c r="H9" s="7" t="s">
        <v>25</v>
      </c>
      <c r="I9" s="8" t="s">
        <v>591</v>
      </c>
      <c r="J9" s="8"/>
      <c r="K9" s="20" t="str">
        <f>"80,0"</f>
        <v>80,0</v>
      </c>
      <c r="L9" s="21" t="str">
        <f>"122,7339"</f>
        <v>122,7339</v>
      </c>
      <c r="M9" s="6" t="s">
        <v>28</v>
      </c>
    </row>
    <row r="11" spans="1:13" ht="15" x14ac:dyDescent="0.2">
      <c r="A11" s="34" t="s">
        <v>201</v>
      </c>
      <c r="B11" s="34"/>
      <c r="C11" s="34"/>
      <c r="D11" s="34"/>
      <c r="E11" s="34"/>
      <c r="F11" s="34"/>
      <c r="G11" s="34"/>
      <c r="H11" s="34"/>
      <c r="I11" s="34"/>
      <c r="J11" s="34"/>
    </row>
    <row r="12" spans="1:13" x14ac:dyDescent="0.2">
      <c r="A12" s="9" t="s">
        <v>593</v>
      </c>
      <c r="B12" s="9" t="s">
        <v>594</v>
      </c>
      <c r="C12" s="9" t="s">
        <v>221</v>
      </c>
      <c r="D12" s="9" t="str">
        <f>"0,6471"</f>
        <v>0,6471</v>
      </c>
      <c r="E12" s="9" t="s">
        <v>20</v>
      </c>
      <c r="F12" s="9" t="s">
        <v>595</v>
      </c>
      <c r="G12" s="10" t="s">
        <v>61</v>
      </c>
      <c r="H12" s="11" t="s">
        <v>405</v>
      </c>
      <c r="I12" s="10" t="s">
        <v>405</v>
      </c>
      <c r="J12" s="11"/>
      <c r="K12" s="22" t="str">
        <f>"187,5"</f>
        <v>187,5</v>
      </c>
      <c r="L12" s="23" t="str">
        <f>"121,3312"</f>
        <v>121,3312</v>
      </c>
      <c r="M12" s="9" t="s">
        <v>596</v>
      </c>
    </row>
    <row r="13" spans="1:13" x14ac:dyDescent="0.2">
      <c r="A13" s="15" t="s">
        <v>598</v>
      </c>
      <c r="B13" s="15" t="s">
        <v>599</v>
      </c>
      <c r="C13" s="15" t="s">
        <v>221</v>
      </c>
      <c r="D13" s="15" t="str">
        <f>"0,6471"</f>
        <v>0,6471</v>
      </c>
      <c r="E13" s="15" t="s">
        <v>20</v>
      </c>
      <c r="F13" s="15" t="s">
        <v>595</v>
      </c>
      <c r="G13" s="16" t="s">
        <v>198</v>
      </c>
      <c r="H13" s="16" t="s">
        <v>49</v>
      </c>
      <c r="I13" s="17" t="s">
        <v>62</v>
      </c>
      <c r="J13" s="17"/>
      <c r="K13" s="26" t="str">
        <f>"250,0"</f>
        <v>250,0</v>
      </c>
      <c r="L13" s="27" t="str">
        <f>"161,7750"</f>
        <v>161,7750</v>
      </c>
      <c r="M13" s="15" t="s">
        <v>596</v>
      </c>
    </row>
    <row r="15" spans="1:13" ht="15" x14ac:dyDescent="0.2">
      <c r="A15" s="34" t="s">
        <v>131</v>
      </c>
      <c r="B15" s="34"/>
      <c r="C15" s="34"/>
      <c r="D15" s="34"/>
      <c r="E15" s="34"/>
      <c r="F15" s="34"/>
      <c r="G15" s="34"/>
      <c r="H15" s="34"/>
      <c r="I15" s="34"/>
      <c r="J15" s="34"/>
    </row>
    <row r="16" spans="1:13" x14ac:dyDescent="0.2">
      <c r="A16" s="9" t="s">
        <v>601</v>
      </c>
      <c r="B16" s="9" t="s">
        <v>602</v>
      </c>
      <c r="C16" s="9" t="s">
        <v>603</v>
      </c>
      <c r="D16" s="9" t="str">
        <f>"0,6144"</f>
        <v>0,6144</v>
      </c>
      <c r="E16" s="9" t="s">
        <v>20</v>
      </c>
      <c r="F16" s="9" t="s">
        <v>33</v>
      </c>
      <c r="G16" s="10" t="s">
        <v>76</v>
      </c>
      <c r="H16" s="10" t="s">
        <v>229</v>
      </c>
      <c r="I16" s="11" t="s">
        <v>165</v>
      </c>
      <c r="J16" s="11"/>
      <c r="K16" s="22" t="str">
        <f>"295,0"</f>
        <v>295,0</v>
      </c>
      <c r="L16" s="23" t="str">
        <f>"181,2480"</f>
        <v>181,2480</v>
      </c>
      <c r="M16" s="9" t="s">
        <v>604</v>
      </c>
    </row>
    <row r="17" spans="1:13" x14ac:dyDescent="0.2">
      <c r="A17" s="12" t="s">
        <v>606</v>
      </c>
      <c r="B17" s="12" t="s">
        <v>607</v>
      </c>
      <c r="C17" s="12" t="s">
        <v>608</v>
      </c>
      <c r="D17" s="12" t="str">
        <f>"0,6111"</f>
        <v>0,6111</v>
      </c>
      <c r="E17" s="12" t="s">
        <v>126</v>
      </c>
      <c r="F17" s="12" t="s">
        <v>609</v>
      </c>
      <c r="G17" s="14" t="s">
        <v>215</v>
      </c>
      <c r="H17" s="14" t="s">
        <v>200</v>
      </c>
      <c r="I17" s="13" t="s">
        <v>141</v>
      </c>
      <c r="J17" s="13"/>
      <c r="K17" s="24" t="str">
        <f>"210,0"</f>
        <v>210,0</v>
      </c>
      <c r="L17" s="25" t="str">
        <f>"128,3310"</f>
        <v>128,3310</v>
      </c>
      <c r="M17" s="12" t="s">
        <v>610</v>
      </c>
    </row>
    <row r="18" spans="1:13" x14ac:dyDescent="0.2">
      <c r="A18" s="12" t="s">
        <v>611</v>
      </c>
      <c r="B18" s="12" t="s">
        <v>612</v>
      </c>
      <c r="C18" s="12" t="s">
        <v>613</v>
      </c>
      <c r="D18" s="12" t="str">
        <f>"0,6163"</f>
        <v>0,6163</v>
      </c>
      <c r="E18" s="12" t="s">
        <v>20</v>
      </c>
      <c r="F18" s="12" t="s">
        <v>614</v>
      </c>
      <c r="G18" s="13" t="s">
        <v>62</v>
      </c>
      <c r="H18" s="13" t="s">
        <v>62</v>
      </c>
      <c r="I18" s="13" t="s">
        <v>62</v>
      </c>
      <c r="J18" s="13"/>
      <c r="K18" s="24" t="str">
        <f>"0.00"</f>
        <v>0.00</v>
      </c>
      <c r="L18" s="25" t="str">
        <f>"0,0000"</f>
        <v>0,0000</v>
      </c>
      <c r="M18" s="12" t="s">
        <v>28</v>
      </c>
    </row>
    <row r="19" spans="1:13" x14ac:dyDescent="0.2">
      <c r="A19" s="12" t="s">
        <v>615</v>
      </c>
      <c r="B19" s="12" t="s">
        <v>616</v>
      </c>
      <c r="C19" s="12" t="s">
        <v>608</v>
      </c>
      <c r="D19" s="12" t="str">
        <f>"0,6111"</f>
        <v>0,6111</v>
      </c>
      <c r="E19" s="12" t="s">
        <v>126</v>
      </c>
      <c r="F19" s="12" t="s">
        <v>609</v>
      </c>
      <c r="G19" s="14" t="s">
        <v>215</v>
      </c>
      <c r="H19" s="14" t="s">
        <v>200</v>
      </c>
      <c r="I19" s="13" t="s">
        <v>141</v>
      </c>
      <c r="J19" s="13"/>
      <c r="K19" s="24" t="str">
        <f>"210,0"</f>
        <v>210,0</v>
      </c>
      <c r="L19" s="25" t="str">
        <f>"129,6143"</f>
        <v>129,6143</v>
      </c>
      <c r="M19" s="12" t="s">
        <v>610</v>
      </c>
    </row>
    <row r="20" spans="1:13" x14ac:dyDescent="0.2">
      <c r="A20" s="15" t="s">
        <v>601</v>
      </c>
      <c r="B20" s="15" t="s">
        <v>617</v>
      </c>
      <c r="C20" s="15" t="s">
        <v>603</v>
      </c>
      <c r="D20" s="15" t="str">
        <f>"0,6144"</f>
        <v>0,6144</v>
      </c>
      <c r="E20" s="15" t="s">
        <v>20</v>
      </c>
      <c r="F20" s="15" t="s">
        <v>33</v>
      </c>
      <c r="G20" s="16" t="s">
        <v>76</v>
      </c>
      <c r="H20" s="16" t="s">
        <v>229</v>
      </c>
      <c r="I20" s="17" t="s">
        <v>165</v>
      </c>
      <c r="J20" s="17"/>
      <c r="K20" s="26" t="str">
        <f>"295,0"</f>
        <v>295,0</v>
      </c>
      <c r="L20" s="27" t="str">
        <f>"196,1103"</f>
        <v>196,1103</v>
      </c>
      <c r="M20" s="15" t="s">
        <v>604</v>
      </c>
    </row>
    <row r="22" spans="1:13" ht="15" x14ac:dyDescent="0.2">
      <c r="A22" s="34" t="s">
        <v>223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3" x14ac:dyDescent="0.2">
      <c r="A23" s="6" t="s">
        <v>618</v>
      </c>
      <c r="B23" s="6" t="s">
        <v>619</v>
      </c>
      <c r="C23" s="6" t="s">
        <v>620</v>
      </c>
      <c r="D23" s="6" t="str">
        <f>"0,5797"</f>
        <v>0,5797</v>
      </c>
      <c r="E23" s="6" t="s">
        <v>20</v>
      </c>
      <c r="F23" s="6" t="s">
        <v>621</v>
      </c>
      <c r="G23" s="8" t="s">
        <v>71</v>
      </c>
      <c r="H23" s="8" t="s">
        <v>71</v>
      </c>
      <c r="I23" s="8" t="s">
        <v>71</v>
      </c>
      <c r="J23" s="8"/>
      <c r="K23" s="20" t="str">
        <f>"0.00"</f>
        <v>0.00</v>
      </c>
      <c r="L23" s="21" t="str">
        <f>"0,0000"</f>
        <v>0,0000</v>
      </c>
      <c r="M23" s="6" t="s">
        <v>28</v>
      </c>
    </row>
    <row r="25" spans="1:13" ht="15" x14ac:dyDescent="0.2">
      <c r="E25" s="18" t="s">
        <v>80</v>
      </c>
    </row>
    <row r="26" spans="1:13" ht="15" x14ac:dyDescent="0.2">
      <c r="E26" s="18" t="s">
        <v>81</v>
      </c>
    </row>
    <row r="27" spans="1:13" ht="15" x14ac:dyDescent="0.2">
      <c r="E27" s="18" t="s">
        <v>82</v>
      </c>
    </row>
    <row r="28" spans="1:13" ht="15" x14ac:dyDescent="0.2">
      <c r="E28" s="18" t="s">
        <v>83</v>
      </c>
    </row>
    <row r="29" spans="1:13" ht="15" x14ac:dyDescent="0.2">
      <c r="E29" s="18" t="s">
        <v>83</v>
      </c>
    </row>
    <row r="30" spans="1:13" ht="15" x14ac:dyDescent="0.2">
      <c r="E30" s="18" t="s">
        <v>84</v>
      </c>
    </row>
    <row r="31" spans="1:13" ht="15" x14ac:dyDescent="0.2">
      <c r="E31" s="18"/>
    </row>
    <row r="33" spans="1:5" ht="18" x14ac:dyDescent="0.25">
      <c r="A33" s="28" t="s">
        <v>85</v>
      </c>
      <c r="B33" s="28"/>
    </row>
    <row r="34" spans="1:5" ht="15" x14ac:dyDescent="0.2">
      <c r="A34" s="29" t="s">
        <v>86</v>
      </c>
      <c r="B34" s="29"/>
    </row>
    <row r="35" spans="1:5" ht="14.25" x14ac:dyDescent="0.2">
      <c r="A35" s="31"/>
      <c r="B35" s="32" t="s">
        <v>87</v>
      </c>
    </row>
    <row r="36" spans="1:5" ht="15" x14ac:dyDescent="0.2">
      <c r="A36" s="33" t="s">
        <v>88</v>
      </c>
      <c r="B36" s="33" t="s">
        <v>89</v>
      </c>
      <c r="C36" s="33" t="s">
        <v>90</v>
      </c>
      <c r="D36" s="33" t="s">
        <v>549</v>
      </c>
      <c r="E36" s="33" t="s">
        <v>92</v>
      </c>
    </row>
    <row r="37" spans="1:5" x14ac:dyDescent="0.2">
      <c r="A37" s="30" t="s">
        <v>588</v>
      </c>
      <c r="B37" s="4" t="s">
        <v>109</v>
      </c>
      <c r="C37" s="4" t="s">
        <v>100</v>
      </c>
      <c r="D37" s="4" t="s">
        <v>268</v>
      </c>
      <c r="E37" s="19" t="s">
        <v>622</v>
      </c>
    </row>
    <row r="40" spans="1:5" ht="15" x14ac:dyDescent="0.2">
      <c r="A40" s="29" t="s">
        <v>97</v>
      </c>
      <c r="B40" s="29"/>
    </row>
    <row r="41" spans="1:5" ht="14.25" x14ac:dyDescent="0.2">
      <c r="A41" s="31"/>
      <c r="B41" s="32" t="s">
        <v>98</v>
      </c>
    </row>
    <row r="42" spans="1:5" ht="15" x14ac:dyDescent="0.2">
      <c r="A42" s="33" t="s">
        <v>88</v>
      </c>
      <c r="B42" s="33" t="s">
        <v>89</v>
      </c>
      <c r="C42" s="33" t="s">
        <v>90</v>
      </c>
      <c r="D42" s="33" t="s">
        <v>549</v>
      </c>
      <c r="E42" s="33" t="s">
        <v>92</v>
      </c>
    </row>
    <row r="43" spans="1:5" x14ac:dyDescent="0.2">
      <c r="A43" s="30" t="s">
        <v>592</v>
      </c>
      <c r="B43" s="4" t="s">
        <v>99</v>
      </c>
      <c r="C43" s="4" t="s">
        <v>248</v>
      </c>
      <c r="D43" s="4" t="s">
        <v>405</v>
      </c>
      <c r="E43" s="19" t="s">
        <v>623</v>
      </c>
    </row>
    <row r="45" spans="1:5" ht="14.25" x14ac:dyDescent="0.2">
      <c r="A45" s="31"/>
      <c r="B45" s="32" t="s">
        <v>103</v>
      </c>
    </row>
    <row r="46" spans="1:5" ht="15" x14ac:dyDescent="0.2">
      <c r="A46" s="33" t="s">
        <v>88</v>
      </c>
      <c r="B46" s="33" t="s">
        <v>89</v>
      </c>
      <c r="C46" s="33" t="s">
        <v>90</v>
      </c>
      <c r="D46" s="33" t="s">
        <v>549</v>
      </c>
      <c r="E46" s="33" t="s">
        <v>92</v>
      </c>
    </row>
    <row r="47" spans="1:5" x14ac:dyDescent="0.2">
      <c r="A47" s="30" t="s">
        <v>600</v>
      </c>
      <c r="B47" s="4" t="s">
        <v>103</v>
      </c>
      <c r="C47" s="4" t="s">
        <v>152</v>
      </c>
      <c r="D47" s="4" t="s">
        <v>229</v>
      </c>
      <c r="E47" s="19" t="s">
        <v>624</v>
      </c>
    </row>
    <row r="48" spans="1:5" x14ac:dyDescent="0.2">
      <c r="A48" s="30" t="s">
        <v>597</v>
      </c>
      <c r="B48" s="4" t="s">
        <v>103</v>
      </c>
      <c r="C48" s="4" t="s">
        <v>248</v>
      </c>
      <c r="D48" s="4" t="s">
        <v>49</v>
      </c>
      <c r="E48" s="19" t="s">
        <v>625</v>
      </c>
    </row>
    <row r="49" spans="1:5" x14ac:dyDescent="0.2">
      <c r="A49" s="30" t="s">
        <v>605</v>
      </c>
      <c r="B49" s="4" t="s">
        <v>103</v>
      </c>
      <c r="C49" s="4" t="s">
        <v>152</v>
      </c>
      <c r="D49" s="4" t="s">
        <v>200</v>
      </c>
      <c r="E49" s="19" t="s">
        <v>626</v>
      </c>
    </row>
    <row r="51" spans="1:5" ht="14.25" x14ac:dyDescent="0.2">
      <c r="A51" s="31"/>
      <c r="B51" s="32" t="s">
        <v>87</v>
      </c>
    </row>
    <row r="52" spans="1:5" ht="15" x14ac:dyDescent="0.2">
      <c r="A52" s="33" t="s">
        <v>88</v>
      </c>
      <c r="B52" s="33" t="s">
        <v>89</v>
      </c>
      <c r="C52" s="33" t="s">
        <v>90</v>
      </c>
      <c r="D52" s="33" t="s">
        <v>549</v>
      </c>
      <c r="E52" s="33" t="s">
        <v>92</v>
      </c>
    </row>
    <row r="53" spans="1:5" x14ac:dyDescent="0.2">
      <c r="A53" s="30" t="s">
        <v>600</v>
      </c>
      <c r="B53" s="4" t="s">
        <v>373</v>
      </c>
      <c r="C53" s="4" t="s">
        <v>152</v>
      </c>
      <c r="D53" s="4" t="s">
        <v>229</v>
      </c>
      <c r="E53" s="19" t="s">
        <v>627</v>
      </c>
    </row>
    <row r="54" spans="1:5" x14ac:dyDescent="0.2">
      <c r="A54" s="30" t="s">
        <v>605</v>
      </c>
      <c r="B54" s="4" t="s">
        <v>109</v>
      </c>
      <c r="C54" s="4" t="s">
        <v>152</v>
      </c>
      <c r="D54" s="4" t="s">
        <v>200</v>
      </c>
      <c r="E54" s="19" t="s">
        <v>628</v>
      </c>
    </row>
    <row r="55" spans="1:5" x14ac:dyDescent="0.2">
      <c r="A55" s="30" t="s">
        <v>396</v>
      </c>
      <c r="B55" s="4" t="s">
        <v>576</v>
      </c>
      <c r="C55" s="4" t="s">
        <v>242</v>
      </c>
      <c r="D55" s="4" t="s">
        <v>25</v>
      </c>
      <c r="E55" s="19" t="s">
        <v>629</v>
      </c>
    </row>
  </sheetData>
  <mergeCells count="16"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A15:J15"/>
    <mergeCell ref="A22:J22"/>
    <mergeCell ref="K3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3.42578125" style="4" bestFit="1" customWidth="1"/>
    <col min="7" max="10" width="5.5703125" style="3" customWidth="1"/>
    <col min="11" max="11" width="13" style="19" customWidth="1"/>
    <col min="12" max="12" width="8.5703125" style="2" bestFit="1" customWidth="1"/>
    <col min="13" max="13" width="17.7109375" style="4" bestFit="1" customWidth="1"/>
    <col min="14" max="16384" width="9.140625" style="3"/>
  </cols>
  <sheetData>
    <row r="1" spans="1:13" s="2" customFormat="1" ht="29.1" customHeight="1" x14ac:dyDescent="0.2">
      <c r="A1" s="41" t="s">
        <v>1731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11</v>
      </c>
      <c r="E3" s="35" t="s">
        <v>4</v>
      </c>
      <c r="F3" s="35" t="s">
        <v>7</v>
      </c>
      <c r="G3" s="35" t="s">
        <v>13</v>
      </c>
      <c r="H3" s="35"/>
      <c r="I3" s="35"/>
      <c r="J3" s="35"/>
      <c r="K3" s="35" t="s">
        <v>587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15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386</v>
      </c>
      <c r="B6" s="6" t="s">
        <v>387</v>
      </c>
      <c r="C6" s="6" t="s">
        <v>388</v>
      </c>
      <c r="D6" s="6" t="str">
        <f>"0,8378"</f>
        <v>0,8378</v>
      </c>
      <c r="E6" s="6" t="s">
        <v>20</v>
      </c>
      <c r="F6" s="6" t="s">
        <v>389</v>
      </c>
      <c r="G6" s="7" t="s">
        <v>291</v>
      </c>
      <c r="H6" s="7" t="s">
        <v>26</v>
      </c>
      <c r="I6" s="8" t="s">
        <v>277</v>
      </c>
      <c r="J6" s="8"/>
      <c r="K6" s="20" t="str">
        <f>"90,0"</f>
        <v>90,0</v>
      </c>
      <c r="L6" s="21" t="str">
        <f>"75,4020"</f>
        <v>75,4020</v>
      </c>
      <c r="M6" s="6" t="s">
        <v>390</v>
      </c>
    </row>
    <row r="8" spans="1:13" ht="15" x14ac:dyDescent="0.2">
      <c r="A8" s="34" t="s">
        <v>29</v>
      </c>
      <c r="B8" s="34"/>
      <c r="C8" s="34"/>
      <c r="D8" s="34"/>
      <c r="E8" s="34"/>
      <c r="F8" s="34"/>
      <c r="G8" s="34"/>
      <c r="H8" s="34"/>
      <c r="I8" s="34"/>
      <c r="J8" s="34"/>
    </row>
    <row r="9" spans="1:13" x14ac:dyDescent="0.2">
      <c r="A9" s="9" t="s">
        <v>392</v>
      </c>
      <c r="B9" s="9" t="s">
        <v>393</v>
      </c>
      <c r="C9" s="9" t="s">
        <v>394</v>
      </c>
      <c r="D9" s="9" t="str">
        <f>"0,7486"</f>
        <v>0,7486</v>
      </c>
      <c r="E9" s="9" t="s">
        <v>20</v>
      </c>
      <c r="F9" s="9" t="s">
        <v>33</v>
      </c>
      <c r="G9" s="10" t="s">
        <v>25</v>
      </c>
      <c r="H9" s="10" t="s">
        <v>26</v>
      </c>
      <c r="I9" s="11" t="s">
        <v>27</v>
      </c>
      <c r="J9" s="11"/>
      <c r="K9" s="22" t="str">
        <f>"90,0"</f>
        <v>90,0</v>
      </c>
      <c r="L9" s="23" t="str">
        <f>"113,2557"</f>
        <v>113,2557</v>
      </c>
      <c r="M9" s="9" t="s">
        <v>395</v>
      </c>
    </row>
    <row r="10" spans="1:13" x14ac:dyDescent="0.2">
      <c r="A10" s="15" t="s">
        <v>397</v>
      </c>
      <c r="B10" s="15" t="s">
        <v>398</v>
      </c>
      <c r="C10" s="15" t="s">
        <v>399</v>
      </c>
      <c r="D10" s="15" t="str">
        <f>"0,7159"</f>
        <v>0,7159</v>
      </c>
      <c r="E10" s="15" t="s">
        <v>20</v>
      </c>
      <c r="F10" s="15" t="s">
        <v>400</v>
      </c>
      <c r="G10" s="16" t="s">
        <v>117</v>
      </c>
      <c r="H10" s="16" t="s">
        <v>266</v>
      </c>
      <c r="I10" s="17" t="s">
        <v>25</v>
      </c>
      <c r="J10" s="17"/>
      <c r="K10" s="26" t="str">
        <f>"77,5"</f>
        <v>77,5</v>
      </c>
      <c r="L10" s="27" t="str">
        <f>"118,8985"</f>
        <v>118,8985</v>
      </c>
      <c r="M10" s="15" t="s">
        <v>28</v>
      </c>
    </row>
    <row r="12" spans="1:13" ht="15" x14ac:dyDescent="0.2">
      <c r="A12" s="34" t="s">
        <v>41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3" x14ac:dyDescent="0.2">
      <c r="A13" s="9" t="s">
        <v>402</v>
      </c>
      <c r="B13" s="9" t="s">
        <v>403</v>
      </c>
      <c r="C13" s="9" t="s">
        <v>310</v>
      </c>
      <c r="D13" s="9" t="str">
        <f>"0,6876"</f>
        <v>0,6876</v>
      </c>
      <c r="E13" s="9" t="s">
        <v>20</v>
      </c>
      <c r="F13" s="9" t="s">
        <v>404</v>
      </c>
      <c r="G13" s="10" t="s">
        <v>191</v>
      </c>
      <c r="H13" s="10" t="s">
        <v>405</v>
      </c>
      <c r="I13" s="11" t="s">
        <v>328</v>
      </c>
      <c r="J13" s="11"/>
      <c r="K13" s="22" t="str">
        <f>"187,5"</f>
        <v>187,5</v>
      </c>
      <c r="L13" s="23" t="str">
        <f>"128,9250"</f>
        <v>128,9250</v>
      </c>
      <c r="M13" s="9" t="s">
        <v>406</v>
      </c>
    </row>
    <row r="14" spans="1:13" x14ac:dyDescent="0.2">
      <c r="A14" s="12" t="s">
        <v>408</v>
      </c>
      <c r="B14" s="12" t="s">
        <v>409</v>
      </c>
      <c r="C14" s="12" t="s">
        <v>410</v>
      </c>
      <c r="D14" s="12" t="str">
        <f>"0,6739"</f>
        <v>0,6739</v>
      </c>
      <c r="E14" s="12" t="s">
        <v>20</v>
      </c>
      <c r="F14" s="12" t="s">
        <v>33</v>
      </c>
      <c r="G14" s="14" t="s">
        <v>24</v>
      </c>
      <c r="H14" s="14" t="s">
        <v>381</v>
      </c>
      <c r="I14" s="14" t="s">
        <v>50</v>
      </c>
      <c r="J14" s="13" t="s">
        <v>60</v>
      </c>
      <c r="K14" s="24" t="str">
        <f>"165,0"</f>
        <v>165,0</v>
      </c>
      <c r="L14" s="25" t="str">
        <f>"111,1935"</f>
        <v>111,1935</v>
      </c>
      <c r="M14" s="12" t="s">
        <v>28</v>
      </c>
    </row>
    <row r="15" spans="1:13" x14ac:dyDescent="0.2">
      <c r="A15" s="12" t="s">
        <v>412</v>
      </c>
      <c r="B15" s="12" t="s">
        <v>413</v>
      </c>
      <c r="C15" s="12" t="s">
        <v>414</v>
      </c>
      <c r="D15" s="12" t="str">
        <f>"0,6774"</f>
        <v>0,6774</v>
      </c>
      <c r="E15" s="12" t="s">
        <v>20</v>
      </c>
      <c r="F15" s="12" t="s">
        <v>415</v>
      </c>
      <c r="G15" s="14" t="s">
        <v>416</v>
      </c>
      <c r="H15" s="14" t="s">
        <v>22</v>
      </c>
      <c r="I15" s="13" t="s">
        <v>129</v>
      </c>
      <c r="J15" s="13"/>
      <c r="K15" s="24" t="str">
        <f>"140,0"</f>
        <v>140,0</v>
      </c>
      <c r="L15" s="25" t="str">
        <f>"94,8360"</f>
        <v>94,8360</v>
      </c>
      <c r="M15" s="12" t="s">
        <v>417</v>
      </c>
    </row>
    <row r="16" spans="1:13" x14ac:dyDescent="0.2">
      <c r="A16" s="12" t="s">
        <v>418</v>
      </c>
      <c r="B16" s="12" t="s">
        <v>419</v>
      </c>
      <c r="C16" s="12" t="s">
        <v>410</v>
      </c>
      <c r="D16" s="12" t="str">
        <f>"0,6739"</f>
        <v>0,6739</v>
      </c>
      <c r="E16" s="12" t="s">
        <v>20</v>
      </c>
      <c r="F16" s="12" t="s">
        <v>33</v>
      </c>
      <c r="G16" s="14" t="s">
        <v>24</v>
      </c>
      <c r="H16" s="14" t="s">
        <v>381</v>
      </c>
      <c r="I16" s="14" t="s">
        <v>50</v>
      </c>
      <c r="J16" s="13" t="s">
        <v>60</v>
      </c>
      <c r="K16" s="24" t="str">
        <f>"165,0"</f>
        <v>165,0</v>
      </c>
      <c r="L16" s="25" t="str">
        <f>"125,6487"</f>
        <v>125,6487</v>
      </c>
      <c r="M16" s="12" t="s">
        <v>28</v>
      </c>
    </row>
    <row r="17" spans="1:13" x14ac:dyDescent="0.2">
      <c r="A17" s="15" t="s">
        <v>421</v>
      </c>
      <c r="B17" s="15" t="s">
        <v>422</v>
      </c>
      <c r="C17" s="15" t="s">
        <v>423</v>
      </c>
      <c r="D17" s="15" t="str">
        <f>"0,6790"</f>
        <v>0,6790</v>
      </c>
      <c r="E17" s="15" t="s">
        <v>20</v>
      </c>
      <c r="F17" s="15" t="s">
        <v>33</v>
      </c>
      <c r="G17" s="16" t="s">
        <v>27</v>
      </c>
      <c r="H17" s="16" t="s">
        <v>36</v>
      </c>
      <c r="I17" s="17" t="s">
        <v>37</v>
      </c>
      <c r="J17" s="17"/>
      <c r="K17" s="26" t="str">
        <f>"110,0"</f>
        <v>110,0</v>
      </c>
      <c r="L17" s="27" t="str">
        <f>"94,7069"</f>
        <v>94,7069</v>
      </c>
      <c r="M17" s="15" t="s">
        <v>28</v>
      </c>
    </row>
    <row r="19" spans="1:13" ht="15" x14ac:dyDescent="0.2">
      <c r="A19" s="34" t="s">
        <v>201</v>
      </c>
      <c r="B19" s="34"/>
      <c r="C19" s="34"/>
      <c r="D19" s="34"/>
      <c r="E19" s="34"/>
      <c r="F19" s="34"/>
      <c r="G19" s="34"/>
      <c r="H19" s="34"/>
      <c r="I19" s="34"/>
      <c r="J19" s="34"/>
    </row>
    <row r="20" spans="1:13" x14ac:dyDescent="0.2">
      <c r="A20" s="9" t="s">
        <v>425</v>
      </c>
      <c r="B20" s="9" t="s">
        <v>426</v>
      </c>
      <c r="C20" s="9" t="s">
        <v>427</v>
      </c>
      <c r="D20" s="9" t="str">
        <f>"0,6670"</f>
        <v>0,6670</v>
      </c>
      <c r="E20" s="9" t="s">
        <v>20</v>
      </c>
      <c r="F20" s="9" t="s">
        <v>428</v>
      </c>
      <c r="G20" s="10" t="s">
        <v>50</v>
      </c>
      <c r="H20" s="10" t="s">
        <v>317</v>
      </c>
      <c r="I20" s="10" t="s">
        <v>61</v>
      </c>
      <c r="J20" s="11"/>
      <c r="K20" s="22" t="str">
        <f>"180,0"</f>
        <v>180,0</v>
      </c>
      <c r="L20" s="23" t="str">
        <f>"120,0600"</f>
        <v>120,0600</v>
      </c>
      <c r="M20" s="9" t="s">
        <v>20</v>
      </c>
    </row>
    <row r="21" spans="1:13" x14ac:dyDescent="0.2">
      <c r="A21" s="12" t="s">
        <v>430</v>
      </c>
      <c r="B21" s="12" t="s">
        <v>431</v>
      </c>
      <c r="C21" s="12" t="s">
        <v>432</v>
      </c>
      <c r="D21" s="12" t="str">
        <f>"0,6519"</f>
        <v>0,6519</v>
      </c>
      <c r="E21" s="12" t="s">
        <v>20</v>
      </c>
      <c r="F21" s="12" t="s">
        <v>33</v>
      </c>
      <c r="G21" s="13" t="s">
        <v>433</v>
      </c>
      <c r="H21" s="14" t="s">
        <v>36</v>
      </c>
      <c r="I21" s="13" t="s">
        <v>37</v>
      </c>
      <c r="J21" s="13"/>
      <c r="K21" s="24" t="str">
        <f>"110,0"</f>
        <v>110,0</v>
      </c>
      <c r="L21" s="25" t="str">
        <f>"72,4261"</f>
        <v>72,4261</v>
      </c>
      <c r="M21" s="12" t="s">
        <v>28</v>
      </c>
    </row>
    <row r="22" spans="1:13" x14ac:dyDescent="0.2">
      <c r="A22" s="12" t="s">
        <v>435</v>
      </c>
      <c r="B22" s="12" t="s">
        <v>436</v>
      </c>
      <c r="C22" s="12" t="s">
        <v>437</v>
      </c>
      <c r="D22" s="12" t="str">
        <f>"0,6440"</f>
        <v>0,6440</v>
      </c>
      <c r="E22" s="12" t="s">
        <v>20</v>
      </c>
      <c r="F22" s="12" t="s">
        <v>33</v>
      </c>
      <c r="G22" s="14" t="s">
        <v>23</v>
      </c>
      <c r="H22" s="14" t="s">
        <v>199</v>
      </c>
      <c r="I22" s="14" t="s">
        <v>24</v>
      </c>
      <c r="J22" s="13"/>
      <c r="K22" s="24" t="str">
        <f>"160,0"</f>
        <v>160,0</v>
      </c>
      <c r="L22" s="25" t="str">
        <f>"118,1869"</f>
        <v>118,1869</v>
      </c>
      <c r="M22" s="12" t="s">
        <v>271</v>
      </c>
    </row>
    <row r="23" spans="1:13" x14ac:dyDescent="0.2">
      <c r="A23" s="12" t="s">
        <v>439</v>
      </c>
      <c r="B23" s="12" t="s">
        <v>440</v>
      </c>
      <c r="C23" s="12" t="s">
        <v>441</v>
      </c>
      <c r="D23" s="12" t="str">
        <f>"0,6398"</f>
        <v>0,6398</v>
      </c>
      <c r="E23" s="12" t="s">
        <v>20</v>
      </c>
      <c r="F23" s="12" t="s">
        <v>33</v>
      </c>
      <c r="G23" s="14" t="s">
        <v>184</v>
      </c>
      <c r="H23" s="13" t="s">
        <v>23</v>
      </c>
      <c r="I23" s="14" t="s">
        <v>23</v>
      </c>
      <c r="J23" s="13"/>
      <c r="K23" s="24" t="str">
        <f>"150,0"</f>
        <v>150,0</v>
      </c>
      <c r="L23" s="25" t="str">
        <f>"115,5479"</f>
        <v>115,5479</v>
      </c>
      <c r="M23" s="12" t="s">
        <v>271</v>
      </c>
    </row>
    <row r="24" spans="1:13" x14ac:dyDescent="0.2">
      <c r="A24" s="12" t="s">
        <v>443</v>
      </c>
      <c r="B24" s="12" t="s">
        <v>444</v>
      </c>
      <c r="C24" s="12" t="s">
        <v>445</v>
      </c>
      <c r="D24" s="12" t="str">
        <f>"0,6495"</f>
        <v>0,6495</v>
      </c>
      <c r="E24" s="12" t="s">
        <v>20</v>
      </c>
      <c r="F24" s="12" t="s">
        <v>446</v>
      </c>
      <c r="G24" s="14" t="s">
        <v>447</v>
      </c>
      <c r="H24" s="14" t="s">
        <v>35</v>
      </c>
      <c r="I24" s="13" t="s">
        <v>191</v>
      </c>
      <c r="J24" s="13"/>
      <c r="K24" s="24" t="str">
        <f>"182,5"</f>
        <v>182,5</v>
      </c>
      <c r="L24" s="25" t="str">
        <f>"153,0271"</f>
        <v>153,0271</v>
      </c>
      <c r="M24" s="12" t="s">
        <v>28</v>
      </c>
    </row>
    <row r="25" spans="1:13" x14ac:dyDescent="0.2">
      <c r="A25" s="12" t="s">
        <v>449</v>
      </c>
      <c r="B25" s="12" t="s">
        <v>450</v>
      </c>
      <c r="C25" s="12" t="s">
        <v>451</v>
      </c>
      <c r="D25" s="12" t="str">
        <f>"0,6553"</f>
        <v>0,6553</v>
      </c>
      <c r="E25" s="12" t="s">
        <v>20</v>
      </c>
      <c r="F25" s="12" t="s">
        <v>428</v>
      </c>
      <c r="G25" s="14" t="s">
        <v>129</v>
      </c>
      <c r="H25" s="14" t="s">
        <v>199</v>
      </c>
      <c r="I25" s="14" t="s">
        <v>24</v>
      </c>
      <c r="J25" s="13"/>
      <c r="K25" s="24" t="str">
        <f>"160,0"</f>
        <v>160,0</v>
      </c>
      <c r="L25" s="25" t="str">
        <f>"140,4963"</f>
        <v>140,4963</v>
      </c>
      <c r="M25" s="12" t="s">
        <v>28</v>
      </c>
    </row>
    <row r="26" spans="1:13" x14ac:dyDescent="0.2">
      <c r="A26" s="15" t="s">
        <v>453</v>
      </c>
      <c r="B26" s="15" t="s">
        <v>454</v>
      </c>
      <c r="C26" s="15" t="s">
        <v>455</v>
      </c>
      <c r="D26" s="15" t="str">
        <f>"0,6487"</f>
        <v>0,6487</v>
      </c>
      <c r="E26" s="15" t="s">
        <v>20</v>
      </c>
      <c r="F26" s="15" t="s">
        <v>33</v>
      </c>
      <c r="G26" s="16" t="s">
        <v>38</v>
      </c>
      <c r="H26" s="16" t="s">
        <v>190</v>
      </c>
      <c r="I26" s="16" t="s">
        <v>22</v>
      </c>
      <c r="J26" s="17"/>
      <c r="K26" s="26" t="str">
        <f>"140,0"</f>
        <v>140,0</v>
      </c>
      <c r="L26" s="27" t="str">
        <f>"156,0253"</f>
        <v>156,0253</v>
      </c>
      <c r="M26" s="15" t="s">
        <v>395</v>
      </c>
    </row>
    <row r="28" spans="1:13" ht="15" x14ac:dyDescent="0.2">
      <c r="A28" s="34" t="s">
        <v>131</v>
      </c>
      <c r="B28" s="34"/>
      <c r="C28" s="34"/>
      <c r="D28" s="34"/>
      <c r="E28" s="34"/>
      <c r="F28" s="34"/>
      <c r="G28" s="34"/>
      <c r="H28" s="34"/>
      <c r="I28" s="34"/>
      <c r="J28" s="34"/>
    </row>
    <row r="29" spans="1:13" x14ac:dyDescent="0.2">
      <c r="A29" s="9" t="s">
        <v>457</v>
      </c>
      <c r="B29" s="9" t="s">
        <v>458</v>
      </c>
      <c r="C29" s="9" t="s">
        <v>459</v>
      </c>
      <c r="D29" s="9" t="str">
        <f>"0,6101"</f>
        <v>0,6101</v>
      </c>
      <c r="E29" s="9" t="s">
        <v>20</v>
      </c>
      <c r="F29" s="9" t="s">
        <v>33</v>
      </c>
      <c r="G29" s="10" t="s">
        <v>129</v>
      </c>
      <c r="H29" s="10" t="s">
        <v>199</v>
      </c>
      <c r="I29" s="10" t="s">
        <v>24</v>
      </c>
      <c r="J29" s="11"/>
      <c r="K29" s="22" t="str">
        <f>"160,0"</f>
        <v>160,0</v>
      </c>
      <c r="L29" s="23" t="str">
        <f>"97,6160"</f>
        <v>97,6160</v>
      </c>
      <c r="M29" s="9" t="s">
        <v>460</v>
      </c>
    </row>
    <row r="30" spans="1:13" x14ac:dyDescent="0.2">
      <c r="A30" s="12" t="s">
        <v>462</v>
      </c>
      <c r="B30" s="12" t="s">
        <v>463</v>
      </c>
      <c r="C30" s="12" t="s">
        <v>464</v>
      </c>
      <c r="D30" s="12" t="str">
        <f>"0,6126"</f>
        <v>0,6126</v>
      </c>
      <c r="E30" s="12" t="s">
        <v>20</v>
      </c>
      <c r="F30" s="12" t="s">
        <v>33</v>
      </c>
      <c r="G30" s="14" t="s">
        <v>465</v>
      </c>
      <c r="H30" s="14" t="s">
        <v>39</v>
      </c>
      <c r="I30" s="13" t="s">
        <v>216</v>
      </c>
      <c r="J30" s="13"/>
      <c r="K30" s="24" t="str">
        <f>"200,0"</f>
        <v>200,0</v>
      </c>
      <c r="L30" s="25" t="str">
        <f>"122,5200"</f>
        <v>122,5200</v>
      </c>
      <c r="M30" s="12" t="s">
        <v>28</v>
      </c>
    </row>
    <row r="31" spans="1:13" x14ac:dyDescent="0.2">
      <c r="A31" s="12" t="s">
        <v>467</v>
      </c>
      <c r="B31" s="12" t="s">
        <v>468</v>
      </c>
      <c r="C31" s="12" t="s">
        <v>469</v>
      </c>
      <c r="D31" s="12" t="str">
        <f>"0,6123"</f>
        <v>0,6123</v>
      </c>
      <c r="E31" s="12" t="s">
        <v>20</v>
      </c>
      <c r="F31" s="12" t="s">
        <v>33</v>
      </c>
      <c r="G31" s="14" t="s">
        <v>24</v>
      </c>
      <c r="H31" s="13" t="s">
        <v>60</v>
      </c>
      <c r="I31" s="14" t="s">
        <v>60</v>
      </c>
      <c r="J31" s="13"/>
      <c r="K31" s="24" t="str">
        <f>"167,5"</f>
        <v>167,5</v>
      </c>
      <c r="L31" s="25" t="str">
        <f>"102,5602"</f>
        <v>102,5602</v>
      </c>
      <c r="M31" s="12" t="s">
        <v>28</v>
      </c>
    </row>
    <row r="32" spans="1:13" x14ac:dyDescent="0.2">
      <c r="A32" s="12" t="s">
        <v>471</v>
      </c>
      <c r="B32" s="12" t="s">
        <v>472</v>
      </c>
      <c r="C32" s="12" t="s">
        <v>473</v>
      </c>
      <c r="D32" s="12" t="str">
        <f>"0,6116"</f>
        <v>0,6116</v>
      </c>
      <c r="E32" s="12" t="s">
        <v>20</v>
      </c>
      <c r="F32" s="12" t="s">
        <v>33</v>
      </c>
      <c r="G32" s="14" t="s">
        <v>60</v>
      </c>
      <c r="H32" s="13" t="s">
        <v>317</v>
      </c>
      <c r="I32" s="13" t="s">
        <v>317</v>
      </c>
      <c r="J32" s="13"/>
      <c r="K32" s="24" t="str">
        <f>"167,5"</f>
        <v>167,5</v>
      </c>
      <c r="L32" s="25" t="str">
        <f>"102,4430"</f>
        <v>102,4430</v>
      </c>
      <c r="M32" s="12" t="s">
        <v>271</v>
      </c>
    </row>
    <row r="33" spans="1:13" x14ac:dyDescent="0.2">
      <c r="A33" s="12" t="s">
        <v>474</v>
      </c>
      <c r="B33" s="12" t="s">
        <v>475</v>
      </c>
      <c r="C33" s="12" t="s">
        <v>464</v>
      </c>
      <c r="D33" s="12" t="str">
        <f>"0,6126"</f>
        <v>0,6126</v>
      </c>
      <c r="E33" s="12" t="s">
        <v>20</v>
      </c>
      <c r="F33" s="12" t="s">
        <v>58</v>
      </c>
      <c r="G33" s="13" t="s">
        <v>22</v>
      </c>
      <c r="H33" s="13" t="s">
        <v>22</v>
      </c>
      <c r="I33" s="13" t="s">
        <v>22</v>
      </c>
      <c r="J33" s="13"/>
      <c r="K33" s="24" t="str">
        <f>"0.00"</f>
        <v>0.00</v>
      </c>
      <c r="L33" s="25" t="str">
        <f>"0,0000"</f>
        <v>0,0000</v>
      </c>
      <c r="M33" s="12" t="s">
        <v>476</v>
      </c>
    </row>
    <row r="34" spans="1:13" x14ac:dyDescent="0.2">
      <c r="A34" s="12" t="s">
        <v>478</v>
      </c>
      <c r="B34" s="12" t="s">
        <v>479</v>
      </c>
      <c r="C34" s="12" t="s">
        <v>480</v>
      </c>
      <c r="D34" s="12" t="str">
        <f>"0,6134"</f>
        <v>0,6134</v>
      </c>
      <c r="E34" s="12" t="s">
        <v>20</v>
      </c>
      <c r="F34" s="12" t="s">
        <v>33</v>
      </c>
      <c r="G34" s="14" t="s">
        <v>317</v>
      </c>
      <c r="H34" s="14" t="s">
        <v>447</v>
      </c>
      <c r="I34" s="13" t="s">
        <v>61</v>
      </c>
      <c r="J34" s="13"/>
      <c r="K34" s="24" t="str">
        <f>"177,5"</f>
        <v>177,5</v>
      </c>
      <c r="L34" s="25" t="str">
        <f>"123,0327"</f>
        <v>123,0327</v>
      </c>
      <c r="M34" s="12" t="s">
        <v>481</v>
      </c>
    </row>
    <row r="35" spans="1:13" x14ac:dyDescent="0.2">
      <c r="A35" s="15" t="s">
        <v>483</v>
      </c>
      <c r="B35" s="15" t="s">
        <v>484</v>
      </c>
      <c r="C35" s="15" t="s">
        <v>485</v>
      </c>
      <c r="D35" s="15" t="str">
        <f>"0,6180"</f>
        <v>0,6180</v>
      </c>
      <c r="E35" s="15" t="s">
        <v>20</v>
      </c>
      <c r="F35" s="15" t="s">
        <v>486</v>
      </c>
      <c r="G35" s="16" t="s">
        <v>22</v>
      </c>
      <c r="H35" s="16" t="s">
        <v>23</v>
      </c>
      <c r="I35" s="17" t="s">
        <v>380</v>
      </c>
      <c r="J35" s="17"/>
      <c r="K35" s="26" t="str">
        <f>"150,0"</f>
        <v>150,0</v>
      </c>
      <c r="L35" s="27" t="str">
        <f>"113,5575"</f>
        <v>113,5575</v>
      </c>
      <c r="M35" s="15" t="s">
        <v>147</v>
      </c>
    </row>
    <row r="37" spans="1:13" ht="15" x14ac:dyDescent="0.2">
      <c r="A37" s="34" t="s">
        <v>66</v>
      </c>
      <c r="B37" s="34"/>
      <c r="C37" s="34"/>
      <c r="D37" s="34"/>
      <c r="E37" s="34"/>
      <c r="F37" s="34"/>
      <c r="G37" s="34"/>
      <c r="H37" s="34"/>
      <c r="I37" s="34"/>
      <c r="J37" s="34"/>
    </row>
    <row r="38" spans="1:13" x14ac:dyDescent="0.2">
      <c r="A38" s="9" t="s">
        <v>488</v>
      </c>
      <c r="B38" s="9" t="s">
        <v>489</v>
      </c>
      <c r="C38" s="9" t="s">
        <v>490</v>
      </c>
      <c r="D38" s="9" t="str">
        <f>"0,6004"</f>
        <v>0,6004</v>
      </c>
      <c r="E38" s="9" t="s">
        <v>20</v>
      </c>
      <c r="F38" s="9" t="s">
        <v>33</v>
      </c>
      <c r="G38" s="10" t="s">
        <v>74</v>
      </c>
      <c r="H38" s="10" t="s">
        <v>47</v>
      </c>
      <c r="I38" s="11" t="s">
        <v>51</v>
      </c>
      <c r="J38" s="11"/>
      <c r="K38" s="22" t="str">
        <f>"235,0"</f>
        <v>235,0</v>
      </c>
      <c r="L38" s="23" t="str">
        <f>"141,0940"</f>
        <v>141,0940</v>
      </c>
      <c r="M38" s="9" t="s">
        <v>491</v>
      </c>
    </row>
    <row r="39" spans="1:13" x14ac:dyDescent="0.2">
      <c r="A39" s="12" t="s">
        <v>493</v>
      </c>
      <c r="B39" s="12" t="s">
        <v>494</v>
      </c>
      <c r="C39" s="12" t="s">
        <v>495</v>
      </c>
      <c r="D39" s="12" t="str">
        <f>"0,6048"</f>
        <v>0,6048</v>
      </c>
      <c r="E39" s="12" t="s">
        <v>20</v>
      </c>
      <c r="F39" s="12" t="s">
        <v>33</v>
      </c>
      <c r="G39" s="14" t="s">
        <v>141</v>
      </c>
      <c r="H39" s="14" t="s">
        <v>75</v>
      </c>
      <c r="I39" s="13" t="s">
        <v>48</v>
      </c>
      <c r="J39" s="13"/>
      <c r="K39" s="24" t="str">
        <f>"230,0"</f>
        <v>230,0</v>
      </c>
      <c r="L39" s="25" t="str">
        <f>"139,1040"</f>
        <v>139,1040</v>
      </c>
      <c r="M39" s="12" t="s">
        <v>496</v>
      </c>
    </row>
    <row r="40" spans="1:13" x14ac:dyDescent="0.2">
      <c r="A40" s="12" t="s">
        <v>498</v>
      </c>
      <c r="B40" s="12" t="s">
        <v>499</v>
      </c>
      <c r="C40" s="12" t="s">
        <v>500</v>
      </c>
      <c r="D40" s="12" t="str">
        <f>"0,5903"</f>
        <v>0,5903</v>
      </c>
      <c r="E40" s="12" t="s">
        <v>20</v>
      </c>
      <c r="F40" s="12" t="s">
        <v>33</v>
      </c>
      <c r="G40" s="14" t="s">
        <v>200</v>
      </c>
      <c r="H40" s="14" t="s">
        <v>73</v>
      </c>
      <c r="I40" s="13" t="s">
        <v>501</v>
      </c>
      <c r="J40" s="13"/>
      <c r="K40" s="24" t="str">
        <f>"217,5"</f>
        <v>217,5</v>
      </c>
      <c r="L40" s="25" t="str">
        <f>"130,9581"</f>
        <v>130,9581</v>
      </c>
      <c r="M40" s="12" t="s">
        <v>502</v>
      </c>
    </row>
    <row r="41" spans="1:13" x14ac:dyDescent="0.2">
      <c r="A41" s="12" t="s">
        <v>504</v>
      </c>
      <c r="B41" s="12" t="s">
        <v>505</v>
      </c>
      <c r="C41" s="12" t="s">
        <v>500</v>
      </c>
      <c r="D41" s="12" t="str">
        <f>"0,5903"</f>
        <v>0,5903</v>
      </c>
      <c r="E41" s="12" t="s">
        <v>20</v>
      </c>
      <c r="F41" s="12" t="s">
        <v>33</v>
      </c>
      <c r="G41" s="14" t="s">
        <v>61</v>
      </c>
      <c r="H41" s="14" t="s">
        <v>405</v>
      </c>
      <c r="I41" s="13" t="s">
        <v>127</v>
      </c>
      <c r="J41" s="13"/>
      <c r="K41" s="24" t="str">
        <f>"187,5"</f>
        <v>187,5</v>
      </c>
      <c r="L41" s="25" t="str">
        <f>"111,7881"</f>
        <v>111,7881</v>
      </c>
      <c r="M41" s="12" t="s">
        <v>506</v>
      </c>
    </row>
    <row r="42" spans="1:13" x14ac:dyDescent="0.2">
      <c r="A42" s="12" t="s">
        <v>508</v>
      </c>
      <c r="B42" s="12" t="s">
        <v>509</v>
      </c>
      <c r="C42" s="12" t="s">
        <v>510</v>
      </c>
      <c r="D42" s="12" t="str">
        <f>"0,5923"</f>
        <v>0,5923</v>
      </c>
      <c r="E42" s="12" t="s">
        <v>126</v>
      </c>
      <c r="F42" s="12" t="s">
        <v>33</v>
      </c>
      <c r="G42" s="14" t="s">
        <v>61</v>
      </c>
      <c r="H42" s="14" t="s">
        <v>127</v>
      </c>
      <c r="I42" s="14" t="s">
        <v>465</v>
      </c>
      <c r="J42" s="13"/>
      <c r="K42" s="24" t="str">
        <f>"192,5"</f>
        <v>192,5</v>
      </c>
      <c r="L42" s="25" t="str">
        <f>"120,2887"</f>
        <v>120,2887</v>
      </c>
      <c r="M42" s="12" t="s">
        <v>511</v>
      </c>
    </row>
    <row r="43" spans="1:13" x14ac:dyDescent="0.2">
      <c r="A43" s="15" t="s">
        <v>513</v>
      </c>
      <c r="B43" s="15" t="s">
        <v>514</v>
      </c>
      <c r="C43" s="15" t="s">
        <v>515</v>
      </c>
      <c r="D43" s="15" t="str">
        <f>"0,5948"</f>
        <v>0,5948</v>
      </c>
      <c r="E43" s="15" t="s">
        <v>20</v>
      </c>
      <c r="F43" s="15" t="s">
        <v>516</v>
      </c>
      <c r="G43" s="16" t="s">
        <v>50</v>
      </c>
      <c r="H43" s="16" t="s">
        <v>322</v>
      </c>
      <c r="I43" s="16" t="s">
        <v>317</v>
      </c>
      <c r="J43" s="17"/>
      <c r="K43" s="26" t="str">
        <f>"175,0"</f>
        <v>175,0</v>
      </c>
      <c r="L43" s="27" t="str">
        <f>"119,3912"</f>
        <v>119,3912</v>
      </c>
      <c r="M43" s="15" t="s">
        <v>517</v>
      </c>
    </row>
    <row r="45" spans="1:13" ht="15" x14ac:dyDescent="0.2">
      <c r="A45" s="34" t="s">
        <v>223</v>
      </c>
      <c r="B45" s="34"/>
      <c r="C45" s="34"/>
      <c r="D45" s="34"/>
      <c r="E45" s="34"/>
      <c r="F45" s="34"/>
      <c r="G45" s="34"/>
      <c r="H45" s="34"/>
      <c r="I45" s="34"/>
      <c r="J45" s="34"/>
    </row>
    <row r="46" spans="1:13" x14ac:dyDescent="0.2">
      <c r="A46" s="9" t="s">
        <v>519</v>
      </c>
      <c r="B46" s="9" t="s">
        <v>520</v>
      </c>
      <c r="C46" s="9" t="s">
        <v>521</v>
      </c>
      <c r="D46" s="9" t="str">
        <f>"0,5803"</f>
        <v>0,5803</v>
      </c>
      <c r="E46" s="9" t="s">
        <v>20</v>
      </c>
      <c r="F46" s="9" t="s">
        <v>311</v>
      </c>
      <c r="G46" s="11" t="s">
        <v>150</v>
      </c>
      <c r="H46" s="10" t="s">
        <v>73</v>
      </c>
      <c r="I46" s="10" t="s">
        <v>141</v>
      </c>
      <c r="J46" s="11"/>
      <c r="K46" s="22" t="str">
        <f>"220,0"</f>
        <v>220,0</v>
      </c>
      <c r="L46" s="23" t="str">
        <f>"127,6660"</f>
        <v>127,6660</v>
      </c>
      <c r="M46" s="9" t="s">
        <v>522</v>
      </c>
    </row>
    <row r="47" spans="1:13" x14ac:dyDescent="0.2">
      <c r="A47" s="12" t="s">
        <v>524</v>
      </c>
      <c r="B47" s="12" t="s">
        <v>525</v>
      </c>
      <c r="C47" s="12" t="s">
        <v>526</v>
      </c>
      <c r="D47" s="12" t="str">
        <f>"0,5744"</f>
        <v>0,5744</v>
      </c>
      <c r="E47" s="12" t="s">
        <v>20</v>
      </c>
      <c r="F47" s="12" t="s">
        <v>33</v>
      </c>
      <c r="G47" s="14" t="s">
        <v>527</v>
      </c>
      <c r="H47" s="14" t="s">
        <v>215</v>
      </c>
      <c r="I47" s="13" t="s">
        <v>528</v>
      </c>
      <c r="J47" s="13"/>
      <c r="K47" s="24" t="str">
        <f>"202,5"</f>
        <v>202,5</v>
      </c>
      <c r="L47" s="25" t="str">
        <f>"116,3160"</f>
        <v>116,3160</v>
      </c>
      <c r="M47" s="12" t="s">
        <v>147</v>
      </c>
    </row>
    <row r="48" spans="1:13" x14ac:dyDescent="0.2">
      <c r="A48" s="12" t="s">
        <v>530</v>
      </c>
      <c r="B48" s="12" t="s">
        <v>531</v>
      </c>
      <c r="C48" s="12" t="s">
        <v>532</v>
      </c>
      <c r="D48" s="12" t="str">
        <f>"0,5799"</f>
        <v>0,5799</v>
      </c>
      <c r="E48" s="12" t="s">
        <v>20</v>
      </c>
      <c r="F48" s="12" t="s">
        <v>533</v>
      </c>
      <c r="G48" s="14" t="s">
        <v>191</v>
      </c>
      <c r="H48" s="13" t="s">
        <v>465</v>
      </c>
      <c r="I48" s="13"/>
      <c r="J48" s="13"/>
      <c r="K48" s="24" t="str">
        <f>"185,0"</f>
        <v>185,0</v>
      </c>
      <c r="L48" s="25" t="str">
        <f>"107,2815"</f>
        <v>107,2815</v>
      </c>
      <c r="M48" s="12" t="s">
        <v>534</v>
      </c>
    </row>
    <row r="49" spans="1:13" x14ac:dyDescent="0.2">
      <c r="A49" s="12" t="s">
        <v>536</v>
      </c>
      <c r="B49" s="12" t="s">
        <v>537</v>
      </c>
      <c r="C49" s="12" t="s">
        <v>538</v>
      </c>
      <c r="D49" s="12" t="str">
        <f>"0,5815"</f>
        <v>0,5815</v>
      </c>
      <c r="E49" s="12" t="s">
        <v>20</v>
      </c>
      <c r="F49" s="12" t="s">
        <v>33</v>
      </c>
      <c r="G49" s="13" t="s">
        <v>22</v>
      </c>
      <c r="H49" s="14" t="s">
        <v>129</v>
      </c>
      <c r="I49" s="13" t="s">
        <v>199</v>
      </c>
      <c r="J49" s="13"/>
      <c r="K49" s="24" t="str">
        <f>"145,0"</f>
        <v>145,0</v>
      </c>
      <c r="L49" s="25" t="str">
        <f>"84,3175"</f>
        <v>84,3175</v>
      </c>
      <c r="M49" s="12" t="s">
        <v>271</v>
      </c>
    </row>
    <row r="50" spans="1:13" x14ac:dyDescent="0.2">
      <c r="A50" s="15" t="s">
        <v>540</v>
      </c>
      <c r="B50" s="15" t="s">
        <v>541</v>
      </c>
      <c r="C50" s="15" t="s">
        <v>542</v>
      </c>
      <c r="D50" s="15" t="str">
        <f>"0,5737"</f>
        <v>0,5737</v>
      </c>
      <c r="E50" s="15" t="s">
        <v>20</v>
      </c>
      <c r="F50" s="15" t="s">
        <v>33</v>
      </c>
      <c r="G50" s="16" t="s">
        <v>34</v>
      </c>
      <c r="H50" s="16" t="s">
        <v>317</v>
      </c>
      <c r="I50" s="17" t="s">
        <v>61</v>
      </c>
      <c r="J50" s="17"/>
      <c r="K50" s="26" t="str">
        <f>"175,0"</f>
        <v>175,0</v>
      </c>
      <c r="L50" s="27" t="str">
        <f>"137,1430"</f>
        <v>137,1430</v>
      </c>
      <c r="M50" s="15" t="s">
        <v>543</v>
      </c>
    </row>
    <row r="52" spans="1:13" ht="15" x14ac:dyDescent="0.2">
      <c r="A52" s="34" t="s">
        <v>544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3" x14ac:dyDescent="0.2">
      <c r="A53" s="6" t="s">
        <v>546</v>
      </c>
      <c r="B53" s="6" t="s">
        <v>547</v>
      </c>
      <c r="C53" s="6" t="s">
        <v>548</v>
      </c>
      <c r="D53" s="6" t="str">
        <f>"0,5593"</f>
        <v>0,5593</v>
      </c>
      <c r="E53" s="6" t="s">
        <v>20</v>
      </c>
      <c r="F53" s="6" t="s">
        <v>446</v>
      </c>
      <c r="G53" s="7" t="s">
        <v>61</v>
      </c>
      <c r="H53" s="8" t="s">
        <v>127</v>
      </c>
      <c r="I53" s="8"/>
      <c r="J53" s="8"/>
      <c r="K53" s="20" t="str">
        <f>"180,0"</f>
        <v>180,0</v>
      </c>
      <c r="L53" s="21" t="str">
        <f>"112,0502"</f>
        <v>112,0502</v>
      </c>
      <c r="M53" s="6" t="s">
        <v>28</v>
      </c>
    </row>
    <row r="55" spans="1:13" ht="15" x14ac:dyDescent="0.2">
      <c r="E55" s="18" t="s">
        <v>80</v>
      </c>
    </row>
    <row r="56" spans="1:13" ht="15" x14ac:dyDescent="0.2">
      <c r="E56" s="18" t="s">
        <v>81</v>
      </c>
    </row>
    <row r="57" spans="1:13" ht="15" x14ac:dyDescent="0.2">
      <c r="E57" s="18" t="s">
        <v>82</v>
      </c>
    </row>
    <row r="58" spans="1:13" ht="15" x14ac:dyDescent="0.2">
      <c r="E58" s="18" t="s">
        <v>83</v>
      </c>
    </row>
    <row r="59" spans="1:13" ht="15" x14ac:dyDescent="0.2">
      <c r="E59" s="18" t="s">
        <v>83</v>
      </c>
    </row>
    <row r="60" spans="1:13" ht="15" x14ac:dyDescent="0.2">
      <c r="E60" s="18" t="s">
        <v>84</v>
      </c>
    </row>
    <row r="61" spans="1:13" ht="15" x14ac:dyDescent="0.2">
      <c r="E61" s="18"/>
    </row>
    <row r="63" spans="1:13" ht="18" x14ac:dyDescent="0.25">
      <c r="A63" s="28" t="s">
        <v>85</v>
      </c>
      <c r="B63" s="28"/>
    </row>
    <row r="64" spans="1:13" ht="15" x14ac:dyDescent="0.2">
      <c r="A64" s="29" t="s">
        <v>97</v>
      </c>
      <c r="B64" s="29"/>
    </row>
    <row r="65" spans="1:5" ht="14.25" x14ac:dyDescent="0.2">
      <c r="A65" s="31"/>
      <c r="B65" s="32" t="s">
        <v>148</v>
      </c>
    </row>
    <row r="66" spans="1:5" ht="15" x14ac:dyDescent="0.2">
      <c r="A66" s="33" t="s">
        <v>88</v>
      </c>
      <c r="B66" s="33" t="s">
        <v>89</v>
      </c>
      <c r="C66" s="33" t="s">
        <v>90</v>
      </c>
      <c r="D66" s="33" t="s">
        <v>549</v>
      </c>
      <c r="E66" s="33" t="s">
        <v>92</v>
      </c>
    </row>
    <row r="67" spans="1:5" x14ac:dyDescent="0.2">
      <c r="A67" s="30" t="s">
        <v>385</v>
      </c>
      <c r="B67" s="4" t="s">
        <v>149</v>
      </c>
      <c r="C67" s="4" t="s">
        <v>94</v>
      </c>
      <c r="D67" s="4" t="s">
        <v>26</v>
      </c>
      <c r="E67" s="19" t="s">
        <v>550</v>
      </c>
    </row>
    <row r="69" spans="1:5" ht="14.25" x14ac:dyDescent="0.2">
      <c r="A69" s="31"/>
      <c r="B69" s="32" t="s">
        <v>98</v>
      </c>
    </row>
    <row r="70" spans="1:5" ht="15" x14ac:dyDescent="0.2">
      <c r="A70" s="33" t="s">
        <v>88</v>
      </c>
      <c r="B70" s="33" t="s">
        <v>89</v>
      </c>
      <c r="C70" s="33" t="s">
        <v>90</v>
      </c>
      <c r="D70" s="33" t="s">
        <v>549</v>
      </c>
      <c r="E70" s="33" t="s">
        <v>92</v>
      </c>
    </row>
    <row r="71" spans="1:5" x14ac:dyDescent="0.2">
      <c r="A71" s="30" t="s">
        <v>456</v>
      </c>
      <c r="B71" s="4" t="s">
        <v>99</v>
      </c>
      <c r="C71" s="4" t="s">
        <v>152</v>
      </c>
      <c r="D71" s="4" t="s">
        <v>24</v>
      </c>
      <c r="E71" s="19" t="s">
        <v>551</v>
      </c>
    </row>
    <row r="73" spans="1:5" ht="14.25" x14ac:dyDescent="0.2">
      <c r="A73" s="31"/>
      <c r="B73" s="32" t="s">
        <v>103</v>
      </c>
    </row>
    <row r="74" spans="1:5" ht="15" x14ac:dyDescent="0.2">
      <c r="A74" s="33" t="s">
        <v>88</v>
      </c>
      <c r="B74" s="33" t="s">
        <v>89</v>
      </c>
      <c r="C74" s="33" t="s">
        <v>90</v>
      </c>
      <c r="D74" s="33" t="s">
        <v>549</v>
      </c>
      <c r="E74" s="33" t="s">
        <v>92</v>
      </c>
    </row>
    <row r="75" spans="1:5" x14ac:dyDescent="0.2">
      <c r="A75" s="30" t="s">
        <v>487</v>
      </c>
      <c r="B75" s="4" t="s">
        <v>103</v>
      </c>
      <c r="C75" s="4" t="s">
        <v>104</v>
      </c>
      <c r="D75" s="4" t="s">
        <v>47</v>
      </c>
      <c r="E75" s="19" t="s">
        <v>552</v>
      </c>
    </row>
    <row r="76" spans="1:5" x14ac:dyDescent="0.2">
      <c r="A76" s="30" t="s">
        <v>492</v>
      </c>
      <c r="B76" s="4" t="s">
        <v>103</v>
      </c>
      <c r="C76" s="4" t="s">
        <v>104</v>
      </c>
      <c r="D76" s="4" t="s">
        <v>75</v>
      </c>
      <c r="E76" s="19" t="s">
        <v>553</v>
      </c>
    </row>
    <row r="77" spans="1:5" x14ac:dyDescent="0.2">
      <c r="A77" s="30" t="s">
        <v>401</v>
      </c>
      <c r="B77" s="4" t="s">
        <v>103</v>
      </c>
      <c r="C77" s="4" t="s">
        <v>100</v>
      </c>
      <c r="D77" s="4" t="s">
        <v>405</v>
      </c>
      <c r="E77" s="19" t="s">
        <v>554</v>
      </c>
    </row>
    <row r="78" spans="1:5" x14ac:dyDescent="0.2">
      <c r="A78" s="30" t="s">
        <v>518</v>
      </c>
      <c r="B78" s="4" t="s">
        <v>103</v>
      </c>
      <c r="C78" s="4" t="s">
        <v>253</v>
      </c>
      <c r="D78" s="4" t="s">
        <v>141</v>
      </c>
      <c r="E78" s="19" t="s">
        <v>555</v>
      </c>
    </row>
    <row r="79" spans="1:5" x14ac:dyDescent="0.2">
      <c r="A79" s="30" t="s">
        <v>461</v>
      </c>
      <c r="B79" s="4" t="s">
        <v>103</v>
      </c>
      <c r="C79" s="4" t="s">
        <v>152</v>
      </c>
      <c r="D79" s="4" t="s">
        <v>39</v>
      </c>
      <c r="E79" s="19" t="s">
        <v>556</v>
      </c>
    </row>
    <row r="80" spans="1:5" x14ac:dyDescent="0.2">
      <c r="A80" s="30" t="s">
        <v>424</v>
      </c>
      <c r="B80" s="4" t="s">
        <v>103</v>
      </c>
      <c r="C80" s="4" t="s">
        <v>248</v>
      </c>
      <c r="D80" s="4" t="s">
        <v>61</v>
      </c>
      <c r="E80" s="19" t="s">
        <v>557</v>
      </c>
    </row>
    <row r="81" spans="1:5" x14ac:dyDescent="0.2">
      <c r="A81" s="30" t="s">
        <v>523</v>
      </c>
      <c r="B81" s="4" t="s">
        <v>103</v>
      </c>
      <c r="C81" s="4" t="s">
        <v>253</v>
      </c>
      <c r="D81" s="4" t="s">
        <v>215</v>
      </c>
      <c r="E81" s="19" t="s">
        <v>558</v>
      </c>
    </row>
    <row r="82" spans="1:5" x14ac:dyDescent="0.2">
      <c r="A82" s="30" t="s">
        <v>407</v>
      </c>
      <c r="B82" s="4" t="s">
        <v>103</v>
      </c>
      <c r="C82" s="4" t="s">
        <v>100</v>
      </c>
      <c r="D82" s="4" t="s">
        <v>50</v>
      </c>
      <c r="E82" s="19" t="s">
        <v>559</v>
      </c>
    </row>
    <row r="83" spans="1:5" x14ac:dyDescent="0.2">
      <c r="A83" s="30" t="s">
        <v>529</v>
      </c>
      <c r="B83" s="4" t="s">
        <v>103</v>
      </c>
      <c r="C83" s="4" t="s">
        <v>253</v>
      </c>
      <c r="D83" s="4" t="s">
        <v>191</v>
      </c>
      <c r="E83" s="19" t="s">
        <v>560</v>
      </c>
    </row>
    <row r="84" spans="1:5" x14ac:dyDescent="0.2">
      <c r="A84" s="30" t="s">
        <v>466</v>
      </c>
      <c r="B84" s="4" t="s">
        <v>103</v>
      </c>
      <c r="C84" s="4" t="s">
        <v>152</v>
      </c>
      <c r="D84" s="4" t="s">
        <v>60</v>
      </c>
      <c r="E84" s="19" t="s">
        <v>561</v>
      </c>
    </row>
    <row r="85" spans="1:5" x14ac:dyDescent="0.2">
      <c r="A85" s="30" t="s">
        <v>470</v>
      </c>
      <c r="B85" s="4" t="s">
        <v>103</v>
      </c>
      <c r="C85" s="4" t="s">
        <v>152</v>
      </c>
      <c r="D85" s="4" t="s">
        <v>60</v>
      </c>
      <c r="E85" s="19" t="s">
        <v>562</v>
      </c>
    </row>
    <row r="86" spans="1:5" x14ac:dyDescent="0.2">
      <c r="A86" s="30" t="s">
        <v>411</v>
      </c>
      <c r="B86" s="4" t="s">
        <v>103</v>
      </c>
      <c r="C86" s="4" t="s">
        <v>100</v>
      </c>
      <c r="D86" s="4" t="s">
        <v>22</v>
      </c>
      <c r="E86" s="19" t="s">
        <v>563</v>
      </c>
    </row>
    <row r="87" spans="1:5" x14ac:dyDescent="0.2">
      <c r="A87" s="30" t="s">
        <v>535</v>
      </c>
      <c r="B87" s="4" t="s">
        <v>103</v>
      </c>
      <c r="C87" s="4" t="s">
        <v>253</v>
      </c>
      <c r="D87" s="4" t="s">
        <v>129</v>
      </c>
      <c r="E87" s="19" t="s">
        <v>564</v>
      </c>
    </row>
    <row r="89" spans="1:5" ht="14.25" x14ac:dyDescent="0.2">
      <c r="A89" s="31"/>
      <c r="B89" s="32" t="s">
        <v>87</v>
      </c>
    </row>
    <row r="90" spans="1:5" ht="15" x14ac:dyDescent="0.2">
      <c r="A90" s="33" t="s">
        <v>88</v>
      </c>
      <c r="B90" s="33" t="s">
        <v>89</v>
      </c>
      <c r="C90" s="33" t="s">
        <v>90</v>
      </c>
      <c r="D90" s="33" t="s">
        <v>549</v>
      </c>
      <c r="E90" s="33" t="s">
        <v>92</v>
      </c>
    </row>
    <row r="91" spans="1:5" x14ac:dyDescent="0.2">
      <c r="A91" s="30" t="s">
        <v>452</v>
      </c>
      <c r="B91" s="4" t="s">
        <v>565</v>
      </c>
      <c r="C91" s="4" t="s">
        <v>248</v>
      </c>
      <c r="D91" s="4" t="s">
        <v>22</v>
      </c>
      <c r="E91" s="19" t="s">
        <v>566</v>
      </c>
    </row>
    <row r="92" spans="1:5" x14ac:dyDescent="0.2">
      <c r="A92" s="30" t="s">
        <v>442</v>
      </c>
      <c r="B92" s="4" t="s">
        <v>157</v>
      </c>
      <c r="C92" s="4" t="s">
        <v>248</v>
      </c>
      <c r="D92" s="4" t="s">
        <v>35</v>
      </c>
      <c r="E92" s="19" t="s">
        <v>567</v>
      </c>
    </row>
    <row r="93" spans="1:5" x14ac:dyDescent="0.2">
      <c r="A93" s="30" t="s">
        <v>448</v>
      </c>
      <c r="B93" s="4" t="s">
        <v>568</v>
      </c>
      <c r="C93" s="4" t="s">
        <v>248</v>
      </c>
      <c r="D93" s="4" t="s">
        <v>24</v>
      </c>
      <c r="E93" s="19" t="s">
        <v>569</v>
      </c>
    </row>
    <row r="94" spans="1:5" x14ac:dyDescent="0.2">
      <c r="A94" s="30" t="s">
        <v>539</v>
      </c>
      <c r="B94" s="4" t="s">
        <v>568</v>
      </c>
      <c r="C94" s="4" t="s">
        <v>253</v>
      </c>
      <c r="D94" s="4" t="s">
        <v>317</v>
      </c>
      <c r="E94" s="19" t="s">
        <v>570</v>
      </c>
    </row>
    <row r="95" spans="1:5" x14ac:dyDescent="0.2">
      <c r="A95" s="30" t="s">
        <v>497</v>
      </c>
      <c r="B95" s="4" t="s">
        <v>109</v>
      </c>
      <c r="C95" s="4" t="s">
        <v>104</v>
      </c>
      <c r="D95" s="4" t="s">
        <v>73</v>
      </c>
      <c r="E95" s="19" t="s">
        <v>571</v>
      </c>
    </row>
    <row r="96" spans="1:5" x14ac:dyDescent="0.2">
      <c r="A96" s="30" t="s">
        <v>407</v>
      </c>
      <c r="B96" s="4" t="s">
        <v>93</v>
      </c>
      <c r="C96" s="4" t="s">
        <v>100</v>
      </c>
      <c r="D96" s="4" t="s">
        <v>50</v>
      </c>
      <c r="E96" s="19" t="s">
        <v>572</v>
      </c>
    </row>
    <row r="97" spans="1:5" x14ac:dyDescent="0.2">
      <c r="A97" s="30" t="s">
        <v>477</v>
      </c>
      <c r="B97" s="4" t="s">
        <v>93</v>
      </c>
      <c r="C97" s="4" t="s">
        <v>152</v>
      </c>
      <c r="D97" s="4" t="s">
        <v>447</v>
      </c>
      <c r="E97" s="19" t="s">
        <v>573</v>
      </c>
    </row>
    <row r="98" spans="1:5" x14ac:dyDescent="0.2">
      <c r="A98" s="30" t="s">
        <v>507</v>
      </c>
      <c r="B98" s="4" t="s">
        <v>373</v>
      </c>
      <c r="C98" s="4" t="s">
        <v>104</v>
      </c>
      <c r="D98" s="4" t="s">
        <v>465</v>
      </c>
      <c r="E98" s="19" t="s">
        <v>574</v>
      </c>
    </row>
    <row r="99" spans="1:5" x14ac:dyDescent="0.2">
      <c r="A99" s="30" t="s">
        <v>512</v>
      </c>
      <c r="B99" s="4" t="s">
        <v>93</v>
      </c>
      <c r="C99" s="4" t="s">
        <v>104</v>
      </c>
      <c r="D99" s="4" t="s">
        <v>317</v>
      </c>
      <c r="E99" s="19" t="s">
        <v>575</v>
      </c>
    </row>
    <row r="100" spans="1:5" x14ac:dyDescent="0.2">
      <c r="A100" s="30" t="s">
        <v>396</v>
      </c>
      <c r="B100" s="4" t="s">
        <v>576</v>
      </c>
      <c r="C100" s="4" t="s">
        <v>242</v>
      </c>
      <c r="D100" s="4" t="s">
        <v>266</v>
      </c>
      <c r="E100" s="19" t="s">
        <v>577</v>
      </c>
    </row>
    <row r="101" spans="1:5" x14ac:dyDescent="0.2">
      <c r="A101" s="30" t="s">
        <v>434</v>
      </c>
      <c r="B101" s="4" t="s">
        <v>93</v>
      </c>
      <c r="C101" s="4" t="s">
        <v>248</v>
      </c>
      <c r="D101" s="4" t="s">
        <v>24</v>
      </c>
      <c r="E101" s="19" t="s">
        <v>578</v>
      </c>
    </row>
    <row r="102" spans="1:5" x14ac:dyDescent="0.2">
      <c r="A102" s="30" t="s">
        <v>438</v>
      </c>
      <c r="B102" s="4" t="s">
        <v>93</v>
      </c>
      <c r="C102" s="4" t="s">
        <v>248</v>
      </c>
      <c r="D102" s="4" t="s">
        <v>23</v>
      </c>
      <c r="E102" s="19" t="s">
        <v>579</v>
      </c>
    </row>
    <row r="103" spans="1:5" x14ac:dyDescent="0.2">
      <c r="A103" s="30" t="s">
        <v>482</v>
      </c>
      <c r="B103" s="4" t="s">
        <v>157</v>
      </c>
      <c r="C103" s="4" t="s">
        <v>152</v>
      </c>
      <c r="D103" s="4" t="s">
        <v>23</v>
      </c>
      <c r="E103" s="19" t="s">
        <v>580</v>
      </c>
    </row>
    <row r="104" spans="1:5" x14ac:dyDescent="0.2">
      <c r="A104" s="30" t="s">
        <v>391</v>
      </c>
      <c r="B104" s="4" t="s">
        <v>565</v>
      </c>
      <c r="C104" s="4" t="s">
        <v>242</v>
      </c>
      <c r="D104" s="4" t="s">
        <v>26</v>
      </c>
      <c r="E104" s="19" t="s">
        <v>581</v>
      </c>
    </row>
    <row r="105" spans="1:5" x14ac:dyDescent="0.2">
      <c r="A105" s="30" t="s">
        <v>545</v>
      </c>
      <c r="B105" s="4" t="s">
        <v>373</v>
      </c>
      <c r="C105" s="4" t="s">
        <v>582</v>
      </c>
      <c r="D105" s="4" t="s">
        <v>61</v>
      </c>
      <c r="E105" s="19" t="s">
        <v>583</v>
      </c>
    </row>
    <row r="106" spans="1:5" x14ac:dyDescent="0.2">
      <c r="A106" s="30" t="s">
        <v>503</v>
      </c>
      <c r="B106" s="4" t="s">
        <v>109</v>
      </c>
      <c r="C106" s="4" t="s">
        <v>104</v>
      </c>
      <c r="D106" s="4" t="s">
        <v>405</v>
      </c>
      <c r="E106" s="19" t="s">
        <v>584</v>
      </c>
    </row>
    <row r="107" spans="1:5" x14ac:dyDescent="0.2">
      <c r="A107" s="30" t="s">
        <v>420</v>
      </c>
      <c r="B107" s="4" t="s">
        <v>157</v>
      </c>
      <c r="C107" s="4" t="s">
        <v>100</v>
      </c>
      <c r="D107" s="4" t="s">
        <v>36</v>
      </c>
      <c r="E107" s="19" t="s">
        <v>585</v>
      </c>
    </row>
    <row r="108" spans="1:5" x14ac:dyDescent="0.2">
      <c r="A108" s="30" t="s">
        <v>429</v>
      </c>
      <c r="B108" s="4" t="s">
        <v>109</v>
      </c>
      <c r="C108" s="4" t="s">
        <v>248</v>
      </c>
      <c r="D108" s="4" t="s">
        <v>36</v>
      </c>
      <c r="E108" s="19" t="s">
        <v>586</v>
      </c>
    </row>
  </sheetData>
  <mergeCells count="19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52:J52"/>
    <mergeCell ref="A8:J8"/>
    <mergeCell ref="A12:J12"/>
    <mergeCell ref="A19:J19"/>
    <mergeCell ref="A28:J28"/>
    <mergeCell ref="A37:J37"/>
    <mergeCell ref="A45:J4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7.28515625" style="4" bestFit="1" customWidth="1"/>
    <col min="7" max="9" width="5.5703125" style="3" customWidth="1"/>
    <col min="10" max="10" width="4.85546875" style="3" customWidth="1"/>
    <col min="11" max="11" width="12.140625" style="19" customWidth="1"/>
    <col min="12" max="12" width="8.5703125" style="2" bestFit="1" customWidth="1"/>
    <col min="13" max="13" width="13.7109375" style="4" bestFit="1" customWidth="1"/>
    <col min="14" max="16384" width="9.140625" style="3"/>
  </cols>
  <sheetData>
    <row r="1" spans="1:13" s="2" customFormat="1" ht="29.1" customHeight="1" x14ac:dyDescent="0.2">
      <c r="A1" s="41" t="s">
        <v>1732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11</v>
      </c>
      <c r="E3" s="35" t="s">
        <v>4</v>
      </c>
      <c r="F3" s="35" t="s">
        <v>7</v>
      </c>
      <c r="G3" s="35" t="s">
        <v>14</v>
      </c>
      <c r="H3" s="35"/>
      <c r="I3" s="35"/>
      <c r="J3" s="35"/>
      <c r="K3" s="35" t="s">
        <v>587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131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9" t="s">
        <v>1225</v>
      </c>
      <c r="B6" s="9" t="s">
        <v>1226</v>
      </c>
      <c r="C6" s="9" t="s">
        <v>480</v>
      </c>
      <c r="D6" s="9" t="str">
        <f>"0,6134"</f>
        <v>0,6134</v>
      </c>
      <c r="E6" s="9" t="s">
        <v>20</v>
      </c>
      <c r="F6" s="9" t="s">
        <v>1227</v>
      </c>
      <c r="G6" s="10" t="s">
        <v>34</v>
      </c>
      <c r="H6" s="11"/>
      <c r="I6" s="11"/>
      <c r="J6" s="11"/>
      <c r="K6" s="22" t="str">
        <f>"170,0"</f>
        <v>170,0</v>
      </c>
      <c r="L6" s="23" t="str">
        <f>"145,2592"</f>
        <v>145,2592</v>
      </c>
      <c r="M6" s="9" t="s">
        <v>1228</v>
      </c>
    </row>
    <row r="7" spans="1:13" x14ac:dyDescent="0.2">
      <c r="A7" s="15" t="s">
        <v>1230</v>
      </c>
      <c r="B7" s="15" t="s">
        <v>1231</v>
      </c>
      <c r="C7" s="15" t="s">
        <v>1232</v>
      </c>
      <c r="D7" s="15" t="str">
        <f>"0,6172"</f>
        <v>0,6172</v>
      </c>
      <c r="E7" s="15" t="s">
        <v>20</v>
      </c>
      <c r="F7" s="15" t="s">
        <v>1227</v>
      </c>
      <c r="G7" s="16" t="s">
        <v>191</v>
      </c>
      <c r="H7" s="16" t="s">
        <v>39</v>
      </c>
      <c r="I7" s="17" t="s">
        <v>200</v>
      </c>
      <c r="J7" s="17"/>
      <c r="K7" s="26" t="str">
        <f>"200,0"</f>
        <v>200,0</v>
      </c>
      <c r="L7" s="27" t="str">
        <f>"190,4679"</f>
        <v>190,4679</v>
      </c>
      <c r="M7" s="15" t="s">
        <v>1233</v>
      </c>
    </row>
    <row r="9" spans="1:13" ht="15" x14ac:dyDescent="0.2">
      <c r="E9" s="18" t="s">
        <v>80</v>
      </c>
    </row>
    <row r="10" spans="1:13" ht="15" x14ac:dyDescent="0.2">
      <c r="E10" s="18" t="s">
        <v>81</v>
      </c>
    </row>
    <row r="11" spans="1:13" ht="15" x14ac:dyDescent="0.2">
      <c r="E11" s="18" t="s">
        <v>82</v>
      </c>
    </row>
    <row r="12" spans="1:13" ht="15" x14ac:dyDescent="0.2">
      <c r="E12" s="18" t="s">
        <v>83</v>
      </c>
    </row>
    <row r="13" spans="1:13" ht="15" x14ac:dyDescent="0.2">
      <c r="E13" s="18" t="s">
        <v>83</v>
      </c>
    </row>
    <row r="14" spans="1:13" ht="15" x14ac:dyDescent="0.2">
      <c r="E14" s="18" t="s">
        <v>84</v>
      </c>
    </row>
    <row r="15" spans="1:13" ht="15" x14ac:dyDescent="0.2">
      <c r="E15" s="18"/>
    </row>
    <row r="17" spans="1:5" ht="18" x14ac:dyDescent="0.25">
      <c r="A17" s="28" t="s">
        <v>85</v>
      </c>
      <c r="B17" s="28"/>
    </row>
    <row r="18" spans="1:5" ht="15" x14ac:dyDescent="0.2">
      <c r="A18" s="29" t="s">
        <v>97</v>
      </c>
      <c r="B18" s="29"/>
    </row>
    <row r="19" spans="1:5" ht="14.25" x14ac:dyDescent="0.2">
      <c r="A19" s="31"/>
      <c r="B19" s="32" t="s">
        <v>87</v>
      </c>
    </row>
    <row r="20" spans="1:5" ht="15" x14ac:dyDescent="0.2">
      <c r="A20" s="33" t="s">
        <v>88</v>
      </c>
      <c r="B20" s="33" t="s">
        <v>89</v>
      </c>
      <c r="C20" s="33" t="s">
        <v>90</v>
      </c>
      <c r="D20" s="33" t="s">
        <v>549</v>
      </c>
      <c r="E20" s="33" t="s">
        <v>92</v>
      </c>
    </row>
    <row r="21" spans="1:5" x14ac:dyDescent="0.2">
      <c r="A21" s="30" t="s">
        <v>1229</v>
      </c>
      <c r="B21" s="4" t="s">
        <v>1083</v>
      </c>
      <c r="C21" s="4" t="s">
        <v>152</v>
      </c>
      <c r="D21" s="4" t="s">
        <v>39</v>
      </c>
      <c r="E21" s="19" t="s">
        <v>1234</v>
      </c>
    </row>
    <row r="22" spans="1:5" x14ac:dyDescent="0.2">
      <c r="A22" s="30" t="s">
        <v>1224</v>
      </c>
      <c r="B22" s="4" t="s">
        <v>568</v>
      </c>
      <c r="C22" s="4" t="s">
        <v>152</v>
      </c>
      <c r="D22" s="4" t="s">
        <v>34</v>
      </c>
      <c r="E22" s="19" t="s">
        <v>1235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3.28515625" style="4" bestFit="1" customWidth="1"/>
    <col min="7" max="9" width="5.5703125" style="3" customWidth="1"/>
    <col min="10" max="10" width="4.85546875" style="3" customWidth="1"/>
    <col min="11" max="11" width="12.85546875" style="19" customWidth="1"/>
    <col min="12" max="12" width="8.5703125" style="2" bestFit="1" customWidth="1"/>
    <col min="13" max="13" width="30.42578125" style="4" bestFit="1" customWidth="1"/>
    <col min="14" max="16384" width="9.140625" style="3"/>
  </cols>
  <sheetData>
    <row r="1" spans="1:13" s="2" customFormat="1" ht="29.1" customHeight="1" x14ac:dyDescent="0.2">
      <c r="A1" s="41" t="s">
        <v>1733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11</v>
      </c>
      <c r="E3" s="35" t="s">
        <v>4</v>
      </c>
      <c r="F3" s="35" t="s">
        <v>7</v>
      </c>
      <c r="G3" s="35" t="s">
        <v>14</v>
      </c>
      <c r="H3" s="35"/>
      <c r="I3" s="35"/>
      <c r="J3" s="35"/>
      <c r="K3" s="35" t="s">
        <v>587</v>
      </c>
      <c r="L3" s="35" t="s">
        <v>3</v>
      </c>
      <c r="M3" s="37" t="s">
        <v>2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5</v>
      </c>
      <c r="K4" s="36"/>
      <c r="L4" s="36"/>
      <c r="M4" s="38"/>
    </row>
    <row r="5" spans="1:13" ht="15" x14ac:dyDescent="0.2">
      <c r="A5" s="39" t="s">
        <v>29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1135</v>
      </c>
      <c r="B6" s="6" t="s">
        <v>1136</v>
      </c>
      <c r="C6" s="6" t="s">
        <v>1137</v>
      </c>
      <c r="D6" s="6" t="str">
        <f>"0,7352"</f>
        <v>0,7352</v>
      </c>
      <c r="E6" s="6" t="s">
        <v>20</v>
      </c>
      <c r="F6" s="6" t="s">
        <v>446</v>
      </c>
      <c r="G6" s="7" t="s">
        <v>216</v>
      </c>
      <c r="H6" s="7" t="s">
        <v>150</v>
      </c>
      <c r="I6" s="8" t="s">
        <v>74</v>
      </c>
      <c r="J6" s="8"/>
      <c r="K6" s="20" t="str">
        <f>"215,0"</f>
        <v>215,0</v>
      </c>
      <c r="L6" s="21" t="str">
        <f>"158,0680"</f>
        <v>158,0680</v>
      </c>
      <c r="M6" s="6" t="s">
        <v>1138</v>
      </c>
    </row>
    <row r="8" spans="1:13" ht="15" x14ac:dyDescent="0.2">
      <c r="A8" s="34" t="s">
        <v>41</v>
      </c>
      <c r="B8" s="34"/>
      <c r="C8" s="34"/>
      <c r="D8" s="34"/>
      <c r="E8" s="34"/>
      <c r="F8" s="34"/>
      <c r="G8" s="34"/>
      <c r="H8" s="34"/>
      <c r="I8" s="34"/>
      <c r="J8" s="34"/>
    </row>
    <row r="9" spans="1:13" x14ac:dyDescent="0.2">
      <c r="A9" s="9" t="s">
        <v>1140</v>
      </c>
      <c r="B9" s="9" t="s">
        <v>1141</v>
      </c>
      <c r="C9" s="9" t="s">
        <v>125</v>
      </c>
      <c r="D9" s="9" t="str">
        <f>"0,6729"</f>
        <v>0,6729</v>
      </c>
      <c r="E9" s="9" t="s">
        <v>20</v>
      </c>
      <c r="F9" s="9" t="s">
        <v>533</v>
      </c>
      <c r="G9" s="10" t="s">
        <v>62</v>
      </c>
      <c r="H9" s="10" t="s">
        <v>344</v>
      </c>
      <c r="I9" s="10" t="s">
        <v>1142</v>
      </c>
      <c r="J9" s="11"/>
      <c r="K9" s="22" t="str">
        <f>"285,0"</f>
        <v>285,0</v>
      </c>
      <c r="L9" s="23" t="str">
        <f>"191,7765"</f>
        <v>191,7765</v>
      </c>
      <c r="M9" s="9" t="s">
        <v>28</v>
      </c>
    </row>
    <row r="10" spans="1:13" x14ac:dyDescent="0.2">
      <c r="A10" s="12" t="s">
        <v>1144</v>
      </c>
      <c r="B10" s="12" t="s">
        <v>916</v>
      </c>
      <c r="C10" s="12" t="s">
        <v>1145</v>
      </c>
      <c r="D10" s="12" t="str">
        <f>"0,6865"</f>
        <v>0,6865</v>
      </c>
      <c r="E10" s="12" t="s">
        <v>20</v>
      </c>
      <c r="F10" s="12" t="s">
        <v>33</v>
      </c>
      <c r="G10" s="14" t="s">
        <v>62</v>
      </c>
      <c r="H10" s="14" t="s">
        <v>76</v>
      </c>
      <c r="I10" s="13" t="s">
        <v>72</v>
      </c>
      <c r="J10" s="13"/>
      <c r="K10" s="24" t="str">
        <f>"280,0"</f>
        <v>280,0</v>
      </c>
      <c r="L10" s="25" t="str">
        <f>"192,2200"</f>
        <v>192,2200</v>
      </c>
      <c r="M10" s="12" t="s">
        <v>147</v>
      </c>
    </row>
    <row r="11" spans="1:13" x14ac:dyDescent="0.2">
      <c r="A11" s="12" t="s">
        <v>1147</v>
      </c>
      <c r="B11" s="12" t="s">
        <v>1148</v>
      </c>
      <c r="C11" s="12" t="s">
        <v>410</v>
      </c>
      <c r="D11" s="12" t="str">
        <f>"0,6739"</f>
        <v>0,6739</v>
      </c>
      <c r="E11" s="12" t="s">
        <v>20</v>
      </c>
      <c r="F11" s="12" t="s">
        <v>1149</v>
      </c>
      <c r="G11" s="14" t="s">
        <v>48</v>
      </c>
      <c r="H11" s="14" t="s">
        <v>1150</v>
      </c>
      <c r="I11" s="13" t="s">
        <v>59</v>
      </c>
      <c r="J11" s="13"/>
      <c r="K11" s="24" t="str">
        <f>"252,5"</f>
        <v>252,5</v>
      </c>
      <c r="L11" s="25" t="str">
        <f>"170,1598"</f>
        <v>170,1598</v>
      </c>
      <c r="M11" s="12" t="s">
        <v>1151</v>
      </c>
    </row>
    <row r="12" spans="1:13" x14ac:dyDescent="0.2">
      <c r="A12" s="15" t="s">
        <v>1152</v>
      </c>
      <c r="B12" s="15" t="s">
        <v>413</v>
      </c>
      <c r="C12" s="15" t="s">
        <v>414</v>
      </c>
      <c r="D12" s="15" t="str">
        <f>"0,6774"</f>
        <v>0,6774</v>
      </c>
      <c r="E12" s="15" t="s">
        <v>20</v>
      </c>
      <c r="F12" s="15" t="s">
        <v>415</v>
      </c>
      <c r="G12" s="17" t="s">
        <v>39</v>
      </c>
      <c r="H12" s="16" t="s">
        <v>200</v>
      </c>
      <c r="I12" s="16" t="s">
        <v>141</v>
      </c>
      <c r="J12" s="17"/>
      <c r="K12" s="26" t="str">
        <f>"220,0"</f>
        <v>220,0</v>
      </c>
      <c r="L12" s="27" t="str">
        <f>"149,0280"</f>
        <v>149,0280</v>
      </c>
      <c r="M12" s="15" t="s">
        <v>417</v>
      </c>
    </row>
    <row r="14" spans="1:13" ht="15" x14ac:dyDescent="0.2">
      <c r="A14" s="34" t="s">
        <v>201</v>
      </c>
      <c r="B14" s="34"/>
      <c r="C14" s="34"/>
      <c r="D14" s="34"/>
      <c r="E14" s="34"/>
      <c r="F14" s="34"/>
      <c r="G14" s="34"/>
      <c r="H14" s="34"/>
      <c r="I14" s="34"/>
      <c r="J14" s="34"/>
    </row>
    <row r="15" spans="1:13" x14ac:dyDescent="0.2">
      <c r="A15" s="6" t="s">
        <v>1154</v>
      </c>
      <c r="B15" s="6" t="s">
        <v>1155</v>
      </c>
      <c r="C15" s="6" t="s">
        <v>1156</v>
      </c>
      <c r="D15" s="6" t="str">
        <f>"0,6507"</f>
        <v>0,6507</v>
      </c>
      <c r="E15" s="6" t="s">
        <v>20</v>
      </c>
      <c r="F15" s="6" t="s">
        <v>1157</v>
      </c>
      <c r="G15" s="7" t="s">
        <v>200</v>
      </c>
      <c r="H15" s="7" t="s">
        <v>74</v>
      </c>
      <c r="I15" s="7" t="s">
        <v>198</v>
      </c>
      <c r="J15" s="8"/>
      <c r="K15" s="20" t="str">
        <f>"237,5"</f>
        <v>237,5</v>
      </c>
      <c r="L15" s="21" t="str">
        <f>"207,0853"</f>
        <v>207,0853</v>
      </c>
      <c r="M15" s="6" t="s">
        <v>1158</v>
      </c>
    </row>
    <row r="17" spans="1:13" ht="15" x14ac:dyDescent="0.2">
      <c r="A17" s="34" t="s">
        <v>131</v>
      </c>
      <c r="B17" s="34"/>
      <c r="C17" s="34"/>
      <c r="D17" s="34"/>
      <c r="E17" s="34"/>
      <c r="F17" s="34"/>
      <c r="G17" s="34"/>
      <c r="H17" s="34"/>
      <c r="I17" s="34"/>
      <c r="J17" s="34"/>
    </row>
    <row r="18" spans="1:13" x14ac:dyDescent="0.2">
      <c r="A18" s="9" t="s">
        <v>1160</v>
      </c>
      <c r="B18" s="9" t="s">
        <v>1161</v>
      </c>
      <c r="C18" s="9" t="s">
        <v>1162</v>
      </c>
      <c r="D18" s="9" t="str">
        <f>"0,6194"</f>
        <v>0,6194</v>
      </c>
      <c r="E18" s="9" t="s">
        <v>20</v>
      </c>
      <c r="F18" s="9" t="s">
        <v>415</v>
      </c>
      <c r="G18" s="10" t="s">
        <v>150</v>
      </c>
      <c r="H18" s="10" t="s">
        <v>74</v>
      </c>
      <c r="I18" s="10" t="s">
        <v>197</v>
      </c>
      <c r="J18" s="11"/>
      <c r="K18" s="22" t="str">
        <f>"232,5"</f>
        <v>232,5</v>
      </c>
      <c r="L18" s="23" t="str">
        <f>"144,0105"</f>
        <v>144,0105</v>
      </c>
      <c r="M18" s="9" t="s">
        <v>1163</v>
      </c>
    </row>
    <row r="19" spans="1:13" x14ac:dyDescent="0.2">
      <c r="A19" s="12" t="s">
        <v>1165</v>
      </c>
      <c r="B19" s="12" t="s">
        <v>1166</v>
      </c>
      <c r="C19" s="12" t="s">
        <v>485</v>
      </c>
      <c r="D19" s="12" t="str">
        <f>"0,6180"</f>
        <v>0,6180</v>
      </c>
      <c r="E19" s="12" t="s">
        <v>214</v>
      </c>
      <c r="F19" s="12" t="s">
        <v>33</v>
      </c>
      <c r="G19" s="14" t="s">
        <v>1167</v>
      </c>
      <c r="H19" s="14" t="s">
        <v>1168</v>
      </c>
      <c r="I19" s="13" t="s">
        <v>1169</v>
      </c>
      <c r="J19" s="13"/>
      <c r="K19" s="24" t="str">
        <f>"370,0"</f>
        <v>370,0</v>
      </c>
      <c r="L19" s="25" t="str">
        <f>"228,6600"</f>
        <v>228,6600</v>
      </c>
      <c r="M19" s="12" t="s">
        <v>1170</v>
      </c>
    </row>
    <row r="20" spans="1:13" x14ac:dyDescent="0.2">
      <c r="A20" s="12" t="s">
        <v>1172</v>
      </c>
      <c r="B20" s="12" t="s">
        <v>1173</v>
      </c>
      <c r="C20" s="12" t="s">
        <v>1174</v>
      </c>
      <c r="D20" s="12" t="str">
        <f>"0,6098"</f>
        <v>0,6098</v>
      </c>
      <c r="E20" s="12" t="s">
        <v>20</v>
      </c>
      <c r="F20" s="12" t="s">
        <v>33</v>
      </c>
      <c r="G20" s="13" t="s">
        <v>1175</v>
      </c>
      <c r="H20" s="13" t="s">
        <v>1176</v>
      </c>
      <c r="I20" s="14" t="s">
        <v>1176</v>
      </c>
      <c r="J20" s="13"/>
      <c r="K20" s="24" t="str">
        <f>"357,5"</f>
        <v>357,5</v>
      </c>
      <c r="L20" s="25" t="str">
        <f>"218,0035"</f>
        <v>218,0035</v>
      </c>
      <c r="M20" s="12" t="s">
        <v>147</v>
      </c>
    </row>
    <row r="21" spans="1:13" x14ac:dyDescent="0.2">
      <c r="A21" s="12" t="s">
        <v>1178</v>
      </c>
      <c r="B21" s="12" t="s">
        <v>1179</v>
      </c>
      <c r="C21" s="12" t="s">
        <v>907</v>
      </c>
      <c r="D21" s="12" t="str">
        <f>"0,6155"</f>
        <v>0,6155</v>
      </c>
      <c r="E21" s="12" t="s">
        <v>20</v>
      </c>
      <c r="F21" s="12" t="s">
        <v>415</v>
      </c>
      <c r="G21" s="13" t="s">
        <v>78</v>
      </c>
      <c r="H21" s="14" t="s">
        <v>1180</v>
      </c>
      <c r="I21" s="13" t="s">
        <v>146</v>
      </c>
      <c r="J21" s="13"/>
      <c r="K21" s="24" t="str">
        <f>"315,0"</f>
        <v>315,0</v>
      </c>
      <c r="L21" s="25" t="str">
        <f>"193,8825"</f>
        <v>193,8825</v>
      </c>
      <c r="M21" s="12" t="s">
        <v>28</v>
      </c>
    </row>
    <row r="22" spans="1:13" x14ac:dyDescent="0.2">
      <c r="A22" s="12" t="s">
        <v>1182</v>
      </c>
      <c r="B22" s="12" t="s">
        <v>1183</v>
      </c>
      <c r="C22" s="12" t="s">
        <v>1184</v>
      </c>
      <c r="D22" s="12" t="str">
        <f>"0,6220"</f>
        <v>0,6220</v>
      </c>
      <c r="E22" s="12" t="s">
        <v>126</v>
      </c>
      <c r="F22" s="12" t="s">
        <v>446</v>
      </c>
      <c r="G22" s="14" t="s">
        <v>49</v>
      </c>
      <c r="H22" s="13" t="s">
        <v>71</v>
      </c>
      <c r="I22" s="14" t="s">
        <v>71</v>
      </c>
      <c r="J22" s="13"/>
      <c r="K22" s="24" t="str">
        <f>"270,0"</f>
        <v>270,0</v>
      </c>
      <c r="L22" s="25" t="str">
        <f>"167,9400"</f>
        <v>167,9400</v>
      </c>
      <c r="M22" s="12" t="s">
        <v>758</v>
      </c>
    </row>
    <row r="23" spans="1:13" x14ac:dyDescent="0.2">
      <c r="A23" s="15" t="s">
        <v>1186</v>
      </c>
      <c r="B23" s="15" t="s">
        <v>1187</v>
      </c>
      <c r="C23" s="15" t="s">
        <v>1188</v>
      </c>
      <c r="D23" s="15" t="str">
        <f>"0,6166"</f>
        <v>0,6166</v>
      </c>
      <c r="E23" s="15" t="s">
        <v>20</v>
      </c>
      <c r="F23" s="15" t="s">
        <v>1189</v>
      </c>
      <c r="G23" s="16" t="s">
        <v>49</v>
      </c>
      <c r="H23" s="16" t="s">
        <v>59</v>
      </c>
      <c r="I23" s="17" t="s">
        <v>71</v>
      </c>
      <c r="J23" s="17"/>
      <c r="K23" s="26" t="str">
        <f>"265,0"</f>
        <v>265,0</v>
      </c>
      <c r="L23" s="27" t="str">
        <f>"187,4186"</f>
        <v>187,4186</v>
      </c>
      <c r="M23" s="15" t="s">
        <v>1190</v>
      </c>
    </row>
    <row r="25" spans="1:13" ht="15" x14ac:dyDescent="0.2">
      <c r="A25" s="34" t="s">
        <v>66</v>
      </c>
      <c r="B25" s="34"/>
      <c r="C25" s="34"/>
      <c r="D25" s="34"/>
      <c r="E25" s="34"/>
      <c r="F25" s="34"/>
      <c r="G25" s="34"/>
      <c r="H25" s="34"/>
      <c r="I25" s="34"/>
      <c r="J25" s="34"/>
    </row>
    <row r="26" spans="1:13" x14ac:dyDescent="0.2">
      <c r="A26" s="9" t="s">
        <v>1192</v>
      </c>
      <c r="B26" s="9" t="s">
        <v>1193</v>
      </c>
      <c r="C26" s="9" t="s">
        <v>1194</v>
      </c>
      <c r="D26" s="9" t="str">
        <f>"0,6017"</f>
        <v>0,6017</v>
      </c>
      <c r="E26" s="9" t="s">
        <v>20</v>
      </c>
      <c r="F26" s="9" t="s">
        <v>1195</v>
      </c>
      <c r="G26" s="10" t="s">
        <v>1196</v>
      </c>
      <c r="H26" s="11"/>
      <c r="I26" s="11"/>
      <c r="J26" s="11"/>
      <c r="K26" s="22" t="str">
        <f>"445,0"</f>
        <v>445,0</v>
      </c>
      <c r="L26" s="23" t="str">
        <f>"267,7565"</f>
        <v>267,7565</v>
      </c>
      <c r="M26" s="9" t="s">
        <v>147</v>
      </c>
    </row>
    <row r="27" spans="1:13" x14ac:dyDescent="0.2">
      <c r="A27" s="12" t="s">
        <v>1198</v>
      </c>
      <c r="B27" s="12" t="s">
        <v>1199</v>
      </c>
      <c r="C27" s="12" t="s">
        <v>1200</v>
      </c>
      <c r="D27" s="12" t="str">
        <f>"0,5976"</f>
        <v>0,5976</v>
      </c>
      <c r="E27" s="12" t="s">
        <v>20</v>
      </c>
      <c r="F27" s="12" t="s">
        <v>1201</v>
      </c>
      <c r="G27" s="14" t="s">
        <v>165</v>
      </c>
      <c r="H27" s="14" t="s">
        <v>1202</v>
      </c>
      <c r="I27" s="13" t="s">
        <v>166</v>
      </c>
      <c r="J27" s="13"/>
      <c r="K27" s="24" t="str">
        <f>"325,0"</f>
        <v>325,0</v>
      </c>
      <c r="L27" s="25" t="str">
        <f>"194,2200"</f>
        <v>194,2200</v>
      </c>
      <c r="M27" s="12" t="s">
        <v>147</v>
      </c>
    </row>
    <row r="28" spans="1:13" x14ac:dyDescent="0.2">
      <c r="A28" s="15" t="s">
        <v>1204</v>
      </c>
      <c r="B28" s="15" t="s">
        <v>1205</v>
      </c>
      <c r="C28" s="15" t="s">
        <v>1206</v>
      </c>
      <c r="D28" s="15" t="str">
        <f>"0,5941"</f>
        <v>0,5941</v>
      </c>
      <c r="E28" s="15" t="s">
        <v>20</v>
      </c>
      <c r="F28" s="15" t="s">
        <v>206</v>
      </c>
      <c r="G28" s="16" t="s">
        <v>62</v>
      </c>
      <c r="H28" s="16" t="s">
        <v>634</v>
      </c>
      <c r="I28" s="17" t="s">
        <v>1207</v>
      </c>
      <c r="J28" s="17"/>
      <c r="K28" s="26" t="str">
        <f>"282,5"</f>
        <v>282,5</v>
      </c>
      <c r="L28" s="27" t="str">
        <f>"189,6516"</f>
        <v>189,6516</v>
      </c>
      <c r="M28" s="15" t="s">
        <v>1208</v>
      </c>
    </row>
    <row r="30" spans="1:13" ht="15" x14ac:dyDescent="0.2">
      <c r="E30" s="18" t="s">
        <v>80</v>
      </c>
    </row>
    <row r="31" spans="1:13" ht="15" x14ac:dyDescent="0.2">
      <c r="E31" s="18" t="s">
        <v>81</v>
      </c>
    </row>
    <row r="32" spans="1:13" ht="15" x14ac:dyDescent="0.2">
      <c r="E32" s="18" t="s">
        <v>82</v>
      </c>
    </row>
    <row r="33" spans="1:5" ht="15" x14ac:dyDescent="0.2">
      <c r="E33" s="18" t="s">
        <v>83</v>
      </c>
    </row>
    <row r="34" spans="1:5" ht="15" x14ac:dyDescent="0.2">
      <c r="E34" s="18" t="s">
        <v>83</v>
      </c>
    </row>
    <row r="35" spans="1:5" ht="15" x14ac:dyDescent="0.2">
      <c r="E35" s="18" t="s">
        <v>84</v>
      </c>
    </row>
    <row r="36" spans="1:5" ht="15" x14ac:dyDescent="0.2">
      <c r="E36" s="18"/>
    </row>
    <row r="38" spans="1:5" ht="18" x14ac:dyDescent="0.25">
      <c r="A38" s="28" t="s">
        <v>85</v>
      </c>
      <c r="B38" s="28"/>
    </row>
    <row r="39" spans="1:5" ht="15" x14ac:dyDescent="0.2">
      <c r="A39" s="29" t="s">
        <v>97</v>
      </c>
      <c r="B39" s="29"/>
    </row>
    <row r="40" spans="1:5" ht="14.25" x14ac:dyDescent="0.2">
      <c r="A40" s="31"/>
      <c r="B40" s="32" t="s">
        <v>98</v>
      </c>
    </row>
    <row r="41" spans="1:5" ht="15" x14ac:dyDescent="0.2">
      <c r="A41" s="33" t="s">
        <v>88</v>
      </c>
      <c r="B41" s="33" t="s">
        <v>89</v>
      </c>
      <c r="C41" s="33" t="s">
        <v>90</v>
      </c>
      <c r="D41" s="33" t="s">
        <v>549</v>
      </c>
      <c r="E41" s="33" t="s">
        <v>92</v>
      </c>
    </row>
    <row r="42" spans="1:5" x14ac:dyDescent="0.2">
      <c r="A42" s="30" t="s">
        <v>1159</v>
      </c>
      <c r="B42" s="4" t="s">
        <v>99</v>
      </c>
      <c r="C42" s="4" t="s">
        <v>152</v>
      </c>
      <c r="D42" s="4" t="s">
        <v>197</v>
      </c>
      <c r="E42" s="19" t="s">
        <v>1209</v>
      </c>
    </row>
    <row r="44" spans="1:5" ht="14.25" x14ac:dyDescent="0.2">
      <c r="A44" s="31"/>
      <c r="B44" s="32" t="s">
        <v>103</v>
      </c>
    </row>
    <row r="45" spans="1:5" ht="15" x14ac:dyDescent="0.2">
      <c r="A45" s="33" t="s">
        <v>88</v>
      </c>
      <c r="B45" s="33" t="s">
        <v>89</v>
      </c>
      <c r="C45" s="33" t="s">
        <v>90</v>
      </c>
      <c r="D45" s="33" t="s">
        <v>549</v>
      </c>
      <c r="E45" s="33" t="s">
        <v>92</v>
      </c>
    </row>
    <row r="46" spans="1:5" x14ac:dyDescent="0.2">
      <c r="A46" s="30" t="s">
        <v>1191</v>
      </c>
      <c r="B46" s="4" t="s">
        <v>103</v>
      </c>
      <c r="C46" s="4" t="s">
        <v>104</v>
      </c>
      <c r="D46" s="4" t="s">
        <v>1196</v>
      </c>
      <c r="E46" s="19" t="s">
        <v>1210</v>
      </c>
    </row>
    <row r="47" spans="1:5" x14ac:dyDescent="0.2">
      <c r="A47" s="30" t="s">
        <v>1164</v>
      </c>
      <c r="B47" s="4" t="s">
        <v>103</v>
      </c>
      <c r="C47" s="4" t="s">
        <v>152</v>
      </c>
      <c r="D47" s="4" t="s">
        <v>1168</v>
      </c>
      <c r="E47" s="19" t="s">
        <v>1211</v>
      </c>
    </row>
    <row r="48" spans="1:5" x14ac:dyDescent="0.2">
      <c r="A48" s="30" t="s">
        <v>1171</v>
      </c>
      <c r="B48" s="4" t="s">
        <v>103</v>
      </c>
      <c r="C48" s="4" t="s">
        <v>152</v>
      </c>
      <c r="D48" s="4" t="s">
        <v>1176</v>
      </c>
      <c r="E48" s="19" t="s">
        <v>1212</v>
      </c>
    </row>
    <row r="49" spans="1:5" x14ac:dyDescent="0.2">
      <c r="A49" s="30" t="s">
        <v>1197</v>
      </c>
      <c r="B49" s="4" t="s">
        <v>103</v>
      </c>
      <c r="C49" s="4" t="s">
        <v>104</v>
      </c>
      <c r="D49" s="4" t="s">
        <v>1202</v>
      </c>
      <c r="E49" s="19" t="s">
        <v>1213</v>
      </c>
    </row>
    <row r="50" spans="1:5" x14ac:dyDescent="0.2">
      <c r="A50" s="30" t="s">
        <v>1177</v>
      </c>
      <c r="B50" s="4" t="s">
        <v>103</v>
      </c>
      <c r="C50" s="4" t="s">
        <v>152</v>
      </c>
      <c r="D50" s="4" t="s">
        <v>1180</v>
      </c>
      <c r="E50" s="19" t="s">
        <v>1214</v>
      </c>
    </row>
    <row r="51" spans="1:5" x14ac:dyDescent="0.2">
      <c r="A51" s="30" t="s">
        <v>1143</v>
      </c>
      <c r="B51" s="4" t="s">
        <v>103</v>
      </c>
      <c r="C51" s="4" t="s">
        <v>100</v>
      </c>
      <c r="D51" s="4" t="s">
        <v>76</v>
      </c>
      <c r="E51" s="19" t="s">
        <v>1215</v>
      </c>
    </row>
    <row r="52" spans="1:5" x14ac:dyDescent="0.2">
      <c r="A52" s="30" t="s">
        <v>1139</v>
      </c>
      <c r="B52" s="4" t="s">
        <v>103</v>
      </c>
      <c r="C52" s="4" t="s">
        <v>100</v>
      </c>
      <c r="D52" s="4" t="s">
        <v>1142</v>
      </c>
      <c r="E52" s="19" t="s">
        <v>1216</v>
      </c>
    </row>
    <row r="53" spans="1:5" x14ac:dyDescent="0.2">
      <c r="A53" s="30" t="s">
        <v>1146</v>
      </c>
      <c r="B53" s="4" t="s">
        <v>103</v>
      </c>
      <c r="C53" s="4" t="s">
        <v>100</v>
      </c>
      <c r="D53" s="4" t="s">
        <v>1150</v>
      </c>
      <c r="E53" s="19" t="s">
        <v>1217</v>
      </c>
    </row>
    <row r="54" spans="1:5" x14ac:dyDescent="0.2">
      <c r="A54" s="30" t="s">
        <v>1181</v>
      </c>
      <c r="B54" s="4" t="s">
        <v>103</v>
      </c>
      <c r="C54" s="4" t="s">
        <v>152</v>
      </c>
      <c r="D54" s="4" t="s">
        <v>71</v>
      </c>
      <c r="E54" s="19" t="s">
        <v>1218</v>
      </c>
    </row>
    <row r="55" spans="1:5" x14ac:dyDescent="0.2">
      <c r="A55" s="30" t="s">
        <v>1134</v>
      </c>
      <c r="B55" s="4" t="s">
        <v>103</v>
      </c>
      <c r="C55" s="4" t="s">
        <v>242</v>
      </c>
      <c r="D55" s="4" t="s">
        <v>150</v>
      </c>
      <c r="E55" s="19" t="s">
        <v>1219</v>
      </c>
    </row>
    <row r="56" spans="1:5" x14ac:dyDescent="0.2">
      <c r="A56" s="30" t="s">
        <v>411</v>
      </c>
      <c r="B56" s="4" t="s">
        <v>103</v>
      </c>
      <c r="C56" s="4" t="s">
        <v>100</v>
      </c>
      <c r="D56" s="4" t="s">
        <v>141</v>
      </c>
      <c r="E56" s="19" t="s">
        <v>1220</v>
      </c>
    </row>
    <row r="58" spans="1:5" ht="14.25" x14ac:dyDescent="0.2">
      <c r="A58" s="31"/>
      <c r="B58" s="32" t="s">
        <v>87</v>
      </c>
    </row>
    <row r="59" spans="1:5" ht="15" x14ac:dyDescent="0.2">
      <c r="A59" s="33" t="s">
        <v>88</v>
      </c>
      <c r="B59" s="33" t="s">
        <v>89</v>
      </c>
      <c r="C59" s="33" t="s">
        <v>90</v>
      </c>
      <c r="D59" s="33" t="s">
        <v>549</v>
      </c>
      <c r="E59" s="33" t="s">
        <v>92</v>
      </c>
    </row>
    <row r="60" spans="1:5" x14ac:dyDescent="0.2">
      <c r="A60" s="30" t="s">
        <v>1153</v>
      </c>
      <c r="B60" s="4" t="s">
        <v>568</v>
      </c>
      <c r="C60" s="4" t="s">
        <v>248</v>
      </c>
      <c r="D60" s="4" t="s">
        <v>198</v>
      </c>
      <c r="E60" s="19" t="s">
        <v>1221</v>
      </c>
    </row>
    <row r="61" spans="1:5" x14ac:dyDescent="0.2">
      <c r="A61" s="30" t="s">
        <v>1203</v>
      </c>
      <c r="B61" s="4" t="s">
        <v>93</v>
      </c>
      <c r="C61" s="4" t="s">
        <v>104</v>
      </c>
      <c r="D61" s="4" t="s">
        <v>634</v>
      </c>
      <c r="E61" s="19" t="s">
        <v>1222</v>
      </c>
    </row>
    <row r="62" spans="1:5" x14ac:dyDescent="0.2">
      <c r="A62" s="30" t="s">
        <v>1185</v>
      </c>
      <c r="B62" s="4" t="s">
        <v>93</v>
      </c>
      <c r="C62" s="4" t="s">
        <v>152</v>
      </c>
      <c r="D62" s="4" t="s">
        <v>59</v>
      </c>
      <c r="E62" s="19" t="s">
        <v>1223</v>
      </c>
    </row>
  </sheetData>
  <mergeCells count="16"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4:J14"/>
    <mergeCell ref="A17:J17"/>
    <mergeCell ref="A25:J25"/>
    <mergeCell ref="K3:K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O6" sqref="O6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7.28515625" style="4" bestFit="1" customWidth="1"/>
    <col min="7" max="7" width="12.42578125" style="3" customWidth="1"/>
    <col min="8" max="8" width="15.28515625" style="3" customWidth="1"/>
    <col min="9" max="9" width="10.85546875" style="19" customWidth="1"/>
    <col min="10" max="10" width="9.5703125" style="2" bestFit="1" customWidth="1"/>
    <col min="11" max="11" width="16.85546875" style="4" bestFit="1" customWidth="1"/>
    <col min="12" max="16384" width="9.140625" style="3"/>
  </cols>
  <sheetData>
    <row r="1" spans="1:11" s="2" customFormat="1" ht="29.1" customHeight="1" x14ac:dyDescent="0.2">
      <c r="A1" s="41" t="s">
        <v>1735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2" customFormat="1" ht="62.1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1" customFormat="1" ht="12.75" customHeight="1" x14ac:dyDescent="0.2">
      <c r="A3" s="47" t="s">
        <v>0</v>
      </c>
      <c r="B3" s="49" t="s">
        <v>6</v>
      </c>
      <c r="C3" s="49" t="s">
        <v>10</v>
      </c>
      <c r="D3" s="35" t="s">
        <v>1403</v>
      </c>
      <c r="E3" s="35" t="s">
        <v>4</v>
      </c>
      <c r="F3" s="35" t="s">
        <v>7</v>
      </c>
      <c r="G3" s="35" t="s">
        <v>1734</v>
      </c>
      <c r="H3" s="35"/>
      <c r="I3" s="35" t="s">
        <v>1492</v>
      </c>
      <c r="J3" s="35" t="s">
        <v>3</v>
      </c>
      <c r="K3" s="37" t="s">
        <v>2</v>
      </c>
    </row>
    <row r="4" spans="1:11" s="1" customFormat="1" ht="21" customHeight="1" thickBot="1" x14ac:dyDescent="0.25">
      <c r="A4" s="48"/>
      <c r="B4" s="36"/>
      <c r="C4" s="36"/>
      <c r="D4" s="36"/>
      <c r="E4" s="36"/>
      <c r="F4" s="36"/>
      <c r="G4" s="5" t="s">
        <v>8</v>
      </c>
      <c r="H4" s="5" t="s">
        <v>9</v>
      </c>
      <c r="I4" s="36"/>
      <c r="J4" s="36"/>
      <c r="K4" s="38"/>
    </row>
    <row r="5" spans="1:11" ht="15" x14ac:dyDescent="0.2">
      <c r="A5" s="39" t="s">
        <v>29</v>
      </c>
      <c r="B5" s="40"/>
      <c r="C5" s="40"/>
      <c r="D5" s="40"/>
      <c r="E5" s="40"/>
      <c r="F5" s="40"/>
      <c r="G5" s="40"/>
      <c r="H5" s="40"/>
    </row>
    <row r="6" spans="1:11" x14ac:dyDescent="0.2">
      <c r="A6" s="6" t="s">
        <v>1405</v>
      </c>
      <c r="B6" s="6" t="s">
        <v>1406</v>
      </c>
      <c r="C6" s="6" t="s">
        <v>781</v>
      </c>
      <c r="D6" s="6" t="str">
        <f>"0,6940"</f>
        <v>0,6940</v>
      </c>
      <c r="E6" s="6" t="s">
        <v>20</v>
      </c>
      <c r="F6" s="6" t="s">
        <v>1407</v>
      </c>
      <c r="G6" s="7" t="s">
        <v>117</v>
      </c>
      <c r="H6" s="7" t="s">
        <v>1408</v>
      </c>
      <c r="I6" s="20" t="str">
        <f>"6150,0"</f>
        <v>6150,0</v>
      </c>
      <c r="J6" s="21" t="str">
        <f>"4268,1000"</f>
        <v>4268,1000</v>
      </c>
      <c r="K6" s="6" t="s">
        <v>1409</v>
      </c>
    </row>
    <row r="8" spans="1:11" ht="15" x14ac:dyDescent="0.2">
      <c r="A8" s="34" t="s">
        <v>41</v>
      </c>
      <c r="B8" s="34"/>
      <c r="C8" s="34"/>
      <c r="D8" s="34"/>
      <c r="E8" s="34"/>
      <c r="F8" s="34"/>
      <c r="G8" s="34"/>
      <c r="H8" s="34"/>
    </row>
    <row r="9" spans="1:11" x14ac:dyDescent="0.2">
      <c r="A9" s="9" t="s">
        <v>1411</v>
      </c>
      <c r="B9" s="9" t="s">
        <v>1412</v>
      </c>
      <c r="C9" s="9" t="s">
        <v>1413</v>
      </c>
      <c r="D9" s="9" t="str">
        <f>"0,6700"</f>
        <v>0,6700</v>
      </c>
      <c r="E9" s="9" t="s">
        <v>20</v>
      </c>
      <c r="F9" s="9" t="s">
        <v>1414</v>
      </c>
      <c r="G9" s="10" t="s">
        <v>25</v>
      </c>
      <c r="H9" s="10" t="s">
        <v>1415</v>
      </c>
      <c r="I9" s="22" t="str">
        <f>"2160,0"</f>
        <v>2160,0</v>
      </c>
      <c r="J9" s="23" t="str">
        <f>"1447,0920"</f>
        <v>1447,0920</v>
      </c>
      <c r="K9" s="9" t="s">
        <v>1416</v>
      </c>
    </row>
    <row r="10" spans="1:11" x14ac:dyDescent="0.2">
      <c r="A10" s="15" t="s">
        <v>1418</v>
      </c>
      <c r="B10" s="15" t="s">
        <v>1419</v>
      </c>
      <c r="C10" s="15" t="s">
        <v>1420</v>
      </c>
      <c r="D10" s="15" t="str">
        <f>"0,6503"</f>
        <v>0,6503</v>
      </c>
      <c r="E10" s="15" t="s">
        <v>20</v>
      </c>
      <c r="F10" s="15" t="s">
        <v>1421</v>
      </c>
      <c r="G10" s="16" t="s">
        <v>591</v>
      </c>
      <c r="H10" s="16" t="s">
        <v>1422</v>
      </c>
      <c r="I10" s="26" t="str">
        <f>"2640,0"</f>
        <v>2640,0</v>
      </c>
      <c r="J10" s="27" t="str">
        <f>"1750,9932"</f>
        <v>1750,9932</v>
      </c>
      <c r="K10" s="15" t="s">
        <v>1423</v>
      </c>
    </row>
    <row r="12" spans="1:11" ht="15" x14ac:dyDescent="0.2">
      <c r="A12" s="34" t="s">
        <v>201</v>
      </c>
      <c r="B12" s="34"/>
      <c r="C12" s="34"/>
      <c r="D12" s="34"/>
      <c r="E12" s="34"/>
      <c r="F12" s="34"/>
      <c r="G12" s="34"/>
      <c r="H12" s="34"/>
    </row>
    <row r="13" spans="1:11" x14ac:dyDescent="0.2">
      <c r="A13" s="9" t="s">
        <v>1425</v>
      </c>
      <c r="B13" s="9" t="s">
        <v>1426</v>
      </c>
      <c r="C13" s="9" t="s">
        <v>902</v>
      </c>
      <c r="D13" s="9" t="str">
        <f>"0,6122"</f>
        <v>0,6122</v>
      </c>
      <c r="E13" s="9" t="s">
        <v>20</v>
      </c>
      <c r="F13" s="9" t="s">
        <v>400</v>
      </c>
      <c r="G13" s="10" t="s">
        <v>26</v>
      </c>
      <c r="H13" s="10" t="s">
        <v>1427</v>
      </c>
      <c r="I13" s="22" t="str">
        <f>"6390,0"</f>
        <v>6390,0</v>
      </c>
      <c r="J13" s="23" t="str">
        <f>"3912,2773"</f>
        <v>3912,2773</v>
      </c>
      <c r="K13" s="9" t="s">
        <v>1428</v>
      </c>
    </row>
    <row r="14" spans="1:11" x14ac:dyDescent="0.2">
      <c r="A14" s="12" t="s">
        <v>1430</v>
      </c>
      <c r="B14" s="12" t="s">
        <v>1431</v>
      </c>
      <c r="C14" s="12" t="s">
        <v>1432</v>
      </c>
      <c r="D14" s="12" t="str">
        <f>"0,6222"</f>
        <v>0,6222</v>
      </c>
      <c r="E14" s="12" t="s">
        <v>214</v>
      </c>
      <c r="F14" s="12" t="s">
        <v>33</v>
      </c>
      <c r="G14" s="14" t="s">
        <v>269</v>
      </c>
      <c r="H14" s="14" t="s">
        <v>116</v>
      </c>
      <c r="I14" s="24" t="str">
        <f>"5687,5"</f>
        <v>5687,5</v>
      </c>
      <c r="J14" s="25" t="str">
        <f>"3538,4781"</f>
        <v>3538,4781</v>
      </c>
      <c r="K14" s="12" t="s">
        <v>1433</v>
      </c>
    </row>
    <row r="15" spans="1:11" x14ac:dyDescent="0.2">
      <c r="A15" s="12" t="s">
        <v>1434</v>
      </c>
      <c r="B15" s="12" t="s">
        <v>1435</v>
      </c>
      <c r="C15" s="12" t="s">
        <v>1432</v>
      </c>
      <c r="D15" s="12" t="str">
        <f>"0,6222"</f>
        <v>0,6222</v>
      </c>
      <c r="E15" s="12" t="s">
        <v>214</v>
      </c>
      <c r="F15" s="12" t="s">
        <v>33</v>
      </c>
      <c r="G15" s="14" t="s">
        <v>269</v>
      </c>
      <c r="H15" s="14" t="s">
        <v>116</v>
      </c>
      <c r="I15" s="24" t="str">
        <f>"5687,5"</f>
        <v>5687,5</v>
      </c>
      <c r="J15" s="25" t="str">
        <f>"3828,6334"</f>
        <v>3828,6334</v>
      </c>
      <c r="K15" s="12" t="s">
        <v>1433</v>
      </c>
    </row>
    <row r="16" spans="1:11" x14ac:dyDescent="0.2">
      <c r="A16" s="12" t="s">
        <v>1437</v>
      </c>
      <c r="B16" s="12" t="s">
        <v>1438</v>
      </c>
      <c r="C16" s="12" t="s">
        <v>1439</v>
      </c>
      <c r="D16" s="12" t="str">
        <f>"0,6161"</f>
        <v>0,6161</v>
      </c>
      <c r="E16" s="12" t="s">
        <v>20</v>
      </c>
      <c r="F16" s="12" t="s">
        <v>1440</v>
      </c>
      <c r="G16" s="14" t="s">
        <v>26</v>
      </c>
      <c r="H16" s="14" t="s">
        <v>25</v>
      </c>
      <c r="I16" s="24" t="str">
        <f>"7200,0"</f>
        <v>7200,0</v>
      </c>
      <c r="J16" s="25" t="str">
        <f>"5340,4143"</f>
        <v>5340,4143</v>
      </c>
      <c r="K16" s="12" t="s">
        <v>1441</v>
      </c>
    </row>
    <row r="17" spans="1:11" x14ac:dyDescent="0.2">
      <c r="A17" s="15" t="s">
        <v>1442</v>
      </c>
      <c r="B17" s="15" t="s">
        <v>436</v>
      </c>
      <c r="C17" s="15" t="s">
        <v>437</v>
      </c>
      <c r="D17" s="15" t="str">
        <f>"0,6177"</f>
        <v>0,6177</v>
      </c>
      <c r="E17" s="15" t="s">
        <v>20</v>
      </c>
      <c r="F17" s="15" t="s">
        <v>33</v>
      </c>
      <c r="G17" s="16" t="s">
        <v>26</v>
      </c>
      <c r="H17" s="16" t="s">
        <v>1443</v>
      </c>
      <c r="I17" s="26" t="str">
        <f>"0.00"</f>
        <v>0.00</v>
      </c>
      <c r="J17" s="27" t="str">
        <f>"0,0000"</f>
        <v>0,0000</v>
      </c>
      <c r="K17" s="15" t="s">
        <v>271</v>
      </c>
    </row>
    <row r="19" spans="1:11" ht="15" x14ac:dyDescent="0.2">
      <c r="A19" s="34" t="s">
        <v>131</v>
      </c>
      <c r="B19" s="34"/>
      <c r="C19" s="34"/>
      <c r="D19" s="34"/>
      <c r="E19" s="34"/>
      <c r="F19" s="34"/>
      <c r="G19" s="34"/>
      <c r="H19" s="34"/>
    </row>
    <row r="20" spans="1:11" x14ac:dyDescent="0.2">
      <c r="A20" s="9" t="s">
        <v>1445</v>
      </c>
      <c r="B20" s="9" t="s">
        <v>1446</v>
      </c>
      <c r="C20" s="9" t="s">
        <v>1447</v>
      </c>
      <c r="D20" s="9" t="str">
        <f>"0,6104"</f>
        <v>0,6104</v>
      </c>
      <c r="E20" s="9" t="s">
        <v>20</v>
      </c>
      <c r="F20" s="9" t="s">
        <v>33</v>
      </c>
      <c r="G20" s="10" t="s">
        <v>270</v>
      </c>
      <c r="H20" s="10" t="s">
        <v>687</v>
      </c>
      <c r="I20" s="22" t="str">
        <f>"3237,5"</f>
        <v>3237,5</v>
      </c>
      <c r="J20" s="23" t="str">
        <f>"1976,1701"</f>
        <v>1976,1701</v>
      </c>
      <c r="K20" s="9" t="s">
        <v>28</v>
      </c>
    </row>
    <row r="21" spans="1:11" x14ac:dyDescent="0.2">
      <c r="A21" s="15" t="s">
        <v>1449</v>
      </c>
      <c r="B21" s="15" t="s">
        <v>1450</v>
      </c>
      <c r="C21" s="15" t="s">
        <v>1451</v>
      </c>
      <c r="D21" s="15" t="str">
        <f>"0,5971"</f>
        <v>0,5971</v>
      </c>
      <c r="E21" s="15" t="s">
        <v>20</v>
      </c>
      <c r="F21" s="15" t="s">
        <v>33</v>
      </c>
      <c r="G21" s="16" t="s">
        <v>277</v>
      </c>
      <c r="H21" s="16" t="s">
        <v>1452</v>
      </c>
      <c r="I21" s="26" t="str">
        <f>"1710,0"</f>
        <v>1710,0</v>
      </c>
      <c r="J21" s="27" t="str">
        <f>"1272,2171"</f>
        <v>1272,2171</v>
      </c>
      <c r="K21" s="15" t="s">
        <v>1453</v>
      </c>
    </row>
    <row r="23" spans="1:11" ht="15" x14ac:dyDescent="0.2">
      <c r="A23" s="34" t="s">
        <v>66</v>
      </c>
      <c r="B23" s="34"/>
      <c r="C23" s="34"/>
      <c r="D23" s="34"/>
      <c r="E23" s="34"/>
      <c r="F23" s="34"/>
      <c r="G23" s="34"/>
      <c r="H23" s="34"/>
    </row>
    <row r="24" spans="1:11" x14ac:dyDescent="0.2">
      <c r="A24" s="9" t="s">
        <v>1455</v>
      </c>
      <c r="B24" s="9" t="s">
        <v>1456</v>
      </c>
      <c r="C24" s="9" t="s">
        <v>1457</v>
      </c>
      <c r="D24" s="9" t="str">
        <f>"0,5778"</f>
        <v>0,5778</v>
      </c>
      <c r="E24" s="9" t="s">
        <v>20</v>
      </c>
      <c r="F24" s="9" t="s">
        <v>446</v>
      </c>
      <c r="G24" s="10" t="s">
        <v>433</v>
      </c>
      <c r="H24" s="10" t="s">
        <v>1458</v>
      </c>
      <c r="I24" s="22" t="str">
        <f>"3382,5"</f>
        <v>3382,5</v>
      </c>
      <c r="J24" s="23" t="str">
        <f>"1954,4084"</f>
        <v>1954,4084</v>
      </c>
      <c r="K24" s="9" t="s">
        <v>1459</v>
      </c>
    </row>
    <row r="25" spans="1:11" x14ac:dyDescent="0.2">
      <c r="A25" s="12" t="s">
        <v>1461</v>
      </c>
      <c r="B25" s="12" t="s">
        <v>1462</v>
      </c>
      <c r="C25" s="12" t="s">
        <v>1463</v>
      </c>
      <c r="D25" s="12" t="str">
        <f>"0,5756"</f>
        <v>0,5756</v>
      </c>
      <c r="E25" s="12" t="s">
        <v>20</v>
      </c>
      <c r="F25" s="12" t="s">
        <v>33</v>
      </c>
      <c r="G25" s="14" t="s">
        <v>433</v>
      </c>
      <c r="H25" s="14" t="s">
        <v>1415</v>
      </c>
      <c r="I25" s="24" t="str">
        <f>"2767,5"</f>
        <v>2767,5</v>
      </c>
      <c r="J25" s="25" t="str">
        <f>"1827,2987"</f>
        <v>1827,2987</v>
      </c>
      <c r="K25" s="12" t="s">
        <v>28</v>
      </c>
    </row>
    <row r="26" spans="1:11" x14ac:dyDescent="0.2">
      <c r="A26" s="15" t="s">
        <v>1007</v>
      </c>
      <c r="B26" s="15" t="s">
        <v>1008</v>
      </c>
      <c r="C26" s="15" t="s">
        <v>1009</v>
      </c>
      <c r="D26" s="15" t="str">
        <f>"0,5659"</f>
        <v>0,5659</v>
      </c>
      <c r="E26" s="15" t="s">
        <v>20</v>
      </c>
      <c r="F26" s="15" t="s">
        <v>33</v>
      </c>
      <c r="G26" s="16" t="s">
        <v>36</v>
      </c>
      <c r="H26" s="16" t="s">
        <v>1464</v>
      </c>
      <c r="I26" s="26" t="str">
        <f>"1100,0"</f>
        <v>1100,0</v>
      </c>
      <c r="J26" s="27" t="str">
        <f>"803,7056"</f>
        <v>803,7056</v>
      </c>
      <c r="K26" s="15" t="s">
        <v>147</v>
      </c>
    </row>
    <row r="28" spans="1:11" ht="15" x14ac:dyDescent="0.2">
      <c r="A28" s="34" t="s">
        <v>223</v>
      </c>
      <c r="B28" s="34"/>
      <c r="C28" s="34"/>
      <c r="D28" s="34"/>
      <c r="E28" s="34"/>
      <c r="F28" s="34"/>
      <c r="G28" s="34"/>
      <c r="H28" s="34"/>
    </row>
    <row r="29" spans="1:11" x14ac:dyDescent="0.2">
      <c r="A29" s="6" t="s">
        <v>540</v>
      </c>
      <c r="B29" s="6" t="s">
        <v>541</v>
      </c>
      <c r="C29" s="6" t="s">
        <v>542</v>
      </c>
      <c r="D29" s="6" t="str">
        <f>"0,5498"</f>
        <v>0,5498</v>
      </c>
      <c r="E29" s="6" t="s">
        <v>20</v>
      </c>
      <c r="F29" s="6" t="s">
        <v>33</v>
      </c>
      <c r="G29" s="7" t="s">
        <v>177</v>
      </c>
      <c r="H29" s="7" t="s">
        <v>1465</v>
      </c>
      <c r="I29" s="20" t="str">
        <f>"1715,0"</f>
        <v>1715,0</v>
      </c>
      <c r="J29" s="21" t="str">
        <f>"1288,0109"</f>
        <v>1288,0109</v>
      </c>
      <c r="K29" s="6" t="s">
        <v>543</v>
      </c>
    </row>
    <row r="31" spans="1:11" ht="15" x14ac:dyDescent="0.2">
      <c r="E31" s="18" t="s">
        <v>80</v>
      </c>
    </row>
    <row r="32" spans="1:11" ht="15" x14ac:dyDescent="0.2">
      <c r="E32" s="18" t="s">
        <v>81</v>
      </c>
    </row>
    <row r="33" spans="1:5" ht="15" x14ac:dyDescent="0.2">
      <c r="E33" s="18" t="s">
        <v>82</v>
      </c>
    </row>
    <row r="34" spans="1:5" ht="15" x14ac:dyDescent="0.2">
      <c r="E34" s="18" t="s">
        <v>83</v>
      </c>
    </row>
    <row r="35" spans="1:5" ht="15" x14ac:dyDescent="0.2">
      <c r="E35" s="18" t="s">
        <v>83</v>
      </c>
    </row>
    <row r="36" spans="1:5" ht="15" x14ac:dyDescent="0.2">
      <c r="E36" s="18" t="s">
        <v>84</v>
      </c>
    </row>
    <row r="37" spans="1:5" ht="15" x14ac:dyDescent="0.2">
      <c r="E37" s="18"/>
    </row>
    <row r="39" spans="1:5" ht="18" x14ac:dyDescent="0.25">
      <c r="A39" s="28" t="s">
        <v>85</v>
      </c>
      <c r="B39" s="28"/>
    </row>
    <row r="40" spans="1:5" ht="15" x14ac:dyDescent="0.2">
      <c r="A40" s="29" t="s">
        <v>97</v>
      </c>
      <c r="B40" s="29"/>
    </row>
    <row r="41" spans="1:5" ht="14.25" x14ac:dyDescent="0.2">
      <c r="A41" s="31"/>
      <c r="B41" s="32" t="s">
        <v>103</v>
      </c>
    </row>
    <row r="42" spans="1:5" ht="15" x14ac:dyDescent="0.2">
      <c r="A42" s="33" t="s">
        <v>88</v>
      </c>
      <c r="B42" s="33" t="s">
        <v>89</v>
      </c>
      <c r="C42" s="33" t="s">
        <v>90</v>
      </c>
      <c r="D42" s="33" t="s">
        <v>549</v>
      </c>
      <c r="E42" s="33" t="s">
        <v>1466</v>
      </c>
    </row>
    <row r="43" spans="1:5" x14ac:dyDescent="0.2">
      <c r="A43" s="30" t="s">
        <v>1404</v>
      </c>
      <c r="B43" s="4" t="s">
        <v>103</v>
      </c>
      <c r="C43" s="4" t="s">
        <v>242</v>
      </c>
      <c r="D43" s="4" t="s">
        <v>1467</v>
      </c>
      <c r="E43" s="19" t="s">
        <v>1468</v>
      </c>
    </row>
    <row r="44" spans="1:5" x14ac:dyDescent="0.2">
      <c r="A44" s="30" t="s">
        <v>1424</v>
      </c>
      <c r="B44" s="4" t="s">
        <v>103</v>
      </c>
      <c r="C44" s="4" t="s">
        <v>248</v>
      </c>
      <c r="D44" s="4" t="s">
        <v>1469</v>
      </c>
      <c r="E44" s="19" t="s">
        <v>1470</v>
      </c>
    </row>
    <row r="45" spans="1:5" x14ac:dyDescent="0.2">
      <c r="A45" s="30" t="s">
        <v>1429</v>
      </c>
      <c r="B45" s="4" t="s">
        <v>103</v>
      </c>
      <c r="C45" s="4" t="s">
        <v>248</v>
      </c>
      <c r="D45" s="4" t="s">
        <v>1471</v>
      </c>
      <c r="E45" s="19" t="s">
        <v>1472</v>
      </c>
    </row>
    <row r="46" spans="1:5" x14ac:dyDescent="0.2">
      <c r="A46" s="30" t="s">
        <v>1444</v>
      </c>
      <c r="B46" s="4" t="s">
        <v>103</v>
      </c>
      <c r="C46" s="4" t="s">
        <v>152</v>
      </c>
      <c r="D46" s="4" t="s">
        <v>1473</v>
      </c>
      <c r="E46" s="19" t="s">
        <v>1474</v>
      </c>
    </row>
    <row r="47" spans="1:5" x14ac:dyDescent="0.2">
      <c r="A47" s="30" t="s">
        <v>1454</v>
      </c>
      <c r="B47" s="4" t="s">
        <v>103</v>
      </c>
      <c r="C47" s="4" t="s">
        <v>104</v>
      </c>
      <c r="D47" s="4" t="s">
        <v>1475</v>
      </c>
      <c r="E47" s="19" t="s">
        <v>1476</v>
      </c>
    </row>
    <row r="48" spans="1:5" x14ac:dyDescent="0.2">
      <c r="A48" s="30" t="s">
        <v>1410</v>
      </c>
      <c r="B48" s="4" t="s">
        <v>103</v>
      </c>
      <c r="C48" s="4" t="s">
        <v>100</v>
      </c>
      <c r="D48" s="4" t="s">
        <v>1477</v>
      </c>
      <c r="E48" s="19" t="s">
        <v>1478</v>
      </c>
    </row>
    <row r="50" spans="1:5" ht="14.25" x14ac:dyDescent="0.2">
      <c r="A50" s="31"/>
      <c r="B50" s="32" t="s">
        <v>87</v>
      </c>
    </row>
    <row r="51" spans="1:5" ht="15" x14ac:dyDescent="0.2">
      <c r="A51" s="33" t="s">
        <v>88</v>
      </c>
      <c r="B51" s="33" t="s">
        <v>89</v>
      </c>
      <c r="C51" s="33" t="s">
        <v>90</v>
      </c>
      <c r="D51" s="33" t="s">
        <v>549</v>
      </c>
      <c r="E51" s="33" t="s">
        <v>1466</v>
      </c>
    </row>
    <row r="52" spans="1:5" x14ac:dyDescent="0.2">
      <c r="A52" s="30" t="s">
        <v>1436</v>
      </c>
      <c r="B52" s="4" t="s">
        <v>93</v>
      </c>
      <c r="C52" s="4" t="s">
        <v>248</v>
      </c>
      <c r="D52" s="4" t="s">
        <v>1479</v>
      </c>
      <c r="E52" s="19" t="s">
        <v>1480</v>
      </c>
    </row>
    <row r="53" spans="1:5" x14ac:dyDescent="0.2">
      <c r="A53" s="30" t="s">
        <v>1429</v>
      </c>
      <c r="B53" s="4" t="s">
        <v>373</v>
      </c>
      <c r="C53" s="4" t="s">
        <v>248</v>
      </c>
      <c r="D53" s="4" t="s">
        <v>1471</v>
      </c>
      <c r="E53" s="19" t="s">
        <v>1481</v>
      </c>
    </row>
    <row r="54" spans="1:5" x14ac:dyDescent="0.2">
      <c r="A54" s="30" t="s">
        <v>1460</v>
      </c>
      <c r="B54" s="4" t="s">
        <v>93</v>
      </c>
      <c r="C54" s="4" t="s">
        <v>104</v>
      </c>
      <c r="D54" s="4" t="s">
        <v>1482</v>
      </c>
      <c r="E54" s="19" t="s">
        <v>1483</v>
      </c>
    </row>
    <row r="55" spans="1:5" x14ac:dyDescent="0.2">
      <c r="A55" s="30" t="s">
        <v>1417</v>
      </c>
      <c r="B55" s="4" t="s">
        <v>109</v>
      </c>
      <c r="C55" s="4" t="s">
        <v>100</v>
      </c>
      <c r="D55" s="4" t="s">
        <v>1484</v>
      </c>
      <c r="E55" s="19" t="s">
        <v>1485</v>
      </c>
    </row>
    <row r="56" spans="1:5" x14ac:dyDescent="0.2">
      <c r="A56" s="30" t="s">
        <v>539</v>
      </c>
      <c r="B56" s="4" t="s">
        <v>568</v>
      </c>
      <c r="C56" s="4" t="s">
        <v>253</v>
      </c>
      <c r="D56" s="4" t="s">
        <v>1486</v>
      </c>
      <c r="E56" s="19" t="s">
        <v>1487</v>
      </c>
    </row>
    <row r="57" spans="1:5" x14ac:dyDescent="0.2">
      <c r="A57" s="30" t="s">
        <v>1448</v>
      </c>
      <c r="B57" s="4" t="s">
        <v>157</v>
      </c>
      <c r="C57" s="4" t="s">
        <v>152</v>
      </c>
      <c r="D57" s="4" t="s">
        <v>1488</v>
      </c>
      <c r="E57" s="19" t="s">
        <v>1489</v>
      </c>
    </row>
    <row r="58" spans="1:5" x14ac:dyDescent="0.2">
      <c r="A58" s="30" t="s">
        <v>1006</v>
      </c>
      <c r="B58" s="4" t="s">
        <v>157</v>
      </c>
      <c r="C58" s="4" t="s">
        <v>104</v>
      </c>
      <c r="D58" s="4" t="s">
        <v>1490</v>
      </c>
      <c r="E58" s="19" t="s">
        <v>1491</v>
      </c>
    </row>
  </sheetData>
  <mergeCells count="17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  <mergeCell ref="A8:H8"/>
    <mergeCell ref="A12:H12"/>
    <mergeCell ref="A19:H19"/>
    <mergeCell ref="A23:H23"/>
    <mergeCell ref="A28:H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WPF PRO ПЛ в 1-сл. эк.</vt:lpstr>
      <vt:lpstr>WPF PRO ПЛ классик.</vt:lpstr>
      <vt:lpstr>WPF PRO ПЛ безэк.</vt:lpstr>
      <vt:lpstr>WPF PRO Жим в мн сл. эк.</vt:lpstr>
      <vt:lpstr>WPF PRO Жим в 1-сл. эк.</vt:lpstr>
      <vt:lpstr>WPF PRO Жим безэк.</vt:lpstr>
      <vt:lpstr>WPF PRO Тяга в 1-сл. эк.</vt:lpstr>
      <vt:lpstr>WPF PRO Тяга безэк.</vt:lpstr>
      <vt:lpstr>WPF PRO МПЖ 1 вес</vt:lpstr>
      <vt:lpstr>WPF AM ПЛ в 1-сл. эк.</vt:lpstr>
      <vt:lpstr>WPF AM ПЛ классик.</vt:lpstr>
      <vt:lpstr>WPF AM ПЛ безэк.</vt:lpstr>
      <vt:lpstr>WPF AM Жим в мн сл. эк.</vt:lpstr>
      <vt:lpstr>WPF AM Жим в 1-сл. эк.</vt:lpstr>
      <vt:lpstr>WPF AM Жим безэк.</vt:lpstr>
      <vt:lpstr>WPF AM Тяга в 1-сл. эк.</vt:lpstr>
      <vt:lpstr>WPF AM Тяга безэк.</vt:lpstr>
      <vt:lpstr>WPF AM МПЖ 1 вес</vt:lpstr>
      <vt:lpstr>WPF AM МПЖ 1_2 вес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Игорь</cp:lastModifiedBy>
  <cp:lastPrinted>2015-07-16T19:10:53Z</cp:lastPrinted>
  <dcterms:created xsi:type="dcterms:W3CDTF">2002-06-16T13:36:44Z</dcterms:created>
  <dcterms:modified xsi:type="dcterms:W3CDTF">2020-11-16T19:13:39Z</dcterms:modified>
</cp:coreProperties>
</file>