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ACDFCDA1-C2D5-7940-99FC-A9F4C758DAE0}" xr6:coauthVersionLast="45" xr6:coauthVersionMax="45" xr10:uidLastSave="{00000000-0000-0000-0000-000000000000}"/>
  <bookViews>
    <workbookView xWindow="0" yWindow="460" windowWidth="28800" windowHeight="16120" tabRatio="819" firstSheet="9" activeTab="15" xr2:uid="{00000000-000D-0000-FFFF-FFFF00000000}"/>
  </bookViews>
  <sheets>
    <sheet name="PL SP PRO" sheetId="7" r:id="rId1"/>
    <sheet name="PL Cl PRO" sheetId="5" r:id="rId2"/>
    <sheet name="PL Raw PRO" sheetId="6" r:id="rId3"/>
    <sheet name="BP MP PRO" sheetId="15" r:id="rId4"/>
    <sheet name="BP SP PRO" sheetId="14" r:id="rId5"/>
    <sheet name="BP Raw Pro" sheetId="13" r:id="rId6"/>
    <sheet name="DL SP PRO" sheetId="20" r:id="rId7"/>
    <sheet name="DL Raw PRO" sheetId="19" r:id="rId8"/>
    <sheet name="PL SP Am" sheetId="12" r:id="rId9"/>
    <sheet name="PL Cl Am" sheetId="10" r:id="rId10"/>
    <sheet name="PL Raw Am" sheetId="11" r:id="rId11"/>
    <sheet name="BP MP Am" sheetId="16" r:id="rId12"/>
    <sheet name="BP SP Am" sheetId="18" r:id="rId13"/>
    <sheet name="BP Raw Am" sheetId="17" r:id="rId14"/>
    <sheet name="DL SP Am" sheetId="24" r:id="rId15"/>
    <sheet name="DL Raw Am" sheetId="23" r:id="rId16"/>
  </sheets>
  <definedNames>
    <definedName name="_FilterDatabase" localSheetId="1" hidden="1">'PL Cl PRO'!$A$1:$R$3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24" l="1"/>
  <c r="J6" i="24"/>
  <c r="K67" i="23"/>
  <c r="J67" i="23"/>
  <c r="K64" i="23"/>
  <c r="J64" i="23"/>
  <c r="K63" i="23"/>
  <c r="J63" i="23"/>
  <c r="K60" i="23"/>
  <c r="J60" i="23"/>
  <c r="K59" i="23"/>
  <c r="J59" i="23"/>
  <c r="K56" i="23"/>
  <c r="J56" i="23"/>
  <c r="K55" i="23"/>
  <c r="J55" i="23"/>
  <c r="K54" i="23"/>
  <c r="J54" i="23"/>
  <c r="K53" i="23"/>
  <c r="J53" i="23"/>
  <c r="K52" i="23"/>
  <c r="J52" i="23"/>
  <c r="K51" i="23"/>
  <c r="J51" i="23"/>
  <c r="K50" i="23"/>
  <c r="J50" i="23"/>
  <c r="K49" i="23"/>
  <c r="J49" i="23"/>
  <c r="K48" i="23"/>
  <c r="J48" i="23"/>
  <c r="K45" i="23"/>
  <c r="J45" i="23"/>
  <c r="K44" i="23"/>
  <c r="J44" i="23"/>
  <c r="K43" i="23"/>
  <c r="J43" i="23"/>
  <c r="K42" i="23"/>
  <c r="J42" i="23"/>
  <c r="K39" i="23"/>
  <c r="J39" i="23"/>
  <c r="K38" i="23"/>
  <c r="J38" i="23"/>
  <c r="K37" i="23"/>
  <c r="J37" i="23"/>
  <c r="K36" i="23"/>
  <c r="J36" i="23"/>
  <c r="K33" i="23"/>
  <c r="J33" i="23"/>
  <c r="K32" i="23"/>
  <c r="J32" i="23"/>
  <c r="K31" i="23"/>
  <c r="J31" i="23"/>
  <c r="K30" i="23"/>
  <c r="J30" i="23"/>
  <c r="K27" i="23"/>
  <c r="J27" i="23"/>
  <c r="K26" i="23"/>
  <c r="J26" i="23"/>
  <c r="K25" i="23"/>
  <c r="J25" i="23"/>
  <c r="K22" i="23"/>
  <c r="J22" i="23"/>
  <c r="K21" i="23"/>
  <c r="J21" i="23"/>
  <c r="K18" i="23"/>
  <c r="J18" i="23"/>
  <c r="K15" i="23"/>
  <c r="J15" i="23"/>
  <c r="K14" i="23"/>
  <c r="J14" i="23"/>
  <c r="K11" i="23"/>
  <c r="J11" i="23"/>
  <c r="K10" i="23"/>
  <c r="J10" i="23"/>
  <c r="K9" i="23"/>
  <c r="J9" i="23"/>
  <c r="K6" i="23"/>
  <c r="J6" i="23"/>
  <c r="L7" i="20"/>
  <c r="K7" i="20"/>
  <c r="L6" i="20"/>
  <c r="K6" i="20"/>
  <c r="K28" i="19"/>
  <c r="J28" i="19"/>
  <c r="K27" i="19"/>
  <c r="J27" i="19"/>
  <c r="K26" i="19"/>
  <c r="J26" i="19"/>
  <c r="K23" i="19"/>
  <c r="J23" i="19"/>
  <c r="K22" i="19"/>
  <c r="J22" i="19"/>
  <c r="K21" i="19"/>
  <c r="J21" i="19"/>
  <c r="K20" i="19"/>
  <c r="J20" i="19"/>
  <c r="K19" i="19"/>
  <c r="J19" i="19"/>
  <c r="K18" i="19"/>
  <c r="J18" i="19"/>
  <c r="K15" i="19"/>
  <c r="J15" i="19"/>
  <c r="K12" i="19"/>
  <c r="J12" i="19"/>
  <c r="K11" i="19"/>
  <c r="J11" i="19"/>
  <c r="K10" i="19"/>
  <c r="J10" i="19"/>
  <c r="K9" i="19"/>
  <c r="J9" i="19"/>
  <c r="K6" i="19"/>
  <c r="J6" i="19"/>
  <c r="K16" i="18"/>
  <c r="J16" i="18"/>
  <c r="K15" i="18"/>
  <c r="J15" i="18"/>
  <c r="K12" i="18"/>
  <c r="J12" i="18"/>
  <c r="K9" i="18"/>
  <c r="J9" i="18"/>
  <c r="K6" i="18"/>
  <c r="J6" i="18"/>
  <c r="K121" i="17"/>
  <c r="J121" i="17"/>
  <c r="K118" i="17"/>
  <c r="J118" i="17"/>
  <c r="K117" i="17"/>
  <c r="J117" i="17"/>
  <c r="K116" i="17"/>
  <c r="J116" i="17"/>
  <c r="K113" i="17"/>
  <c r="J113" i="17"/>
  <c r="K112" i="17"/>
  <c r="J112" i="17"/>
  <c r="K111" i="17"/>
  <c r="J111" i="17"/>
  <c r="K110" i="17"/>
  <c r="J110" i="17"/>
  <c r="K109" i="17"/>
  <c r="J109" i="17"/>
  <c r="K108" i="17"/>
  <c r="J108" i="17"/>
  <c r="K107" i="17"/>
  <c r="J107" i="17"/>
  <c r="K106" i="17"/>
  <c r="J106" i="17"/>
  <c r="K105" i="17"/>
  <c r="J105" i="17"/>
  <c r="K104" i="17"/>
  <c r="J104" i="17"/>
  <c r="K103" i="17"/>
  <c r="J103" i="17"/>
  <c r="K102" i="17"/>
  <c r="J102" i="17"/>
  <c r="K99" i="17"/>
  <c r="J99" i="17"/>
  <c r="K98" i="17"/>
  <c r="J98" i="17"/>
  <c r="K97" i="17"/>
  <c r="J97" i="17"/>
  <c r="K96" i="17"/>
  <c r="J96" i="17"/>
  <c r="K95" i="17"/>
  <c r="J95" i="17"/>
  <c r="K94" i="17"/>
  <c r="J94" i="17"/>
  <c r="K93" i="17"/>
  <c r="J93" i="17"/>
  <c r="K92" i="17"/>
  <c r="J92" i="17"/>
  <c r="K91" i="17"/>
  <c r="J91" i="17"/>
  <c r="K90" i="17"/>
  <c r="J90" i="17"/>
  <c r="K89" i="17"/>
  <c r="J89" i="17"/>
  <c r="K88" i="17"/>
  <c r="J88" i="17"/>
  <c r="K87" i="17"/>
  <c r="J87" i="17"/>
  <c r="K86" i="17"/>
  <c r="J86" i="17"/>
  <c r="K85" i="17"/>
  <c r="J85" i="17"/>
  <c r="K82" i="17"/>
  <c r="J82" i="17"/>
  <c r="K81" i="17"/>
  <c r="J81" i="17"/>
  <c r="K80" i="17"/>
  <c r="J80" i="17"/>
  <c r="K79" i="17"/>
  <c r="J79" i="17"/>
  <c r="K78" i="17"/>
  <c r="J78" i="17"/>
  <c r="K77" i="17"/>
  <c r="J77" i="17"/>
  <c r="K76" i="17"/>
  <c r="J76" i="17"/>
  <c r="K75" i="17"/>
  <c r="J75" i="17"/>
  <c r="K74" i="17"/>
  <c r="J74" i="17"/>
  <c r="K73" i="17"/>
  <c r="J73" i="17"/>
  <c r="K70" i="17"/>
  <c r="J70" i="17"/>
  <c r="K69" i="17"/>
  <c r="J69" i="17"/>
  <c r="K68" i="17"/>
  <c r="J68" i="17"/>
  <c r="K67" i="17"/>
  <c r="J67" i="17"/>
  <c r="K66" i="17"/>
  <c r="J66" i="17"/>
  <c r="K65" i="17"/>
  <c r="J65" i="17"/>
  <c r="K64" i="17"/>
  <c r="J64" i="17"/>
  <c r="K63" i="17"/>
  <c r="J63" i="17"/>
  <c r="K62" i="17"/>
  <c r="J62" i="17"/>
  <c r="K61" i="17"/>
  <c r="J61" i="17"/>
  <c r="K60" i="17"/>
  <c r="J60" i="17"/>
  <c r="K59" i="17"/>
  <c r="J59" i="17"/>
  <c r="K56" i="17"/>
  <c r="J56" i="17"/>
  <c r="K55" i="17"/>
  <c r="J55" i="17"/>
  <c r="K54" i="17"/>
  <c r="J54" i="17"/>
  <c r="K53" i="17"/>
  <c r="J53" i="17"/>
  <c r="K52" i="17"/>
  <c r="J52" i="17"/>
  <c r="K51" i="17"/>
  <c r="J51" i="17"/>
  <c r="K50" i="17"/>
  <c r="J50" i="17"/>
  <c r="K49" i="17"/>
  <c r="J49" i="17"/>
  <c r="K46" i="17"/>
  <c r="J46" i="17"/>
  <c r="K45" i="17"/>
  <c r="J45" i="17"/>
  <c r="K44" i="17"/>
  <c r="J44" i="17"/>
  <c r="K43" i="17"/>
  <c r="J43" i="17"/>
  <c r="K40" i="17"/>
  <c r="J40" i="17"/>
  <c r="K39" i="17"/>
  <c r="J39" i="17"/>
  <c r="K38" i="17"/>
  <c r="J38" i="17"/>
  <c r="K37" i="17"/>
  <c r="J37" i="17"/>
  <c r="K34" i="17"/>
  <c r="J34" i="17"/>
  <c r="K31" i="17"/>
  <c r="J31" i="17"/>
  <c r="K30" i="17"/>
  <c r="J30" i="17"/>
  <c r="K27" i="17"/>
  <c r="J27" i="17"/>
  <c r="K26" i="17"/>
  <c r="J26" i="17"/>
  <c r="K23" i="17"/>
  <c r="J23" i="17"/>
  <c r="K22" i="17"/>
  <c r="J22" i="17"/>
  <c r="K21" i="17"/>
  <c r="J21" i="17"/>
  <c r="K18" i="17"/>
  <c r="J18" i="17"/>
  <c r="K17" i="17"/>
  <c r="J17" i="17"/>
  <c r="K14" i="17"/>
  <c r="J14" i="17"/>
  <c r="K13" i="17"/>
  <c r="J13" i="17"/>
  <c r="K12" i="17"/>
  <c r="J12" i="17"/>
  <c r="K11" i="17"/>
  <c r="J11" i="17"/>
  <c r="K10" i="17"/>
  <c r="J10" i="17"/>
  <c r="K7" i="17"/>
  <c r="J7" i="17"/>
  <c r="K6" i="17"/>
  <c r="J6" i="17"/>
  <c r="K6" i="16"/>
  <c r="J6" i="16"/>
  <c r="K6" i="15"/>
  <c r="J6" i="15"/>
  <c r="K23" i="14"/>
  <c r="J23" i="14"/>
  <c r="K20" i="14"/>
  <c r="J20" i="14"/>
  <c r="K19" i="14"/>
  <c r="J19" i="14"/>
  <c r="K18" i="14"/>
  <c r="J18" i="14"/>
  <c r="K17" i="14"/>
  <c r="J17" i="14"/>
  <c r="K16" i="14"/>
  <c r="J16" i="14"/>
  <c r="K13" i="14"/>
  <c r="J13" i="14"/>
  <c r="K12" i="14"/>
  <c r="J12" i="14"/>
  <c r="K9" i="14"/>
  <c r="J9" i="14"/>
  <c r="K6" i="14"/>
  <c r="J6" i="14"/>
  <c r="K53" i="13"/>
  <c r="J53" i="13"/>
  <c r="K50" i="13"/>
  <c r="J50" i="13"/>
  <c r="K49" i="13"/>
  <c r="J49" i="13"/>
  <c r="K48" i="13"/>
  <c r="J48" i="13"/>
  <c r="K47" i="13"/>
  <c r="J47" i="13"/>
  <c r="K46" i="13"/>
  <c r="J46" i="13"/>
  <c r="K43" i="13"/>
  <c r="J43" i="13"/>
  <c r="K42" i="13"/>
  <c r="J42" i="13"/>
  <c r="K41" i="13"/>
  <c r="J41" i="13"/>
  <c r="K40" i="13"/>
  <c r="J40" i="13"/>
  <c r="K39" i="13"/>
  <c r="J39" i="13"/>
  <c r="K38" i="13"/>
  <c r="J38" i="13"/>
  <c r="K35" i="13"/>
  <c r="J35" i="13"/>
  <c r="K34" i="13"/>
  <c r="J34" i="13"/>
  <c r="K33" i="13"/>
  <c r="J33" i="13"/>
  <c r="K32" i="13"/>
  <c r="J32" i="13"/>
  <c r="K31" i="13"/>
  <c r="J31" i="13"/>
  <c r="K30" i="13"/>
  <c r="J30" i="13"/>
  <c r="K29" i="13"/>
  <c r="J29" i="13"/>
  <c r="K26" i="13"/>
  <c r="J26" i="13"/>
  <c r="K25" i="13"/>
  <c r="J25" i="13"/>
  <c r="K24" i="13"/>
  <c r="J24" i="13"/>
  <c r="K23" i="13"/>
  <c r="J23" i="13"/>
  <c r="K22" i="13"/>
  <c r="J22" i="13"/>
  <c r="K21" i="13"/>
  <c r="J21" i="13"/>
  <c r="K20" i="13"/>
  <c r="J20" i="13"/>
  <c r="K17" i="13"/>
  <c r="J17" i="13"/>
  <c r="K16" i="13"/>
  <c r="J16" i="13"/>
  <c r="K15" i="13"/>
  <c r="J15" i="13"/>
  <c r="K14" i="13"/>
  <c r="J14" i="13"/>
  <c r="K13" i="13"/>
  <c r="J13" i="13"/>
  <c r="K10" i="13"/>
  <c r="J10" i="13"/>
  <c r="K9" i="13"/>
  <c r="J9" i="13"/>
  <c r="K6" i="13"/>
  <c r="J6" i="13"/>
  <c r="S6" i="12"/>
  <c r="R6" i="12"/>
  <c r="S37" i="11"/>
  <c r="R37" i="11"/>
  <c r="S34" i="11"/>
  <c r="R34" i="11"/>
  <c r="S33" i="11"/>
  <c r="R33" i="11"/>
  <c r="S30" i="11"/>
  <c r="R30" i="11"/>
  <c r="S27" i="11"/>
  <c r="R27" i="11"/>
  <c r="S24" i="11"/>
  <c r="R24" i="11"/>
  <c r="S23" i="11"/>
  <c r="R23" i="11"/>
  <c r="S22" i="11"/>
  <c r="R22" i="11"/>
  <c r="S19" i="11"/>
  <c r="R19" i="11"/>
  <c r="S16" i="11"/>
  <c r="R16" i="11"/>
  <c r="S15" i="11"/>
  <c r="R15" i="11"/>
  <c r="S12" i="11"/>
  <c r="R12" i="11"/>
  <c r="S9" i="11"/>
  <c r="R9" i="11"/>
  <c r="S6" i="11"/>
  <c r="R6" i="11"/>
  <c r="S25" i="10"/>
  <c r="R25" i="10"/>
  <c r="S22" i="10"/>
  <c r="R22" i="10"/>
  <c r="S21" i="10"/>
  <c r="R21" i="10"/>
  <c r="S18" i="10"/>
  <c r="R18" i="10"/>
  <c r="S17" i="10"/>
  <c r="R17" i="10"/>
  <c r="S16" i="10"/>
  <c r="R16" i="10"/>
  <c r="S13" i="10"/>
  <c r="R13" i="10"/>
  <c r="S12" i="10"/>
  <c r="R12" i="10"/>
  <c r="S9" i="10"/>
  <c r="R9" i="10"/>
  <c r="S6" i="10"/>
  <c r="R6" i="10"/>
  <c r="S6" i="7"/>
  <c r="R6" i="7"/>
  <c r="S14" i="6"/>
  <c r="R14" i="6"/>
  <c r="S13" i="6"/>
  <c r="R13" i="6"/>
  <c r="S10" i="6"/>
  <c r="R10" i="6"/>
  <c r="S7" i="6"/>
  <c r="R7" i="6"/>
  <c r="S6" i="6"/>
  <c r="R6" i="6"/>
  <c r="S18" i="5"/>
  <c r="R18" i="5"/>
  <c r="S17" i="5"/>
  <c r="R17" i="5"/>
  <c r="S14" i="5"/>
  <c r="R14" i="5"/>
  <c r="S13" i="5"/>
  <c r="R13" i="5"/>
  <c r="S12" i="5"/>
  <c r="R12" i="5"/>
  <c r="S9" i="5"/>
  <c r="R9" i="5"/>
  <c r="S6" i="5"/>
  <c r="R6" i="5"/>
</calcChain>
</file>

<file path=xl/sharedStrings.xml><?xml version="1.0" encoding="utf-8"?>
<sst xmlns="http://schemas.openxmlformats.org/spreadsheetml/2006/main" count="3631" uniqueCount="1213">
  <si>
    <t>ФИО</t>
  </si>
  <si>
    <t>Сумма</t>
  </si>
  <si>
    <t>Тренер</t>
  </si>
  <si>
    <t>Очки</t>
  </si>
  <si>
    <t>Команда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</si>
  <si>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</si>
  <si>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</si>
  <si>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</si>
  <si>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</si>
  <si>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</si>
  <si>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</si>
  <si>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</si>
  <si>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>Макунина Маргарита</t>
  </si>
  <si>
    <t>1. Макунина Маргарита</t>
  </si>
  <si>
    <t>Ветераны 50 - 54 (07.03.1969)/51</t>
  </si>
  <si>
    <t>66,50</t>
  </si>
  <si>
    <t xml:space="preserve">Лично </t>
  </si>
  <si>
    <t xml:space="preserve">Озёры/Московская область </t>
  </si>
  <si>
    <t>140,0</t>
  </si>
  <si>
    <t>150,0</t>
  </si>
  <si>
    <t>160,0</t>
  </si>
  <si>
    <t>80,0</t>
  </si>
  <si>
    <t>90,0</t>
  </si>
  <si>
    <t>100,0</t>
  </si>
  <si>
    <t xml:space="preserve">. </t>
  </si>
  <si>
    <t>ВЕСОВАЯ КАТЕГОРИЯ   75</t>
  </si>
  <si>
    <t>-. Ягунов Алексей</t>
  </si>
  <si>
    <t>Открытая (19.07.1968)/52</t>
  </si>
  <si>
    <t>74,90</t>
  </si>
  <si>
    <t xml:space="preserve">Москва/ </t>
  </si>
  <si>
    <t>170,0</t>
  </si>
  <si>
    <t>182,5</t>
  </si>
  <si>
    <t>110,0</t>
  </si>
  <si>
    <t>115,0</t>
  </si>
  <si>
    <t>120,0</t>
  </si>
  <si>
    <t>200,0</t>
  </si>
  <si>
    <t xml:space="preserve">Алышев Н.В. </t>
  </si>
  <si>
    <t>ВЕСОВАЯ КАТЕГОРИЯ   82.5</t>
  </si>
  <si>
    <t>Лазарев Артем</t>
  </si>
  <si>
    <t>1. Лазарев Артем</t>
  </si>
  <si>
    <t>Юниоры 20 - 23 (09.12.1997)/22</t>
  </si>
  <si>
    <t>80,90</t>
  </si>
  <si>
    <t xml:space="preserve">Дзержинский/Московская область </t>
  </si>
  <si>
    <t>235,0</t>
  </si>
  <si>
    <t>240,0</t>
  </si>
  <si>
    <t>250,0</t>
  </si>
  <si>
    <t>165,0</t>
  </si>
  <si>
    <t>245,0</t>
  </si>
  <si>
    <t>255,0</t>
  </si>
  <si>
    <t>Фомин Владимир</t>
  </si>
  <si>
    <t>1. Фомин Владимир</t>
  </si>
  <si>
    <t>Открытая (01.06.1989)/31</t>
  </si>
  <si>
    <t>81,20</t>
  </si>
  <si>
    <t xml:space="preserve">Одинцово/Московская область </t>
  </si>
  <si>
    <t>265,0</t>
  </si>
  <si>
    <t>167,5</t>
  </si>
  <si>
    <t>180,0</t>
  </si>
  <si>
    <t>260,0</t>
  </si>
  <si>
    <t xml:space="preserve">Шпак Ю.В. </t>
  </si>
  <si>
    <t>2. Лазарев Артем</t>
  </si>
  <si>
    <t>Открытая (09.12.1997)/22</t>
  </si>
  <si>
    <t>ВЕСОВАЯ КАТЕГОРИЯ   110</t>
  </si>
  <si>
    <t>Апальков Андрей</t>
  </si>
  <si>
    <t>1. Апальков Андрей</t>
  </si>
  <si>
    <t>Открытая (21.06.1979)/41</t>
  </si>
  <si>
    <t>108,40</t>
  </si>
  <si>
    <t>270,0</t>
  </si>
  <si>
    <t>290,0</t>
  </si>
  <si>
    <t>217,5</t>
  </si>
  <si>
    <t>225,0</t>
  </si>
  <si>
    <t>230,0</t>
  </si>
  <si>
    <t>280,0</t>
  </si>
  <si>
    <t>300,0</t>
  </si>
  <si>
    <t>307,5</t>
  </si>
  <si>
    <t>Ветераны 40 - 44 (21.06.1979)/41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</si>
  <si>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</si>
  <si>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</si>
  <si>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</si>
  <si>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</si>
  <si>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</si>
  <si>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</si>
  <si>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</si>
  <si>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Ветераны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</si>
  <si>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</si>
  <si>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</si>
  <si>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</si>
  <si>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</si>
  <si>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</si>
  <si>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 xml:space="preserve">Ветераны 50 - 54 </t>
  </si>
  <si>
    <t>67.5</t>
  </si>
  <si>
    <t>410,0</t>
  </si>
  <si>
    <t xml:space="preserve">Мужчины </t>
  </si>
  <si>
    <t xml:space="preserve">Юниоры </t>
  </si>
  <si>
    <t xml:space="preserve">Юниоры 20 - 23 </t>
  </si>
  <si>
    <t>82.5</t>
  </si>
  <si>
    <t>670,0</t>
  </si>
  <si>
    <t xml:space="preserve">Открытая </t>
  </si>
  <si>
    <t>110</t>
  </si>
  <si>
    <t>820,0</t>
  </si>
  <si>
    <t>692,5</t>
  </si>
  <si>
    <t xml:space="preserve">Ветераны 40 - 44 </t>
  </si>
  <si>
    <t>Симонов Василий</t>
  </si>
  <si>
    <t>1. Симонов Василий</t>
  </si>
  <si>
    <t>Юноши 15-19 (07.04.2008)/12</t>
  </si>
  <si>
    <t>75,50</t>
  </si>
  <si>
    <t>55,0</t>
  </si>
  <si>
    <t>65,0</t>
  </si>
  <si>
    <t>75,0</t>
  </si>
  <si>
    <t>37,5</t>
  </si>
  <si>
    <t>40,0</t>
  </si>
  <si>
    <t>45,0</t>
  </si>
  <si>
    <t xml:space="preserve">Мишенин С.В. </t>
  </si>
  <si>
    <t>Молочков Алексей</t>
  </si>
  <si>
    <t>1. Молочков Алексей</t>
  </si>
  <si>
    <t>Ветераны 55 - 59 (08.08.1962)/58</t>
  </si>
  <si>
    <t>81,90</t>
  </si>
  <si>
    <t>190,0</t>
  </si>
  <si>
    <t>137,5</t>
  </si>
  <si>
    <t>145,0</t>
  </si>
  <si>
    <t xml:space="preserve">Антипов Д.В. </t>
  </si>
  <si>
    <t>ВЕСОВАЯ КАТЕГОРИЯ   100</t>
  </si>
  <si>
    <t>Жихарев Александр</t>
  </si>
  <si>
    <t>1. Жихарев Александр</t>
  </si>
  <si>
    <t>Открытая (14.03.1987)/33</t>
  </si>
  <si>
    <t>96,60</t>
  </si>
  <si>
    <t>Дворцов Александр</t>
  </si>
  <si>
    <t>1. Дворцов Александр</t>
  </si>
  <si>
    <t>Открытая (09.07.1981)/39</t>
  </si>
  <si>
    <t>109,50</t>
  </si>
  <si>
    <t>220,0</t>
  </si>
  <si>
    <t xml:space="preserve">Дворцов А.В. </t>
  </si>
  <si>
    <t>-. Бурдаков Николай</t>
  </si>
  <si>
    <t>Открытая (24.07.1988)/32</t>
  </si>
  <si>
    <t>103,40</t>
  </si>
  <si>
    <t>320,0</t>
  </si>
  <si>
    <t xml:space="preserve"> </t>
  </si>
  <si>
    <t xml:space="preserve">Юноши </t>
  </si>
  <si>
    <t xml:space="preserve">Юноши 15-19 </t>
  </si>
  <si>
    <t>215,0</t>
  </si>
  <si>
    <t>100</t>
  </si>
  <si>
    <t>665,0</t>
  </si>
  <si>
    <t>695,0</t>
  </si>
  <si>
    <t xml:space="preserve">Ветераны 55 - 59 </t>
  </si>
  <si>
    <t>560,0</t>
  </si>
  <si>
    <t>Шабров Александр</t>
  </si>
  <si>
    <t>1. Шабров Александр</t>
  </si>
  <si>
    <t>Открытая (07.02.1991)/29</t>
  </si>
  <si>
    <t>100,00</t>
  </si>
  <si>
    <t xml:space="preserve">Дубна/Московская область </t>
  </si>
  <si>
    <t>310,0</t>
  </si>
  <si>
    <t>330,0</t>
  </si>
  <si>
    <t>350,0</t>
  </si>
  <si>
    <t>885,0</t>
  </si>
  <si>
    <t>Гореловская Эмилия</t>
  </si>
  <si>
    <t>1. Гореловская Эмилия</t>
  </si>
  <si>
    <t>Открытая (12.06.1991)/29</t>
  </si>
  <si>
    <t>64,10</t>
  </si>
  <si>
    <t xml:space="preserve">Щербинка/Московская область </t>
  </si>
  <si>
    <t>60,0</t>
  </si>
  <si>
    <t>70,0</t>
  </si>
  <si>
    <t>122,5</t>
  </si>
  <si>
    <t xml:space="preserve">Замп Н.Б. </t>
  </si>
  <si>
    <t>Васильева Екатерина</t>
  </si>
  <si>
    <t>1. Васильева Екатерина</t>
  </si>
  <si>
    <t>Ветераны 40 - 44 (07.09.1976)/44</t>
  </si>
  <si>
    <t>72,80</t>
  </si>
  <si>
    <t>62,5</t>
  </si>
  <si>
    <t>147,5</t>
  </si>
  <si>
    <t>Шкабара Вадим</t>
  </si>
  <si>
    <t>1. Шкабара Вадим</t>
  </si>
  <si>
    <t>Юниоры 20 - 23 (30.05.2000)/20</t>
  </si>
  <si>
    <t>80,60</t>
  </si>
  <si>
    <t xml:space="preserve">Великие Луки/Псковская область </t>
  </si>
  <si>
    <t>130,0</t>
  </si>
  <si>
    <t>185,0</t>
  </si>
  <si>
    <t xml:space="preserve">Евсеев С.М. </t>
  </si>
  <si>
    <t>Карангин Иван</t>
  </si>
  <si>
    <t>1. Карангин Иван</t>
  </si>
  <si>
    <t>Открытая (17.09.1985)/35</t>
  </si>
  <si>
    <t>77,20</t>
  </si>
  <si>
    <t>232,5</t>
  </si>
  <si>
    <t>237,5</t>
  </si>
  <si>
    <t>155,0</t>
  </si>
  <si>
    <t>210,0</t>
  </si>
  <si>
    <t>ВЕСОВАЯ КАТЕГОРИЯ   90</t>
  </si>
  <si>
    <t>Кратт Никита</t>
  </si>
  <si>
    <t>1. Кратт Никита</t>
  </si>
  <si>
    <t>Юниоры 20 - 23 (08.11.2000)/20</t>
  </si>
  <si>
    <t>89,30</t>
  </si>
  <si>
    <t xml:space="preserve">Кубинка/Московская область </t>
  </si>
  <si>
    <t>125,0</t>
  </si>
  <si>
    <t>132,5</t>
  </si>
  <si>
    <t xml:space="preserve">Лаханов И.А. </t>
  </si>
  <si>
    <t>Мельситов Дмитрий</t>
  </si>
  <si>
    <t>1. Мельситов Дмитрий</t>
  </si>
  <si>
    <t>Ветераны 40 - 44 (01.04.1978)/42</t>
  </si>
  <si>
    <t>87,80</t>
  </si>
  <si>
    <t xml:space="preserve">Москва </t>
  </si>
  <si>
    <t>202,5</t>
  </si>
  <si>
    <t>205,0</t>
  </si>
  <si>
    <t>117,5</t>
  </si>
  <si>
    <t>212,5</t>
  </si>
  <si>
    <t>-. Тарасов Виталий</t>
  </si>
  <si>
    <t>Ветераны 40 - 44 (09.06.1977)/43</t>
  </si>
  <si>
    <t>87,70</t>
  </si>
  <si>
    <t>ВЕСОВАЯ КАТЕГОРИЯ   125</t>
  </si>
  <si>
    <t>Дрожжин Андрей</t>
  </si>
  <si>
    <t>1. Дрожжин Андрей</t>
  </si>
  <si>
    <t>Открытая (21.11.1977)/42</t>
  </si>
  <si>
    <t>117,20</t>
  </si>
  <si>
    <t xml:space="preserve">Хотьково/Московская область </t>
  </si>
  <si>
    <t>295,0</t>
  </si>
  <si>
    <t>275,0</t>
  </si>
  <si>
    <t xml:space="preserve">Мамичева Е. </t>
  </si>
  <si>
    <t>Ветераны 40 - 44 (21.11.1977)/42</t>
  </si>
  <si>
    <t>ВЕСОВАЯ КАТЕГОРИЯ   140+</t>
  </si>
  <si>
    <t>Кислицын Иван</t>
  </si>
  <si>
    <t>1. Кислицын Иван</t>
  </si>
  <si>
    <t>Юноши 15-19 (10.12.2003)/16</t>
  </si>
  <si>
    <t>168,80</t>
  </si>
  <si>
    <t>251,0</t>
  </si>
  <si>
    <t>337,5</t>
  </si>
  <si>
    <t>75</t>
  </si>
  <si>
    <t>327,5</t>
  </si>
  <si>
    <t>140+</t>
  </si>
  <si>
    <t>597,5</t>
  </si>
  <si>
    <t>90</t>
  </si>
  <si>
    <t>565,0</t>
  </si>
  <si>
    <t>415,0</t>
  </si>
  <si>
    <t>125</t>
  </si>
  <si>
    <t>750,0</t>
  </si>
  <si>
    <t>620,0</t>
  </si>
  <si>
    <t>532,5</t>
  </si>
  <si>
    <t>ВЕСОВАЯ КАТЕГОРИЯ   48</t>
  </si>
  <si>
    <t>Савченко Алла</t>
  </si>
  <si>
    <t>1. Савченко Алла</t>
  </si>
  <si>
    <t>Ветераны 40 - 44 (09.08.1976)/44</t>
  </si>
  <si>
    <t>47,00</t>
  </si>
  <si>
    <t>77,5</t>
  </si>
  <si>
    <t>42,0</t>
  </si>
  <si>
    <t>47,5</t>
  </si>
  <si>
    <t>87,5</t>
  </si>
  <si>
    <t>92,5</t>
  </si>
  <si>
    <t>ВЕСОВАЯ КАТЕГОРИЯ   56</t>
  </si>
  <si>
    <t>Панина Ирина</t>
  </si>
  <si>
    <t>1. Панина Ирина</t>
  </si>
  <si>
    <t>Открытая (04.03.1985)/35</t>
  </si>
  <si>
    <t>55,90</t>
  </si>
  <si>
    <t>95,0</t>
  </si>
  <si>
    <t>105,0</t>
  </si>
  <si>
    <t xml:space="preserve">Панина И.И. </t>
  </si>
  <si>
    <t>ВЕСОВАЯ КАТЕГОРИЯ   60</t>
  </si>
  <si>
    <t>Сидорова Ольга</t>
  </si>
  <si>
    <t>1. Сидорова Ольга</t>
  </si>
  <si>
    <t>Ветераны 50 - 54 (29.04.1966)/54</t>
  </si>
  <si>
    <t>59,20</t>
  </si>
  <si>
    <t>112,5</t>
  </si>
  <si>
    <t>57,5</t>
  </si>
  <si>
    <t>Поталета Екатерина</t>
  </si>
  <si>
    <t>1. Поталета Екатерина</t>
  </si>
  <si>
    <t>Открытая (21.01.1989)/31</t>
  </si>
  <si>
    <t>64,40</t>
  </si>
  <si>
    <t>85,0</t>
  </si>
  <si>
    <t>50,0</t>
  </si>
  <si>
    <t>Гаврина Екатерина</t>
  </si>
  <si>
    <t>2. Гаврина Екатерина</t>
  </si>
  <si>
    <t>Открытая (26.10.1983)/37</t>
  </si>
  <si>
    <t>63,40</t>
  </si>
  <si>
    <t>52,5</t>
  </si>
  <si>
    <t xml:space="preserve">Гаврина Е.А. </t>
  </si>
  <si>
    <t>Пулбере Милена</t>
  </si>
  <si>
    <t>1. Пулбере Милена</t>
  </si>
  <si>
    <t>Девушки 15-19 (03.04.2005)/15</t>
  </si>
  <si>
    <t>70,60</t>
  </si>
  <si>
    <t xml:space="preserve">Балашиха/Московская область </t>
  </si>
  <si>
    <t>107,5</t>
  </si>
  <si>
    <t>Воробьев Михаил</t>
  </si>
  <si>
    <t>1. Воробьев Михаил</t>
  </si>
  <si>
    <t>Открытая (21.11.1990)/29</t>
  </si>
  <si>
    <t>79,10</t>
  </si>
  <si>
    <t xml:space="preserve">Люберцы/Московская область </t>
  </si>
  <si>
    <t>262,5</t>
  </si>
  <si>
    <t>Кулик Павел</t>
  </si>
  <si>
    <t>1. Кулик Павел</t>
  </si>
  <si>
    <t>Ветераны 40 - 44 (11.04.1977)/43</t>
  </si>
  <si>
    <t>80,00</t>
  </si>
  <si>
    <t>175,0</t>
  </si>
  <si>
    <t xml:space="preserve">Кулик П.Ю </t>
  </si>
  <si>
    <t>Джелялов Эльдар</t>
  </si>
  <si>
    <t>1. Джелялов Эльдар</t>
  </si>
  <si>
    <t>Ветераны 50 - 54 (15.08.1967)/53</t>
  </si>
  <si>
    <t>172,5</t>
  </si>
  <si>
    <t xml:space="preserve">Джелялов Э.А. </t>
  </si>
  <si>
    <t>Гвоздев Алексей</t>
  </si>
  <si>
    <t>1. Гвоздев Алексей</t>
  </si>
  <si>
    <t>Ветераны 45 - 49 (27.03.1972)/48</t>
  </si>
  <si>
    <t>82,70</t>
  </si>
  <si>
    <t>195,0</t>
  </si>
  <si>
    <t>Фоменко Михаил</t>
  </si>
  <si>
    <t>1. Фоменко Михаил</t>
  </si>
  <si>
    <t>Юноши 15-19 (21.09.2005)/15</t>
  </si>
  <si>
    <t>92,20</t>
  </si>
  <si>
    <t>Севортьян Андрей</t>
  </si>
  <si>
    <t>1. Севортьян Андрей</t>
  </si>
  <si>
    <t>Юноши 15-19 (18.03.2003)/17</t>
  </si>
  <si>
    <t>102,80</t>
  </si>
  <si>
    <t xml:space="preserve">Севортьян А.Н. </t>
  </si>
  <si>
    <t>Абрамов Максим</t>
  </si>
  <si>
    <t>1. Абрамов Максим</t>
  </si>
  <si>
    <t>Открытая (19.04.1982)/38</t>
  </si>
  <si>
    <t>104,80</t>
  </si>
  <si>
    <t xml:space="preserve">Чехов/Московская область </t>
  </si>
  <si>
    <t>277,5</t>
  </si>
  <si>
    <t xml:space="preserve">Абрамов М.С. </t>
  </si>
  <si>
    <t>Фролов Александр</t>
  </si>
  <si>
    <t>1. Фролов Александр</t>
  </si>
  <si>
    <t>Открытая (17.01.1988)/32</t>
  </si>
  <si>
    <t>121,30</t>
  </si>
  <si>
    <t xml:space="preserve">Девушки </t>
  </si>
  <si>
    <t>56</t>
  </si>
  <si>
    <t>60</t>
  </si>
  <si>
    <t>302,5</t>
  </si>
  <si>
    <t>48</t>
  </si>
  <si>
    <t>485,0</t>
  </si>
  <si>
    <t>257,5</t>
  </si>
  <si>
    <t>660,0</t>
  </si>
  <si>
    <t>652,5</t>
  </si>
  <si>
    <t>542,5</t>
  </si>
  <si>
    <t>492,5</t>
  </si>
  <si>
    <t xml:space="preserve">Ветераны 45 - 49 </t>
  </si>
  <si>
    <t>Яшин Виктор</t>
  </si>
  <si>
    <t>1. Яшин Виктор</t>
  </si>
  <si>
    <t>Открытая (29.10.1989)/31</t>
  </si>
  <si>
    <t>87,50</t>
  </si>
  <si>
    <t>157,5</t>
  </si>
  <si>
    <t>162,5</t>
  </si>
  <si>
    <t xml:space="preserve">Ушков И.Д. </t>
  </si>
  <si>
    <t>617,5</t>
  </si>
  <si>
    <t>Агафонов Андрей</t>
  </si>
  <si>
    <t>1. Агафонов Андрей</t>
  </si>
  <si>
    <t>Юноши 15-19 (25.08.2003)/17</t>
  </si>
  <si>
    <t>61,20</t>
  </si>
  <si>
    <t xml:space="preserve">Наро-Фоминск/Московская област </t>
  </si>
  <si>
    <t xml:space="preserve">Агафонов Е.П. </t>
  </si>
  <si>
    <t>Ионов Николай</t>
  </si>
  <si>
    <t>1. Ионов Николай</t>
  </si>
  <si>
    <t>Ветераны 70 - 74 (20.05.1949)/71</t>
  </si>
  <si>
    <t>70,10</t>
  </si>
  <si>
    <t xml:space="preserve">Хуснетдинова Т.И. </t>
  </si>
  <si>
    <t>Санников Владислав</t>
  </si>
  <si>
    <t>1. Санников Владислав</t>
  </si>
  <si>
    <t>Ветераны 75 - 79 (29.10.1938)/82</t>
  </si>
  <si>
    <t>74,50</t>
  </si>
  <si>
    <t xml:space="preserve">Королёв/Московская область </t>
  </si>
  <si>
    <t>Распопов Юрий</t>
  </si>
  <si>
    <t>1. Распопов Юрий</t>
  </si>
  <si>
    <t>Открытая (16.12.1992)/27</t>
  </si>
  <si>
    <t xml:space="preserve">Донской/Тульская область </t>
  </si>
  <si>
    <t>187,5</t>
  </si>
  <si>
    <t xml:space="preserve">Распопов Ю. С. </t>
  </si>
  <si>
    <t>Кондаков Алексей</t>
  </si>
  <si>
    <t>2. Кондаков Алексей</t>
  </si>
  <si>
    <t>Открытая (22.07.1970)/50</t>
  </si>
  <si>
    <t>81,70</t>
  </si>
  <si>
    <t>Гусев Кирилл</t>
  </si>
  <si>
    <t>3. Гусев Кирилл</t>
  </si>
  <si>
    <t>Открытая (15.11.1986)/34</t>
  </si>
  <si>
    <t>81,00</t>
  </si>
  <si>
    <t xml:space="preserve">Дмитров/Московская область </t>
  </si>
  <si>
    <t>135,0</t>
  </si>
  <si>
    <t>1. Кондаков Алексей</t>
  </si>
  <si>
    <t>Ветераны 50 - 54 (22.07.1970)/50</t>
  </si>
  <si>
    <t>Лазуткин Андрей</t>
  </si>
  <si>
    <t>1. Лазуткин Андрей</t>
  </si>
  <si>
    <t>Ветераны 55 - 59 (27.11.1962)/57</t>
  </si>
  <si>
    <t>80,70</t>
  </si>
  <si>
    <t>Волчанов Владислав</t>
  </si>
  <si>
    <t>1. Волчанов Владислав</t>
  </si>
  <si>
    <t>Открытая (31.10.1975)/45</t>
  </si>
  <si>
    <t>83,10</t>
  </si>
  <si>
    <t xml:space="preserve">Сергиев Посад/Московская область </t>
  </si>
  <si>
    <t>Петрокович Николай</t>
  </si>
  <si>
    <t>1. Петрокович Николай</t>
  </si>
  <si>
    <t>Ветераны 40 - 44 (17.08.1979)/41</t>
  </si>
  <si>
    <t>86,50</t>
  </si>
  <si>
    <t>102,5</t>
  </si>
  <si>
    <t>Ануфриев Сергей</t>
  </si>
  <si>
    <t>1. Ануфриев Сергей</t>
  </si>
  <si>
    <t>Ветераны 50 - 54 (03.10.1969)/51</t>
  </si>
  <si>
    <t>88,50</t>
  </si>
  <si>
    <t>Таушунаев Эдуард</t>
  </si>
  <si>
    <t>2. Таушунаев Эдуард</t>
  </si>
  <si>
    <t>Ветераны 50 - 54 (16.05.1966)/54</t>
  </si>
  <si>
    <t>89,60</t>
  </si>
  <si>
    <t>Базанов Сергей</t>
  </si>
  <si>
    <t>1. Базанов Сергей</t>
  </si>
  <si>
    <t>Ветераны 55 - 59 (22.06.1962)/58</t>
  </si>
  <si>
    <t>87,10</t>
  </si>
  <si>
    <t xml:space="preserve">Ржев/Тверская область </t>
  </si>
  <si>
    <t>177,5</t>
  </si>
  <si>
    <t>Костев Николай</t>
  </si>
  <si>
    <t>1. Костев Николай</t>
  </si>
  <si>
    <t>Ветераны 60 - 64 (17.12.1959)/60</t>
  </si>
  <si>
    <t>85,70</t>
  </si>
  <si>
    <t>Хуснетдинов Амир</t>
  </si>
  <si>
    <t>1. Хуснетдинов Амир</t>
  </si>
  <si>
    <t>Ветераны 70 - 74 (01.03.1948)/72</t>
  </si>
  <si>
    <t>87,30</t>
  </si>
  <si>
    <t>Ефременков Владимир</t>
  </si>
  <si>
    <t>1. Ефременков Владимир</t>
  </si>
  <si>
    <t>Юниоры 20 - 23 (26.12.1996)/23</t>
  </si>
  <si>
    <t>99,40</t>
  </si>
  <si>
    <t xml:space="preserve">Трубичкин Я.О. </t>
  </si>
  <si>
    <t>Гаврилюк Сергей</t>
  </si>
  <si>
    <t>1. Гаврилюк Сергей</t>
  </si>
  <si>
    <t>Открытая (02.09.1988)/32</t>
  </si>
  <si>
    <t>98,40</t>
  </si>
  <si>
    <t>192,5</t>
  </si>
  <si>
    <t>Новиков Игорь</t>
  </si>
  <si>
    <t>2. Новиков Игорь</t>
  </si>
  <si>
    <t>Открытая (24.08.1984)/36</t>
  </si>
  <si>
    <t>98,50</t>
  </si>
  <si>
    <t>Асеев Алексей</t>
  </si>
  <si>
    <t>3. Асеев Алексей</t>
  </si>
  <si>
    <t>Открытая (16.06.1988)/32</t>
  </si>
  <si>
    <t>98,80</t>
  </si>
  <si>
    <t>-. Кяжкин Иван</t>
  </si>
  <si>
    <t>Открытая (19.01.1994)/26</t>
  </si>
  <si>
    <t xml:space="preserve">Кяжкина О.Е. </t>
  </si>
  <si>
    <t>Петросян Артур</t>
  </si>
  <si>
    <t>1. Петросян Артур</t>
  </si>
  <si>
    <t>Ветераны 50 - 54 (23.02.1970)/50</t>
  </si>
  <si>
    <t>98,10</t>
  </si>
  <si>
    <t>Аксентьев Игорь</t>
  </si>
  <si>
    <t>1. Аксентьев Игорь</t>
  </si>
  <si>
    <t>Ветераны 55 - 59 (08.05.1965)/55</t>
  </si>
  <si>
    <t>96,40</t>
  </si>
  <si>
    <t xml:space="preserve">Сургут/Ханты-Мансийский АО </t>
  </si>
  <si>
    <t>Комиссаров Константин</t>
  </si>
  <si>
    <t>1. Комиссаров Константин</t>
  </si>
  <si>
    <t>Открытая (12.05.1985)/35</t>
  </si>
  <si>
    <t>103,60</t>
  </si>
  <si>
    <t xml:space="preserve">Ульянов А.В. </t>
  </si>
  <si>
    <t>Евтеев Алексей</t>
  </si>
  <si>
    <t>2. Евтеев Алексей</t>
  </si>
  <si>
    <t>Открытая (08.08.1994)/26</t>
  </si>
  <si>
    <t>101,60</t>
  </si>
  <si>
    <t>Колганов Сергей</t>
  </si>
  <si>
    <t>1. Колганов Сергей</t>
  </si>
  <si>
    <t>Ветераны 40 - 44 (20.07.1978)/42</t>
  </si>
  <si>
    <t>108,90</t>
  </si>
  <si>
    <t>222,5</t>
  </si>
  <si>
    <t xml:space="preserve">Свищев И. </t>
  </si>
  <si>
    <t>Тарбин Дмитрий</t>
  </si>
  <si>
    <t>2. Тарбин Дмитрий</t>
  </si>
  <si>
    <t>Ветераны 40 - 44 (27.09.1979)/41</t>
  </si>
  <si>
    <t xml:space="preserve">Тарбин Д.В </t>
  </si>
  <si>
    <t>Григорьев Алексей</t>
  </si>
  <si>
    <t>1. Григорьев Алексей</t>
  </si>
  <si>
    <t>Ветераны 45 - 49 (04.02.1975)/45</t>
  </si>
  <si>
    <t>107,80</t>
  </si>
  <si>
    <t xml:space="preserve">Костин Д.В. </t>
  </si>
  <si>
    <t>Тихонов Олег</t>
  </si>
  <si>
    <t>1. Тихонов Олег</t>
  </si>
  <si>
    <t>Ветераны 50 - 54 (21.08.1969)/51</t>
  </si>
  <si>
    <t>106,40</t>
  </si>
  <si>
    <t xml:space="preserve">Зеленоград/Московская область </t>
  </si>
  <si>
    <t xml:space="preserve">Тихонов О.Н. </t>
  </si>
  <si>
    <t>Мынка Эрик</t>
  </si>
  <si>
    <t>1. Мынка Эрик</t>
  </si>
  <si>
    <t>Открытая (14.07.1996)/24</t>
  </si>
  <si>
    <t>115,60</t>
  </si>
  <si>
    <t xml:space="preserve">Колохин П. </t>
  </si>
  <si>
    <t>Ненартович Дмитрий</t>
  </si>
  <si>
    <t>2. Ненартович Дмитрий</t>
  </si>
  <si>
    <t>Открытая (21.12.1987)/32</t>
  </si>
  <si>
    <t>120,50</t>
  </si>
  <si>
    <t>197,5</t>
  </si>
  <si>
    <t>207,5</t>
  </si>
  <si>
    <t>Иванов Андрей</t>
  </si>
  <si>
    <t>3. Иванов Андрей</t>
  </si>
  <si>
    <t>Открытая (22.02.1976)/44</t>
  </si>
  <si>
    <t>115,90</t>
  </si>
  <si>
    <t xml:space="preserve">Егорьевск/Московская область </t>
  </si>
  <si>
    <t>Анатольев Кирилл</t>
  </si>
  <si>
    <t>4. Анатольев Кирилл</t>
  </si>
  <si>
    <t>Открытая (18.03.1987)/33</t>
  </si>
  <si>
    <t>114,70</t>
  </si>
  <si>
    <t>Мишта Юрий</t>
  </si>
  <si>
    <t>1. Мишта Юрий</t>
  </si>
  <si>
    <t>Ветераны 60 - 64 (24.11.1958)/61</t>
  </si>
  <si>
    <t>121,10</t>
  </si>
  <si>
    <t xml:space="preserve">Полицковая Е.В. </t>
  </si>
  <si>
    <t>ВЕСОВАЯ КАТЕГОРИЯ   140</t>
  </si>
  <si>
    <t>Аладышев Сергей</t>
  </si>
  <si>
    <t>1. Аладышев Сергей</t>
  </si>
  <si>
    <t>Ветераны 45 - 49 (08.05.1971)/49</t>
  </si>
  <si>
    <t>139,10</t>
  </si>
  <si>
    <t xml:space="preserve">Результат </t>
  </si>
  <si>
    <t xml:space="preserve">Ветераны 70 - 74 </t>
  </si>
  <si>
    <t xml:space="preserve">Ветераны 60 - 64 </t>
  </si>
  <si>
    <t xml:space="preserve">Ветераны 75 - 79 </t>
  </si>
  <si>
    <t>140</t>
  </si>
  <si>
    <t>Результат</t>
  </si>
  <si>
    <t>Шалимова Татьяна</t>
  </si>
  <si>
    <t>1. Шалимова Татьяна</t>
  </si>
  <si>
    <t>Ветераны 40 - 44 (10.01.1976)/44</t>
  </si>
  <si>
    <t>82,5</t>
  </si>
  <si>
    <t>Киселев Павел</t>
  </si>
  <si>
    <t>1. Киселев Павел</t>
  </si>
  <si>
    <t>Юниоры 20 - 23 (03.11.1999)/21</t>
  </si>
  <si>
    <t xml:space="preserve">Саратов/Саратовская область </t>
  </si>
  <si>
    <t xml:space="preserve">Семенихин И.М. </t>
  </si>
  <si>
    <t>Семенихин Иван</t>
  </si>
  <si>
    <t>1. Семенихин Иван</t>
  </si>
  <si>
    <t>Открытая (30.03.1991)/29</t>
  </si>
  <si>
    <t>Кончаков Владимир</t>
  </si>
  <si>
    <t>1. Кончаков Владимир</t>
  </si>
  <si>
    <t>Открытая (25.05.1973)/47</t>
  </si>
  <si>
    <t>97,70</t>
  </si>
  <si>
    <t xml:space="preserve">Белкин Ю.В. </t>
  </si>
  <si>
    <t>Лазарев Владимир</t>
  </si>
  <si>
    <t>2. Лазарев Владимир</t>
  </si>
  <si>
    <t>Открытая (06.11.1979)/41</t>
  </si>
  <si>
    <t>99,00</t>
  </si>
  <si>
    <t xml:space="preserve">Истра/Московская область </t>
  </si>
  <si>
    <t xml:space="preserve">Маркин Н.И. </t>
  </si>
  <si>
    <t>-. Филиппов Кирилл</t>
  </si>
  <si>
    <t>Открытая (07.01.1989)/31</t>
  </si>
  <si>
    <t>97,00</t>
  </si>
  <si>
    <t xml:space="preserve">Тучково/Московская область </t>
  </si>
  <si>
    <t>1. Лазарев Владимир</t>
  </si>
  <si>
    <t>Ветераны 40 - 44 (06.11.1979)/41</t>
  </si>
  <si>
    <t>Ветераны 45 - 49 (25.05.1973)/47</t>
  </si>
  <si>
    <t>-. Рысцов Александр</t>
  </si>
  <si>
    <t>Открытая (02.12.1979)/40</t>
  </si>
  <si>
    <t>116,00</t>
  </si>
  <si>
    <t xml:space="preserve">Рассказово/Тамбовская область </t>
  </si>
  <si>
    <t>Брехов Роман</t>
  </si>
  <si>
    <t>1. Брехов Роман</t>
  </si>
  <si>
    <t>Открытая (24.02.1990)/30</t>
  </si>
  <si>
    <t>110,00</t>
  </si>
  <si>
    <t>282,5</t>
  </si>
  <si>
    <t>292,5</t>
  </si>
  <si>
    <t xml:space="preserve">Соловьёв В. </t>
  </si>
  <si>
    <t>-. Кошман Александр</t>
  </si>
  <si>
    <t>Открытая (05.08.1971)/49</t>
  </si>
  <si>
    <t>77,10</t>
  </si>
  <si>
    <t xml:space="preserve">Белгород/Белгородская область </t>
  </si>
  <si>
    <t>152,5</t>
  </si>
  <si>
    <t xml:space="preserve">Кошман А.П. </t>
  </si>
  <si>
    <t>Грушевская Вероника</t>
  </si>
  <si>
    <t>1. Грушевская Вероника</t>
  </si>
  <si>
    <t>Юниорки 20 - 23 (04.07.1999)/21</t>
  </si>
  <si>
    <t>47,60</t>
  </si>
  <si>
    <t xml:space="preserve">Клостер Э.С. </t>
  </si>
  <si>
    <t>Бажина Екатерина</t>
  </si>
  <si>
    <t>1. Бажина Екатерина</t>
  </si>
  <si>
    <t>Открытая (04.04.1983)/37</t>
  </si>
  <si>
    <t>47,30</t>
  </si>
  <si>
    <t xml:space="preserve">Бажина Е.В. </t>
  </si>
  <si>
    <t>ВЕСОВАЯ КАТЕГОРИЯ   52</t>
  </si>
  <si>
    <t>Староверова Виктория</t>
  </si>
  <si>
    <t>1. Староверова Виктория</t>
  </si>
  <si>
    <t>Открытая (02.08.1996)/24</t>
  </si>
  <si>
    <t>51,20</t>
  </si>
  <si>
    <t>Сидорова Виктория</t>
  </si>
  <si>
    <t>2. Сидорова Виктория</t>
  </si>
  <si>
    <t>Открытая (26.08.1993)/27</t>
  </si>
  <si>
    <t>Ашукова Джамиля</t>
  </si>
  <si>
    <t>3. Ашукова Джамиля</t>
  </si>
  <si>
    <t>Открытая (05.08.1991)/29</t>
  </si>
  <si>
    <t>51,60</t>
  </si>
  <si>
    <t xml:space="preserve">Прагин Р.О. </t>
  </si>
  <si>
    <t>Аверина Мария</t>
  </si>
  <si>
    <t>4. Аверина Мария</t>
  </si>
  <si>
    <t>Открытая (23.12.1977)/42</t>
  </si>
  <si>
    <t>49,40</t>
  </si>
  <si>
    <t xml:space="preserve">Боев В.Ф. </t>
  </si>
  <si>
    <t>Толстикова Светлана</t>
  </si>
  <si>
    <t>1. Толстикова Светлана</t>
  </si>
  <si>
    <t>Ветераны 50 - 54 (04.08.1967)/53</t>
  </si>
  <si>
    <t>51,30</t>
  </si>
  <si>
    <t>42,5</t>
  </si>
  <si>
    <t>Кравцова Галина</t>
  </si>
  <si>
    <t>1. Кравцова Галина</t>
  </si>
  <si>
    <t>Открытая (29.11.1986)/33</t>
  </si>
  <si>
    <t>55,20</t>
  </si>
  <si>
    <t>Сафина Светлана</t>
  </si>
  <si>
    <t>2. Сафина Светлана</t>
  </si>
  <si>
    <t>Открытая (02.04.1991)/29</t>
  </si>
  <si>
    <t>54,30</t>
  </si>
  <si>
    <t>35,0</t>
  </si>
  <si>
    <t xml:space="preserve">Клостер Э.С </t>
  </si>
  <si>
    <t>Ишбулатова Екатерина</t>
  </si>
  <si>
    <t>1. Ишбулатова Екатерина</t>
  </si>
  <si>
    <t>Открытая (17.04.1986)/34</t>
  </si>
  <si>
    <t>59,40</t>
  </si>
  <si>
    <t>Мигаева Лидия</t>
  </si>
  <si>
    <t>1. Мигаева Лидия</t>
  </si>
  <si>
    <t>Ветераны 45 - 49 (20.10.1974)/46</t>
  </si>
  <si>
    <t>56,10</t>
  </si>
  <si>
    <t xml:space="preserve">Химки/Московская область </t>
  </si>
  <si>
    <t xml:space="preserve">Акиньшин П.С. </t>
  </si>
  <si>
    <t>Делегеоз Юлия</t>
  </si>
  <si>
    <t>2. Делегеоз Юлия</t>
  </si>
  <si>
    <t>Ветераны 45 - 49 (03.01.1971)/49</t>
  </si>
  <si>
    <t>32,5</t>
  </si>
  <si>
    <t>Мирясева Полина</t>
  </si>
  <si>
    <t>1. Мирясева Полина</t>
  </si>
  <si>
    <t>Девушки 15-19 (22.05.2001)/19</t>
  </si>
  <si>
    <t>65,40</t>
  </si>
  <si>
    <t>67,5</t>
  </si>
  <si>
    <t>72,5</t>
  </si>
  <si>
    <t xml:space="preserve">Мирясев С.Н. </t>
  </si>
  <si>
    <t>Федюнина Яна</t>
  </si>
  <si>
    <t>1. Федюнина Яна</t>
  </si>
  <si>
    <t>Ветераны 45 - 49 (15.11.1975)/45</t>
  </si>
  <si>
    <t>66,60</t>
  </si>
  <si>
    <t>Кузнецова Галина</t>
  </si>
  <si>
    <t>1. Кузнецова Галина</t>
  </si>
  <si>
    <t>Открытая (22.06.1982)/38</t>
  </si>
  <si>
    <t>72,00</t>
  </si>
  <si>
    <t>Котлярова Наталья</t>
  </si>
  <si>
    <t>1. Котлярова Наталья</t>
  </si>
  <si>
    <t>Ветераны 45 - 49 (31.12.1972)/47</t>
  </si>
  <si>
    <t>72,40</t>
  </si>
  <si>
    <t xml:space="preserve">Котлярова Н.И. </t>
  </si>
  <si>
    <t>Камельчук Светлана</t>
  </si>
  <si>
    <t>1. Камельчук Светлана</t>
  </si>
  <si>
    <t>Ветераны 50 - 54 (17.08.1967)/53</t>
  </si>
  <si>
    <t xml:space="preserve">Пивнов В.П. </t>
  </si>
  <si>
    <t>Хамидулин Марат</t>
  </si>
  <si>
    <t>1. Хамидулин Марат</t>
  </si>
  <si>
    <t>Юноши 15-19 (30.04.2007)/13</t>
  </si>
  <si>
    <t>49,70</t>
  </si>
  <si>
    <t>Громов Алексей</t>
  </si>
  <si>
    <t>2. Громов Алексей</t>
  </si>
  <si>
    <t>Юноши 15-19 (23.11.2004)/15</t>
  </si>
  <si>
    <t>54,50</t>
  </si>
  <si>
    <t>30,0</t>
  </si>
  <si>
    <t xml:space="preserve">Виноградов А.А </t>
  </si>
  <si>
    <t>Кизилов Илья</t>
  </si>
  <si>
    <t>1. Кизилов Илья</t>
  </si>
  <si>
    <t>Открытая (30.04.1982)/38</t>
  </si>
  <si>
    <t>53,80</t>
  </si>
  <si>
    <t xml:space="preserve">Кизилов И.М. </t>
  </si>
  <si>
    <t>Пан Борис</t>
  </si>
  <si>
    <t>1. Пан Борис</t>
  </si>
  <si>
    <t>Ветераны 75 - 79 (21.03.1943)/77</t>
  </si>
  <si>
    <t>54,80</t>
  </si>
  <si>
    <t>Мирошников Глеб</t>
  </si>
  <si>
    <t>1. Мирошников Глеб</t>
  </si>
  <si>
    <t>Юноши 15-19 (10.07.2004)/16</t>
  </si>
  <si>
    <t>65,20</t>
  </si>
  <si>
    <t xml:space="preserve">Видное/Московская область </t>
  </si>
  <si>
    <t xml:space="preserve">Киреев В.А. </t>
  </si>
  <si>
    <t>Кузнецов Родослав</t>
  </si>
  <si>
    <t>1. Кузнецов Родослав</t>
  </si>
  <si>
    <t>Юниоры 20 - 23 (24.10.2000)/20</t>
  </si>
  <si>
    <t>66,00</t>
  </si>
  <si>
    <t xml:space="preserve">Виноградов А. </t>
  </si>
  <si>
    <t>Якушин Максим</t>
  </si>
  <si>
    <t>1. Якушин Максим</t>
  </si>
  <si>
    <t>Открытая (31.10.1985)/35</t>
  </si>
  <si>
    <t>-. Тибилов Георгий</t>
  </si>
  <si>
    <t>Открытая (24.11.1997)/22</t>
  </si>
  <si>
    <t>60,20</t>
  </si>
  <si>
    <t xml:space="preserve">Владикавказ/Северная Осетия - Алания </t>
  </si>
  <si>
    <t>127,5</t>
  </si>
  <si>
    <t>Соков Илья</t>
  </si>
  <si>
    <t>1. Соков Илья</t>
  </si>
  <si>
    <t>Юниоры 20 - 23 (13.02.1997)/23</t>
  </si>
  <si>
    <t>73,60</t>
  </si>
  <si>
    <t xml:space="preserve">Рак И. </t>
  </si>
  <si>
    <t>Забайрачный Дмитрий</t>
  </si>
  <si>
    <t>2. Забайрачный Дмитрий</t>
  </si>
  <si>
    <t>Юниоры 20 - 23 (23.09.1998)/22</t>
  </si>
  <si>
    <t>74,60</t>
  </si>
  <si>
    <t xml:space="preserve">Сидельников М.А. </t>
  </si>
  <si>
    <t>Кожевников Павел</t>
  </si>
  <si>
    <t>1. Кожевников Павел</t>
  </si>
  <si>
    <t>Открытая (06.06.1991)/29</t>
  </si>
  <si>
    <t>74,20</t>
  </si>
  <si>
    <t xml:space="preserve">Россия/ </t>
  </si>
  <si>
    <t xml:space="preserve">Кожевников А.И. </t>
  </si>
  <si>
    <t>Бурляев Сергей</t>
  </si>
  <si>
    <t>2. Бурляев Сергей</t>
  </si>
  <si>
    <t>Открытая (23.07.1993)/27</t>
  </si>
  <si>
    <t>73,80</t>
  </si>
  <si>
    <t xml:space="preserve">Пушкино/Московская область </t>
  </si>
  <si>
    <t>Демкин Андрей</t>
  </si>
  <si>
    <t>1. Демкин Андрей</t>
  </si>
  <si>
    <t>Ветераны 40 - 44 (02.12.1978)/41</t>
  </si>
  <si>
    <t>74,10</t>
  </si>
  <si>
    <t>2. Далгатов Тагир</t>
  </si>
  <si>
    <t>Томинг Сергей</t>
  </si>
  <si>
    <t>1. Томинг Сергей</t>
  </si>
  <si>
    <t>Ветераны 50 - 54 (09.12.1968)/51</t>
  </si>
  <si>
    <t>70,50</t>
  </si>
  <si>
    <t xml:space="preserve">Санкт-Петербург/ </t>
  </si>
  <si>
    <t>Пивнов Владимир</t>
  </si>
  <si>
    <t>1. Пивнов Владимир</t>
  </si>
  <si>
    <t>Ветераны 65 - 69 (05.11.1953)/67</t>
  </si>
  <si>
    <t>74,30</t>
  </si>
  <si>
    <t xml:space="preserve">Новиков И.П. </t>
  </si>
  <si>
    <t>Стогов Кирилл</t>
  </si>
  <si>
    <t>1. Стогов Кирилл</t>
  </si>
  <si>
    <t>Юноши 15-19 (13.04.2005)/15</t>
  </si>
  <si>
    <t>Кожевников Алексей</t>
  </si>
  <si>
    <t>1. Кожевников Алексей</t>
  </si>
  <si>
    <t>Открытая (20.12.1983)/36</t>
  </si>
  <si>
    <t>82,30</t>
  </si>
  <si>
    <t xml:space="preserve">Домашевский А.В. </t>
  </si>
  <si>
    <t>Звейник Иван</t>
  </si>
  <si>
    <t>2. Звейник Иван</t>
  </si>
  <si>
    <t>Открытая (24.03.1997)/23</t>
  </si>
  <si>
    <t>78,50</t>
  </si>
  <si>
    <t>Горячев Евгений</t>
  </si>
  <si>
    <t>3. Горячев Евгений</t>
  </si>
  <si>
    <t>Открытая (23.04.1991)/29</t>
  </si>
  <si>
    <t xml:space="preserve">Горячев Е.А. </t>
  </si>
  <si>
    <t>-. Воробьев Михаил</t>
  </si>
  <si>
    <t>1. Илькаев Олег</t>
  </si>
  <si>
    <t>Ветераны 40 - 44 (20.06.1976)/44</t>
  </si>
  <si>
    <t>81,60</t>
  </si>
  <si>
    <t>Шигин Эдуард</t>
  </si>
  <si>
    <t>1. Шигин Эдуард</t>
  </si>
  <si>
    <t>Ветераны 50 - 54 (19.05.1968)/52</t>
  </si>
  <si>
    <t>80,30</t>
  </si>
  <si>
    <t xml:space="preserve">Нижний Новгород/Нижегородская </t>
  </si>
  <si>
    <t xml:space="preserve">Шигин Э.Ю. </t>
  </si>
  <si>
    <t>Пантин Олег</t>
  </si>
  <si>
    <t>1. Пантин Олег</t>
  </si>
  <si>
    <t>Ветераны 55 - 59 (08.07.1961)/59</t>
  </si>
  <si>
    <t>76,30</t>
  </si>
  <si>
    <t xml:space="preserve">Ухта/Коми </t>
  </si>
  <si>
    <t>Кондрашев Сергей</t>
  </si>
  <si>
    <t>2. Кондрашев Сергей</t>
  </si>
  <si>
    <t>Ветераны 55 - 59 (16.09.1963)/57</t>
  </si>
  <si>
    <t>79,50</t>
  </si>
  <si>
    <t>1. Агафонов Евгений</t>
  </si>
  <si>
    <t>Ветераны 60 - 64 (25.10.1957)/63</t>
  </si>
  <si>
    <t>Филяков Анатолий</t>
  </si>
  <si>
    <t>1. Филяков Анатолий</t>
  </si>
  <si>
    <t>Ветераны 65 - 69 (05.08.1952)/68</t>
  </si>
  <si>
    <t>78,10</t>
  </si>
  <si>
    <t>Ветров Николай</t>
  </si>
  <si>
    <t>1. Ветров Николай</t>
  </si>
  <si>
    <t>Ветераны 75 - 79 (12.09.1945)/75</t>
  </si>
  <si>
    <t>79,70</t>
  </si>
  <si>
    <t xml:space="preserve">Санников В.М. </t>
  </si>
  <si>
    <t>Прохоров Арсений</t>
  </si>
  <si>
    <t>1. Прохоров Арсений</t>
  </si>
  <si>
    <t>Юниоры 20 - 23 (08.05.1997)/23</t>
  </si>
  <si>
    <t>88,20</t>
  </si>
  <si>
    <t>Мищенко Артем</t>
  </si>
  <si>
    <t>1. Мищенко Артем</t>
  </si>
  <si>
    <t>Открытая (26.06.1984)/36</t>
  </si>
  <si>
    <t>87,90</t>
  </si>
  <si>
    <t>191,0</t>
  </si>
  <si>
    <t>193,0</t>
  </si>
  <si>
    <t xml:space="preserve">Чокаев У. </t>
  </si>
  <si>
    <t>Овчаров Сергей</t>
  </si>
  <si>
    <t>2. Овчаров Сергей</t>
  </si>
  <si>
    <t>Открытая (14.08.1979)/41</t>
  </si>
  <si>
    <t>85,80</t>
  </si>
  <si>
    <t>Клостер Эрнест</t>
  </si>
  <si>
    <t>3. Клостер Эрнест</t>
  </si>
  <si>
    <t>Открытая (03.10.1991)/29</t>
  </si>
  <si>
    <t>87,00</t>
  </si>
  <si>
    <t>Талдыкин Алексей</t>
  </si>
  <si>
    <t>1. Талдыкин Алексей</t>
  </si>
  <si>
    <t>Ветераны 40 - 44 (29.03.1980)/40</t>
  </si>
  <si>
    <t>89,70</t>
  </si>
  <si>
    <t xml:space="preserve">Липецк/Липецкая область </t>
  </si>
  <si>
    <t>2. Девяткин Денис</t>
  </si>
  <si>
    <t>Ветераны 40 - 44 (02.08.1979)/41</t>
  </si>
  <si>
    <t>Девяткин Евгений</t>
  </si>
  <si>
    <t>1. Девяткин Евгений</t>
  </si>
  <si>
    <t>Ветераны 45 - 49 (19.01.1975)/45</t>
  </si>
  <si>
    <t>142,5</t>
  </si>
  <si>
    <t>2. Иванов Алексей</t>
  </si>
  <si>
    <t>Ветераны 45 - 49 (13.03.1975)/45</t>
  </si>
  <si>
    <t>88,60</t>
  </si>
  <si>
    <t xml:space="preserve">Иванов А.А. </t>
  </si>
  <si>
    <t>Сорокин Геннадий</t>
  </si>
  <si>
    <t>1. Сорокин Геннадий</t>
  </si>
  <si>
    <t>Ветераны 60 - 64 (08.09.1959)/61</t>
  </si>
  <si>
    <t>88,30</t>
  </si>
  <si>
    <t xml:space="preserve">Реутов/Московская область </t>
  </si>
  <si>
    <t xml:space="preserve">Лазариди Г.К. </t>
  </si>
  <si>
    <t>Смирнов Леонид</t>
  </si>
  <si>
    <t>2. Смирнов Леонид</t>
  </si>
  <si>
    <t>Ветераны 60 - 64 (26.09.1957)/63</t>
  </si>
  <si>
    <t>89,90</t>
  </si>
  <si>
    <t xml:space="preserve">Смирнов Л.А. </t>
  </si>
  <si>
    <t>Гулягин Степан</t>
  </si>
  <si>
    <t>1. Гулягин Степан</t>
  </si>
  <si>
    <t>Юниоры 20 - 23 (02.03.1998)/22</t>
  </si>
  <si>
    <t>97,30</t>
  </si>
  <si>
    <t xml:space="preserve">Ивантеевка/Московская область </t>
  </si>
  <si>
    <t xml:space="preserve">Дергачев Н. </t>
  </si>
  <si>
    <t>Алексеенко Максим</t>
  </si>
  <si>
    <t>2. Алексеенко Максим</t>
  </si>
  <si>
    <t>Юниоры 20 - 23 (17.09.1997)/23</t>
  </si>
  <si>
    <t>98,20</t>
  </si>
  <si>
    <t>Петров Дмитрий</t>
  </si>
  <si>
    <t>1. Петров Дмитрий</t>
  </si>
  <si>
    <t>Открытая (29.01.1986)/34</t>
  </si>
  <si>
    <t>98,00</t>
  </si>
  <si>
    <t xml:space="preserve">Шумилов Д.Е. </t>
  </si>
  <si>
    <t>Мякишев Сергей</t>
  </si>
  <si>
    <t>2. Мякишев Сергей</t>
  </si>
  <si>
    <t>Открытая (15.09.1977)/43</t>
  </si>
  <si>
    <t>183,0</t>
  </si>
  <si>
    <t xml:space="preserve">Цой Ю.Ф. </t>
  </si>
  <si>
    <t>Бакреу Артур</t>
  </si>
  <si>
    <t>3. Бакреу Артур</t>
  </si>
  <si>
    <t>Открытая (13.12.1980)/39</t>
  </si>
  <si>
    <t>97,50</t>
  </si>
  <si>
    <t xml:space="preserve">Донецкая область/ </t>
  </si>
  <si>
    <t>Дьячков Михаил</t>
  </si>
  <si>
    <t>4. Дьячков Михаил</t>
  </si>
  <si>
    <t>Открытая (21.11.1992)/27</t>
  </si>
  <si>
    <t>99,60</t>
  </si>
  <si>
    <t xml:space="preserve">Савичев Д.А. </t>
  </si>
  <si>
    <t>1. Мякишев Сергей</t>
  </si>
  <si>
    <t>Ветераны 40 - 44 (15.09.1977)/43</t>
  </si>
  <si>
    <t>2. Долгушин Денис</t>
  </si>
  <si>
    <t>Ветераны 40 - 44 (24.04.1978)/42</t>
  </si>
  <si>
    <t>3. Шувалов Сергей</t>
  </si>
  <si>
    <t>Ветераны 40 - 44 (03.06.1979)/41</t>
  </si>
  <si>
    <t>96,00</t>
  </si>
  <si>
    <t>1. Канищев Роман</t>
  </si>
  <si>
    <t>Ветераны 45 - 49 (05.09.1973)/47</t>
  </si>
  <si>
    <t xml:space="preserve">Московская область/Московская </t>
  </si>
  <si>
    <t xml:space="preserve">Канищев Р.В. </t>
  </si>
  <si>
    <t>Казанцев Иван</t>
  </si>
  <si>
    <t>1. Казанцев Иван</t>
  </si>
  <si>
    <t>Ветераны 50 - 54 (29.09.1967)/53</t>
  </si>
  <si>
    <t>98,90</t>
  </si>
  <si>
    <t xml:space="preserve">Камышлов/Свердловская область </t>
  </si>
  <si>
    <t>Данилов Юрий</t>
  </si>
  <si>
    <t>1. Данилов Юрий</t>
  </si>
  <si>
    <t>Ветераны 55 - 59 (26.02.1965)/55</t>
  </si>
  <si>
    <t>99,70</t>
  </si>
  <si>
    <t>Усачев Игорь</t>
  </si>
  <si>
    <t>2. Усачев Игорь</t>
  </si>
  <si>
    <t>Ветераны 55 - 59 (06.06.1965)/55</t>
  </si>
  <si>
    <t>94,00</t>
  </si>
  <si>
    <t xml:space="preserve">Брянск/Брянская область </t>
  </si>
  <si>
    <t>Васильев Виктор</t>
  </si>
  <si>
    <t>1. Васильев Виктор</t>
  </si>
  <si>
    <t>Ветераны 65 - 69 (09.02.1954)/66</t>
  </si>
  <si>
    <t xml:space="preserve">Калининград/Калининградская об </t>
  </si>
  <si>
    <t>136,0</t>
  </si>
  <si>
    <t>Гришин Евгений</t>
  </si>
  <si>
    <t>1. Гришин Евгений</t>
  </si>
  <si>
    <t>Открытая (05.07.1987)/33</t>
  </si>
  <si>
    <t>107,90</t>
  </si>
  <si>
    <t>Богатов Иван</t>
  </si>
  <si>
    <t>2. Богатов Иван</t>
  </si>
  <si>
    <t>Открытая (11.07.1990)/30</t>
  </si>
  <si>
    <t>105,90</t>
  </si>
  <si>
    <t>Буянов Александр</t>
  </si>
  <si>
    <t>3. Буянов Александр</t>
  </si>
  <si>
    <t>Открытая (24.03.1980)/40</t>
  </si>
  <si>
    <t xml:space="preserve">Тула/Тульская область </t>
  </si>
  <si>
    <t xml:space="preserve">Алексеев А.В. </t>
  </si>
  <si>
    <t>Динека Александр</t>
  </si>
  <si>
    <t>4. Динека Александр</t>
  </si>
  <si>
    <t>Открытая (12.09.1985)/35</t>
  </si>
  <si>
    <t xml:space="preserve">Динека А.В. </t>
  </si>
  <si>
    <t>-. Буханцев Павел</t>
  </si>
  <si>
    <t>Открытая (02.08.1969)/51</t>
  </si>
  <si>
    <t>108,70</t>
  </si>
  <si>
    <t xml:space="preserve">Кондаков А. </t>
  </si>
  <si>
    <t>Мишин Станислав</t>
  </si>
  <si>
    <t>1. Мишин Станислав</t>
  </si>
  <si>
    <t>Ветераны 40 - 44 (02.11.1978)/42</t>
  </si>
  <si>
    <t>109,10</t>
  </si>
  <si>
    <t xml:space="preserve">Фрязино/Московская область </t>
  </si>
  <si>
    <t>2. Буянов Александр</t>
  </si>
  <si>
    <t>Ветераны 40 - 44 (24.03.1980)/40</t>
  </si>
  <si>
    <t>Ремин Кирилл</t>
  </si>
  <si>
    <t>1. Ремин Кирилл</t>
  </si>
  <si>
    <t>Ветераны 45 - 49 (13.08.1975)/45</t>
  </si>
  <si>
    <t xml:space="preserve">Пушнин М. </t>
  </si>
  <si>
    <t>Иванов Владимир</t>
  </si>
  <si>
    <t>1. Иванов Владимир</t>
  </si>
  <si>
    <t>Ветераны 50 - 54 (17.08.1966)/54</t>
  </si>
  <si>
    <t>107,50</t>
  </si>
  <si>
    <t xml:space="preserve">Иванов В.П. </t>
  </si>
  <si>
    <t>Ветераны 50 - 54 (02.08.1969)/51</t>
  </si>
  <si>
    <t>Куротченко Игорь</t>
  </si>
  <si>
    <t>1. Куротченко Игорь</t>
  </si>
  <si>
    <t>Ветераны 55 - 59 (20.03.1962)/58</t>
  </si>
  <si>
    <t>107,70</t>
  </si>
  <si>
    <t>2. Кондратьев Валерий</t>
  </si>
  <si>
    <t>Ветераны 55 - 59 (15.01.1964)/56</t>
  </si>
  <si>
    <t>107,30</t>
  </si>
  <si>
    <t xml:space="preserve">Литвиново/Московская область </t>
  </si>
  <si>
    <t>Мищенко Сергей</t>
  </si>
  <si>
    <t>1. Мищенко Сергей</t>
  </si>
  <si>
    <t>Открытая (21.07.1988)/32</t>
  </si>
  <si>
    <t>120,10</t>
  </si>
  <si>
    <t>Усольцев Евгений</t>
  </si>
  <si>
    <t>1. Усольцев Евгений</t>
  </si>
  <si>
    <t>Ветераны 50 - 54 (01.02.1970)/50</t>
  </si>
  <si>
    <t>122,30</t>
  </si>
  <si>
    <t>215,5</t>
  </si>
  <si>
    <t xml:space="preserve">Усольцев Е.Ю. </t>
  </si>
  <si>
    <t>Яковенко Владимир</t>
  </si>
  <si>
    <t>1. Яковенко Владимир</t>
  </si>
  <si>
    <t>Ветераны 60 - 64 (27.03.1959)/61</t>
  </si>
  <si>
    <t>111,60</t>
  </si>
  <si>
    <t xml:space="preserve">Можайск/Московская область </t>
  </si>
  <si>
    <t>Чубаров Владимир</t>
  </si>
  <si>
    <t>1. Чубаров Владимир</t>
  </si>
  <si>
    <t>Ветераны 55 - 59 (03.04.1964)/56</t>
  </si>
  <si>
    <t>134,40</t>
  </si>
  <si>
    <t xml:space="preserve">Юниорки </t>
  </si>
  <si>
    <t>52</t>
  </si>
  <si>
    <t xml:space="preserve">Ветераны 65 - 69 </t>
  </si>
  <si>
    <t>Левенкова Наталья</t>
  </si>
  <si>
    <t>1. Левенкова Наталья</t>
  </si>
  <si>
    <t>Открытая (16.09.1988)/32</t>
  </si>
  <si>
    <t>56,00</t>
  </si>
  <si>
    <t xml:space="preserve">Филатов В.Г. </t>
  </si>
  <si>
    <t>-. Подгорнова Арина</t>
  </si>
  <si>
    <t>Девушки 15-19 (11.03.2002)/18</t>
  </si>
  <si>
    <t>63,70</t>
  </si>
  <si>
    <t xml:space="preserve">Орехово-Зуево/Московская область </t>
  </si>
  <si>
    <t>Сударев Максим</t>
  </si>
  <si>
    <t>1. Сударев Максим</t>
  </si>
  <si>
    <t>Юноши 15-19 (23.11.2000)/19</t>
  </si>
  <si>
    <t>81,30</t>
  </si>
  <si>
    <t>Игнатов Андрей</t>
  </si>
  <si>
    <t>1. Игнатов Андрей</t>
  </si>
  <si>
    <t>Открытая (22.02.1992)/28</t>
  </si>
  <si>
    <t>101,10</t>
  </si>
  <si>
    <t>Черемисин Артур</t>
  </si>
  <si>
    <t>2. Черемисин Артур</t>
  </si>
  <si>
    <t>Открытая (29.11.1989)/30</t>
  </si>
  <si>
    <t>104,70</t>
  </si>
  <si>
    <t xml:space="preserve">Орехово-Зуево/Московская облас </t>
  </si>
  <si>
    <t>Цветков Павел</t>
  </si>
  <si>
    <t>1. Цветков Павел</t>
  </si>
  <si>
    <t>Открытая (05.03.1991)/29</t>
  </si>
  <si>
    <t>71,80</t>
  </si>
  <si>
    <t xml:space="preserve">Аладышев С. </t>
  </si>
  <si>
    <t>Лебушкин Сергей</t>
  </si>
  <si>
    <t>1. Лебушкин Сергей</t>
  </si>
  <si>
    <t>Открытая (13.12.1990)/29</t>
  </si>
  <si>
    <t>285,0</t>
  </si>
  <si>
    <t>Елисеев Павел</t>
  </si>
  <si>
    <t>2. Елисеев Павел</t>
  </si>
  <si>
    <t>79,30</t>
  </si>
  <si>
    <t>Богданов Тимур</t>
  </si>
  <si>
    <t>3. Богданов Тимур</t>
  </si>
  <si>
    <t>Открытая (07.01.1988)/32</t>
  </si>
  <si>
    <t xml:space="preserve">Гагарин/Смоленская область </t>
  </si>
  <si>
    <t>252,5</t>
  </si>
  <si>
    <t xml:space="preserve">Мищенко С. </t>
  </si>
  <si>
    <t>4. Гусев Кирилл</t>
  </si>
  <si>
    <t>Зайцев Вадим</t>
  </si>
  <si>
    <t>1. Зайцев Вадим</t>
  </si>
  <si>
    <t>Ветераны 60 - 64 (26.08.1960)/60</t>
  </si>
  <si>
    <t>86,80</t>
  </si>
  <si>
    <t xml:space="preserve">Солнечногорск/Московская область </t>
  </si>
  <si>
    <t>Неклюдов Андрей</t>
  </si>
  <si>
    <t>1. Неклюдов Андрей</t>
  </si>
  <si>
    <t>Юниоры 20 - 23 (24.11.1996)/23</t>
  </si>
  <si>
    <t>95,90</t>
  </si>
  <si>
    <t xml:space="preserve">Ананьин А.А. </t>
  </si>
  <si>
    <t>Кравченко Евгений</t>
  </si>
  <si>
    <t>1. Кравченко Евгений</t>
  </si>
  <si>
    <t>Открытая (03.09.1986)/34</t>
  </si>
  <si>
    <t>340,0</t>
  </si>
  <si>
    <t>370,0</t>
  </si>
  <si>
    <t>400,0</t>
  </si>
  <si>
    <t xml:space="preserve">Калита И.В. </t>
  </si>
  <si>
    <t>Павлов Дмитрий</t>
  </si>
  <si>
    <t>2. Павлов Дмитрий</t>
  </si>
  <si>
    <t>Открытая (15.11.1991)/29</t>
  </si>
  <si>
    <t>99,50</t>
  </si>
  <si>
    <t>347,5</t>
  </si>
  <si>
    <t>357,5</t>
  </si>
  <si>
    <t>Ананьин Алексей</t>
  </si>
  <si>
    <t>3. Ананьин Алексей</t>
  </si>
  <si>
    <t>Открытая (28.09.1976)/44</t>
  </si>
  <si>
    <t>315,0</t>
  </si>
  <si>
    <t>Громов Андрей</t>
  </si>
  <si>
    <t>4. Громов Андрей</t>
  </si>
  <si>
    <t>Открытая (12.06.1994)/26</t>
  </si>
  <si>
    <t>95,00</t>
  </si>
  <si>
    <t>Овчинников Андрей</t>
  </si>
  <si>
    <t>1. Овчинников Андрей</t>
  </si>
  <si>
    <t>Ветераны 50 - 54 (27.01.1969)/51</t>
  </si>
  <si>
    <t>96,90</t>
  </si>
  <si>
    <t xml:space="preserve">Нелидово/Тверская область </t>
  </si>
  <si>
    <t>Белкин Юрий</t>
  </si>
  <si>
    <t>1. Белкин Юрий</t>
  </si>
  <si>
    <t>Открытая (05.12.1990)/29</t>
  </si>
  <si>
    <t>103,00</t>
  </si>
  <si>
    <t xml:space="preserve">Хабаровск/Хабаровский край </t>
  </si>
  <si>
    <t>445,0</t>
  </si>
  <si>
    <t>Савосин Марат</t>
  </si>
  <si>
    <t>2. Савосин Марат</t>
  </si>
  <si>
    <t>Открытая (23.10.1990)/30</t>
  </si>
  <si>
    <t>105,00</t>
  </si>
  <si>
    <t xml:space="preserve">Подольск/Московская область </t>
  </si>
  <si>
    <t>325,0</t>
  </si>
  <si>
    <t>Сытников Валерий</t>
  </si>
  <si>
    <t>1. Сытников Валерий</t>
  </si>
  <si>
    <t>Ветераны 50 - 54 (28.02.1970)/50</t>
  </si>
  <si>
    <t>106,80</t>
  </si>
  <si>
    <t>287,5</t>
  </si>
  <si>
    <t xml:space="preserve">Тарасов Э.Н. </t>
  </si>
  <si>
    <t>Адамов Антонин</t>
  </si>
  <si>
    <t>1. Адамов Антонин</t>
  </si>
  <si>
    <t>Ветераны 60 - 64 (19.04.1958)/62</t>
  </si>
  <si>
    <t xml:space="preserve">Якутск/Якутия </t>
  </si>
  <si>
    <t xml:space="preserve">Давыдов П.Н. </t>
  </si>
  <si>
    <t>Скрыбыкин Александр</t>
  </si>
  <si>
    <t>1. Скрыбыкин Александр</t>
  </si>
  <si>
    <t>Ветераны 65 - 69 (19.06.1953)/67</t>
  </si>
  <si>
    <t>96,70</t>
  </si>
  <si>
    <t xml:space="preserve">Адамов А.Н. </t>
  </si>
  <si>
    <t>190,4679</t>
  </si>
  <si>
    <t>145,2592</t>
  </si>
  <si>
    <t>Демина Лариса</t>
  </si>
  <si>
    <t>1. Демина Лариса</t>
  </si>
  <si>
    <t>Девушки 15-19 (27.07.2001)/19</t>
  </si>
  <si>
    <t>52,00</t>
  </si>
  <si>
    <t xml:space="preserve">Афанасьев Н.Н. </t>
  </si>
  <si>
    <t>Открытая (27.07.2001)/19</t>
  </si>
  <si>
    <t>Цепелева Мария</t>
  </si>
  <si>
    <t>2. Цепелева Мария</t>
  </si>
  <si>
    <t>Открытая (28.04.1989)/31</t>
  </si>
  <si>
    <t>50,20</t>
  </si>
  <si>
    <t xml:space="preserve">Афанасьев Н. </t>
  </si>
  <si>
    <t>Кондакова София</t>
  </si>
  <si>
    <t>1. Кондакова София</t>
  </si>
  <si>
    <t>Девушки 15-19 (09.02.2004)/16</t>
  </si>
  <si>
    <t>Баринова Полина</t>
  </si>
  <si>
    <t>1. Баринова Полина</t>
  </si>
  <si>
    <t>Открытая (15.11.1998)/22</t>
  </si>
  <si>
    <t>54,90</t>
  </si>
  <si>
    <t xml:space="preserve">Бойко Ю.М. </t>
  </si>
  <si>
    <t>-. Литвиненко Екатерина</t>
  </si>
  <si>
    <t>Открытая (27.05.1985)/35</t>
  </si>
  <si>
    <t xml:space="preserve">Макунина М.Г. </t>
  </si>
  <si>
    <t>Пырсина Юлия</t>
  </si>
  <si>
    <t>1. Пырсина Юлия</t>
  </si>
  <si>
    <t>Открытая (09.05.1985)/35</t>
  </si>
  <si>
    <t>66,30</t>
  </si>
  <si>
    <t xml:space="preserve">Марченко В.В. </t>
  </si>
  <si>
    <t>Кудайкина Наталья</t>
  </si>
  <si>
    <t>2. Кудайкина Наталья</t>
  </si>
  <si>
    <t>Открытая (13.02.1981)/39</t>
  </si>
  <si>
    <t>66,90</t>
  </si>
  <si>
    <t xml:space="preserve">Юность/Московская область </t>
  </si>
  <si>
    <t xml:space="preserve">Лукоянов Е.Е. </t>
  </si>
  <si>
    <t>Жашкеев Егор</t>
  </si>
  <si>
    <t>1. Жашкеев Егор</t>
  </si>
  <si>
    <t>Юноши 15-19 (14.08.2002)/18</t>
  </si>
  <si>
    <t>65,00</t>
  </si>
  <si>
    <t>Щербаков Дмитрий</t>
  </si>
  <si>
    <t>1. Щербаков Дмитрий</t>
  </si>
  <si>
    <t>Открытая (27.04.1984)/36</t>
  </si>
  <si>
    <t>64,20</t>
  </si>
  <si>
    <t>Спирин Артем</t>
  </si>
  <si>
    <t>1. Спирин Артем</t>
  </si>
  <si>
    <t>Юноши 15-19 (14.09.2004)/16</t>
  </si>
  <si>
    <t>71,20</t>
  </si>
  <si>
    <t>2. Распопов Юрий</t>
  </si>
  <si>
    <t>Юноши 15-19 (08.02.2004)/16</t>
  </si>
  <si>
    <t>72,60</t>
  </si>
  <si>
    <t xml:space="preserve">посёлок Юность/Московская обла </t>
  </si>
  <si>
    <t xml:space="preserve">Лукоянов Е. </t>
  </si>
  <si>
    <t>Константинов Сергей</t>
  </si>
  <si>
    <t>1. Константинов Сергей</t>
  </si>
  <si>
    <t>Открытая (12.10.1979)/41</t>
  </si>
  <si>
    <t>74,40</t>
  </si>
  <si>
    <t xml:space="preserve">Калининград/Калининградская область </t>
  </si>
  <si>
    <t xml:space="preserve">Поляков А. </t>
  </si>
  <si>
    <t>Буянов Михаил</t>
  </si>
  <si>
    <t>1. Буянов Михаил</t>
  </si>
  <si>
    <t>Ветераны 45 - 49 (18.11.1974)/45</t>
  </si>
  <si>
    <t>74,80</t>
  </si>
  <si>
    <t xml:space="preserve">Буянов М.В </t>
  </si>
  <si>
    <t>Судобичер Кирилл</t>
  </si>
  <si>
    <t>1. Судобичер Кирилл</t>
  </si>
  <si>
    <t>Юниоры 20 - 23 (28.12.1999)/20</t>
  </si>
  <si>
    <t>82,10</t>
  </si>
  <si>
    <t>Подгорнов Никита</t>
  </si>
  <si>
    <t>1. Подгорнов Никита</t>
  </si>
  <si>
    <t>Открытая (06.06.1996)/24</t>
  </si>
  <si>
    <t>81,10</t>
  </si>
  <si>
    <t>Скокин Виктор</t>
  </si>
  <si>
    <t>1. Скокин Виктор</t>
  </si>
  <si>
    <t>Ветераны 60 - 64 (20.07.1957)/63</t>
  </si>
  <si>
    <t>76,00</t>
  </si>
  <si>
    <t xml:space="preserve">Воскресенск/Московская область </t>
  </si>
  <si>
    <t>227,5</t>
  </si>
  <si>
    <t xml:space="preserve">Хламков А.Е. </t>
  </si>
  <si>
    <t>Семёнов Роман</t>
  </si>
  <si>
    <t>1. Семёнов Роман</t>
  </si>
  <si>
    <t>Открытая (12.07.1988)/32</t>
  </si>
  <si>
    <t>242,5</t>
  </si>
  <si>
    <t xml:space="preserve">Лапатынская И.С. </t>
  </si>
  <si>
    <t>Прокопченко Антон</t>
  </si>
  <si>
    <t>2. Прокопченко Антон</t>
  </si>
  <si>
    <t>Открытая (10.07.1986)/34</t>
  </si>
  <si>
    <t>87,60</t>
  </si>
  <si>
    <t>Маслаков Никита</t>
  </si>
  <si>
    <t>3. Маслаков Никита</t>
  </si>
  <si>
    <t>Открытая (19.07.1988)/32</t>
  </si>
  <si>
    <t>Богачев Иван</t>
  </si>
  <si>
    <t>1. Богачев Иван</t>
  </si>
  <si>
    <t>Открытая (08.06.1978)/42</t>
  </si>
  <si>
    <t xml:space="preserve">Лазарев В. </t>
  </si>
  <si>
    <t>Открытая (06.06.1965)/55</t>
  </si>
  <si>
    <t>Ветераны 40 - 44 (08.06.1978)/42</t>
  </si>
  <si>
    <t>Коваленко Алексей</t>
  </si>
  <si>
    <t>1. Коваленко Алексей</t>
  </si>
  <si>
    <t>Ветераны 45 - 49 (07.01.1972)/48</t>
  </si>
  <si>
    <t>1. Усачев Игорь</t>
  </si>
  <si>
    <t>Коробов Сергей</t>
  </si>
  <si>
    <t>1. Коробов Сергей</t>
  </si>
  <si>
    <t>Ветераны 60 - 64 (19.06.1958)/62</t>
  </si>
  <si>
    <t>96,10</t>
  </si>
  <si>
    <t xml:space="preserve">Электросталь/Московская область </t>
  </si>
  <si>
    <t>2. Адамов Антонин</t>
  </si>
  <si>
    <t>Ушаков Артем</t>
  </si>
  <si>
    <t>1. Ушаков Артем</t>
  </si>
  <si>
    <t>Открытая (21.01.1986)/34</t>
  </si>
  <si>
    <t>103,50</t>
  </si>
  <si>
    <t>Рыбак Борис</t>
  </si>
  <si>
    <t>1. Рыбак Борис</t>
  </si>
  <si>
    <t>Ветераны 60 - 64 (19.08.1956)/64</t>
  </si>
  <si>
    <t xml:space="preserve">Кишинёв/Приднестровье </t>
  </si>
  <si>
    <t>Дьячев Андрей</t>
  </si>
  <si>
    <t>1. Дьячев Андрей</t>
  </si>
  <si>
    <t>Открытая (15.04.1984)/36</t>
  </si>
  <si>
    <t>110,10</t>
  </si>
  <si>
    <t xml:space="preserve">Шумский С.Ю. </t>
  </si>
  <si>
    <t>Баранов Михаил</t>
  </si>
  <si>
    <t>1. Баранов Михаил</t>
  </si>
  <si>
    <t>Ветераны 60 - 64 (02.03.1957)/63</t>
  </si>
  <si>
    <t>120,60</t>
  </si>
  <si>
    <t xml:space="preserve">Санкт-Петербург </t>
  </si>
  <si>
    <t xml:space="preserve">Киречек Е.Ф. </t>
  </si>
  <si>
    <t>Казарина Елена</t>
  </si>
  <si>
    <t>1. Казарина Елена</t>
  </si>
  <si>
    <t>Ветераны 40 - 44 (14.10.1980)/40</t>
  </si>
  <si>
    <t>Чемпионат мира WPF 2020
WPF с ДК Пауэрлифтинг в однослойной экипировке
Москва / 14 - 15 ноября 2020 г.</t>
  </si>
  <si>
    <t>Чемпионат мира WPF 2020
WPF Пауэрлифтинг в однослойной экипировке
Москва / 14 - 15 ноября 2020 г.</t>
  </si>
  <si>
    <t>Чемпионат мира WPF 2020
WPF Пауэрлифтинг классический
Москва / 14 - 15 ноября 2020 г.</t>
  </si>
  <si>
    <t>Чемпионат мира WPF 2020
WPF Пауэрлифтинг безэкипировочный
Москва / 14 - 15 ноября 2020 г.</t>
  </si>
  <si>
    <t>Чемпионат мира WPF 2020
WPF Жим лежа в многослойной экипировке
Москва / 14 - 15 ноября 2020 г.</t>
  </si>
  <si>
    <t>Чемпионат мира WPF 2020
WPF Жим лежа в однослойной экипировке
Москва / 14 - 15 ноября 2020 г.</t>
  </si>
  <si>
    <t>Чемпионат мира WPF 2020
WPF Жим лежа безэкипировочный
Москва / 14 - 15 ноября 2020 г.</t>
  </si>
  <si>
    <t>Чемпионат мира WPF 2020
WPF Становая тяга в однослойной экипировке
Москва / 14 - 15 ноября 2020 г.</t>
  </si>
  <si>
    <t>Чемпионат мира WPF 2020
WPF Становая тяга безэкипировочная
Москва / 14 - 15 ноября 2020 г.</t>
  </si>
  <si>
    <t>Чемпионат мира WPF 2020
WPF с ДК Пауэрлифтинг классический
Москва / 14 - 15 ноября 2020 г.</t>
  </si>
  <si>
    <t>Чемпионат мира WPF 2020
WPF с ДК Пауэрлифтинг безэкипировочный
Москва / 14 - 15 ноября 2020 г.</t>
  </si>
  <si>
    <t>Чемпионат мира WPF 2020
WPF с ДК Жим лежа в многослойной экипировке
Москва / 14 - 15 ноября 2020 г.</t>
  </si>
  <si>
    <t>Чемпионат мира WPF 2020
WPF с ДК Жим лежа в однослойной экипировке
Москва / 14 - 15 ноября 2020 г.</t>
  </si>
  <si>
    <t>Чемпионат мира WPF 2020
WPF с ДК Жим лежа безэкипировочный
Москва / 14 - 15 ноября 2020 г.</t>
  </si>
  <si>
    <t>Чемпионат мира WPF 2020
WPF с ДК Становая тяга в однослойной экипировке
Москва / 14 - 15 ноября 2020 г.</t>
  </si>
  <si>
    <t>Чемпионат мира WPF 2020
WPF с ДК Становая тяга безэкипировочная
Москва / 14 - 15 ноября 2020 г.</t>
  </si>
  <si>
    <t xml:space="preserve">
Дата рождения/Возраст</t>
  </si>
  <si>
    <t>Возрастная группа</t>
  </si>
  <si>
    <t xml:space="preserve"> O</t>
  </si>
  <si>
    <t>M3</t>
  </si>
  <si>
    <t>O</t>
  </si>
  <si>
    <t>J</t>
  </si>
  <si>
    <t>M1</t>
  </si>
  <si>
    <t>Лазарев А.И.</t>
  </si>
  <si>
    <t>T</t>
  </si>
  <si>
    <t>M4</t>
  </si>
  <si>
    <t>Жихарев А.В.</t>
  </si>
  <si>
    <t>M8</t>
  </si>
  <si>
    <t>M2</t>
  </si>
  <si>
    <t>Гусев К.С .</t>
  </si>
  <si>
    <t>Петросян А.В.</t>
  </si>
  <si>
    <t xml:space="preserve">Беловал Е. </t>
  </si>
  <si>
    <t>Ушков И.</t>
  </si>
  <si>
    <t>M7</t>
  </si>
  <si>
    <t>M5</t>
  </si>
  <si>
    <t>M6</t>
  </si>
  <si>
    <t>Зайцев В.</t>
  </si>
  <si>
    <t>Овчинников А.В.</t>
  </si>
  <si>
    <t>Филиппов И.</t>
  </si>
  <si>
    <t>Мищенко С.</t>
  </si>
  <si>
    <t xml:space="preserve">Поталета Е.А. </t>
  </si>
  <si>
    <t xml:space="preserve">Нечпал В.В. </t>
  </si>
  <si>
    <t>Фоменко М.А.</t>
  </si>
  <si>
    <t>Клостер Э.С.</t>
  </si>
  <si>
    <t>Кузнецова Г.Н.</t>
  </si>
  <si>
    <t>Бусов А.Б.</t>
  </si>
  <si>
    <t xml:space="preserve">Далгатов Т.Э </t>
  </si>
  <si>
    <t>Виноорадов А.А.</t>
  </si>
  <si>
    <t>Звейник И.В.</t>
  </si>
  <si>
    <t xml:space="preserve">Пастухова Л.В. </t>
  </si>
  <si>
    <t xml:space="preserve">Постнов Д.М. </t>
  </si>
  <si>
    <t>Лаханов И.А.</t>
  </si>
  <si>
    <t>Елисеев П.</t>
  </si>
  <si>
    <t>Коробов С.В.</t>
  </si>
  <si>
    <t>Рыбак Б.Б.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</si>
</sst>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workbookViewId="0">
      <selection sqref="A1:T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8.5" style="4" bestFit="1" customWidth="1"/>
    <col min="5" max="5" width="25.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9" bestFit="1" customWidth="1"/>
    <col min="19" max="19" width="8.5" style="2" bestFit="1" customWidth="1"/>
    <col min="20" max="20" width="8.83203125" style="4" bestFit="1" customWidth="1"/>
    <col min="21" max="16384" width="9.1640625" style="3"/>
  </cols>
  <sheetData>
    <row r="1" spans="1:20" s="2" customFormat="1" ht="29" customHeight="1">
      <c r="A1" s="40" t="s">
        <v>1159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1:20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/>
    </row>
    <row r="3" spans="1:20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8</v>
      </c>
      <c r="G3" s="34"/>
      <c r="H3" s="34"/>
      <c r="I3" s="34"/>
      <c r="J3" s="34" t="s">
        <v>9</v>
      </c>
      <c r="K3" s="34"/>
      <c r="L3" s="34"/>
      <c r="M3" s="34"/>
      <c r="N3" s="34" t="s">
        <v>10</v>
      </c>
      <c r="O3" s="34"/>
      <c r="P3" s="34"/>
      <c r="Q3" s="34"/>
      <c r="R3" s="34" t="s">
        <v>1</v>
      </c>
      <c r="S3" s="34" t="s">
        <v>3</v>
      </c>
      <c r="T3" s="36" t="s">
        <v>2</v>
      </c>
    </row>
    <row r="4" spans="1:20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5">
        <v>1</v>
      </c>
      <c r="K4" s="5">
        <v>2</v>
      </c>
      <c r="L4" s="5">
        <v>3</v>
      </c>
      <c r="M4" s="5" t="s">
        <v>5</v>
      </c>
      <c r="N4" s="5">
        <v>1</v>
      </c>
      <c r="O4" s="5">
        <v>2</v>
      </c>
      <c r="P4" s="5">
        <v>3</v>
      </c>
      <c r="Q4" s="5" t="s">
        <v>5</v>
      </c>
      <c r="R4" s="35"/>
      <c r="S4" s="35"/>
      <c r="T4" s="37"/>
    </row>
    <row r="5" spans="1:20" ht="16">
      <c r="A5" s="38" t="s">
        <v>120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0">
      <c r="A6" s="6" t="s">
        <v>145</v>
      </c>
      <c r="B6" s="6" t="s">
        <v>146</v>
      </c>
      <c r="C6" s="6" t="s">
        <v>147</v>
      </c>
      <c r="D6" s="6" t="s">
        <v>1176</v>
      </c>
      <c r="E6" s="6" t="s">
        <v>148</v>
      </c>
      <c r="F6" s="7" t="s">
        <v>149</v>
      </c>
      <c r="G6" s="7" t="s">
        <v>150</v>
      </c>
      <c r="H6" s="8" t="s">
        <v>151</v>
      </c>
      <c r="I6" s="8"/>
      <c r="J6" s="7" t="s">
        <v>43</v>
      </c>
      <c r="K6" s="7" t="s">
        <v>47</v>
      </c>
      <c r="L6" s="7" t="s">
        <v>48</v>
      </c>
      <c r="M6" s="8"/>
      <c r="N6" s="7" t="s">
        <v>71</v>
      </c>
      <c r="O6" s="7" t="s">
        <v>72</v>
      </c>
      <c r="P6" s="8" t="s">
        <v>149</v>
      </c>
      <c r="Q6" s="8"/>
      <c r="R6" s="20" t="str">
        <f>"885,0"</f>
        <v>885,0</v>
      </c>
      <c r="S6" s="21" t="str">
        <f>"538,6110"</f>
        <v>538,6110</v>
      </c>
      <c r="T6" s="6"/>
    </row>
    <row r="16" spans="1:20" ht="18">
      <c r="A16" s="28" t="s">
        <v>80</v>
      </c>
      <c r="B16" s="28"/>
    </row>
    <row r="17" spans="1:4" ht="16">
      <c r="A17" s="29" t="s">
        <v>91</v>
      </c>
      <c r="B17" s="29"/>
    </row>
    <row r="18" spans="1:4" ht="14">
      <c r="A18" s="31"/>
      <c r="B18" s="32" t="s">
        <v>96</v>
      </c>
    </row>
    <row r="19" spans="1:4" ht="14">
      <c r="A19" s="33" t="s">
        <v>83</v>
      </c>
      <c r="B19" s="33" t="s">
        <v>84</v>
      </c>
      <c r="C19" s="33" t="s">
        <v>85</v>
      </c>
      <c r="D19" s="33" t="s">
        <v>86</v>
      </c>
    </row>
    <row r="20" spans="1:4">
      <c r="A20" s="30" t="s">
        <v>144</v>
      </c>
      <c r="B20" s="4" t="s">
        <v>96</v>
      </c>
      <c r="C20" s="4" t="s">
        <v>139</v>
      </c>
      <c r="D20" s="4" t="s">
        <v>152</v>
      </c>
    </row>
  </sheetData>
  <mergeCells count="13">
    <mergeCell ref="R3:R4"/>
    <mergeCell ref="S3:S4"/>
    <mergeCell ref="T3:T4"/>
    <mergeCell ref="A5:Q5"/>
    <mergeCell ref="A1:T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64"/>
  <sheetViews>
    <sheetView workbookViewId="0">
      <selection sqref="A1:T2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31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9" bestFit="1" customWidth="1"/>
    <col min="19" max="19" width="8.5" style="2" bestFit="1" customWidth="1"/>
    <col min="20" max="20" width="16.5" style="4" bestFit="1" customWidth="1"/>
    <col min="21" max="16384" width="9.1640625" style="3"/>
  </cols>
  <sheetData>
    <row r="1" spans="1:20" s="2" customFormat="1" ht="29" customHeight="1">
      <c r="A1" s="40" t="s">
        <v>1167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1:20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/>
    </row>
    <row r="3" spans="1:20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8</v>
      </c>
      <c r="G3" s="34"/>
      <c r="H3" s="34"/>
      <c r="I3" s="34"/>
      <c r="J3" s="34" t="s">
        <v>9</v>
      </c>
      <c r="K3" s="34"/>
      <c r="L3" s="34"/>
      <c r="M3" s="34"/>
      <c r="N3" s="34" t="s">
        <v>10</v>
      </c>
      <c r="O3" s="34"/>
      <c r="P3" s="34"/>
      <c r="Q3" s="34"/>
      <c r="R3" s="34" t="s">
        <v>1</v>
      </c>
      <c r="S3" s="34" t="s">
        <v>3</v>
      </c>
      <c r="T3" s="36" t="s">
        <v>2</v>
      </c>
    </row>
    <row r="4" spans="1:20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5">
        <v>1</v>
      </c>
      <c r="K4" s="5">
        <v>2</v>
      </c>
      <c r="L4" s="5">
        <v>3</v>
      </c>
      <c r="M4" s="5" t="s">
        <v>5</v>
      </c>
      <c r="N4" s="5">
        <v>1</v>
      </c>
      <c r="O4" s="5">
        <v>2</v>
      </c>
      <c r="P4" s="5">
        <v>3</v>
      </c>
      <c r="Q4" s="5" t="s">
        <v>5</v>
      </c>
      <c r="R4" s="35"/>
      <c r="S4" s="35"/>
      <c r="T4" s="37"/>
    </row>
    <row r="5" spans="1:20" ht="16">
      <c r="A5" s="38" t="s">
        <v>11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0">
      <c r="A6" s="6" t="s">
        <v>154</v>
      </c>
      <c r="B6" s="6" t="s">
        <v>155</v>
      </c>
      <c r="C6" s="6" t="s">
        <v>156</v>
      </c>
      <c r="D6" s="6" t="s">
        <v>1178</v>
      </c>
      <c r="E6" s="6" t="s">
        <v>157</v>
      </c>
      <c r="F6" s="8" t="s">
        <v>18</v>
      </c>
      <c r="G6" s="8" t="s">
        <v>19</v>
      </c>
      <c r="H6" s="7" t="s">
        <v>19</v>
      </c>
      <c r="I6" s="8"/>
      <c r="J6" s="7" t="s">
        <v>158</v>
      </c>
      <c r="K6" s="7" t="s">
        <v>106</v>
      </c>
      <c r="L6" s="8" t="s">
        <v>159</v>
      </c>
      <c r="M6" s="8"/>
      <c r="N6" s="7" t="s">
        <v>32</v>
      </c>
      <c r="O6" s="7" t="s">
        <v>160</v>
      </c>
      <c r="P6" s="8"/>
      <c r="Q6" s="8"/>
      <c r="R6" s="20" t="str">
        <f>"337,5"</f>
        <v>337,5</v>
      </c>
      <c r="S6" s="21" t="str">
        <f>"357,7837"</f>
        <v>357,7837</v>
      </c>
      <c r="T6" s="6" t="s">
        <v>161</v>
      </c>
    </row>
    <row r="8" spans="1:20" ht="16">
      <c r="A8" s="49" t="s">
        <v>25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0">
      <c r="A9" s="6" t="s">
        <v>163</v>
      </c>
      <c r="B9" s="6" t="s">
        <v>164</v>
      </c>
      <c r="C9" s="6" t="s">
        <v>165</v>
      </c>
      <c r="D9" s="6" t="s">
        <v>1180</v>
      </c>
      <c r="E9" s="6" t="s">
        <v>29</v>
      </c>
      <c r="F9" s="7" t="s">
        <v>23</v>
      </c>
      <c r="G9" s="7" t="s">
        <v>32</v>
      </c>
      <c r="H9" s="7" t="s">
        <v>34</v>
      </c>
      <c r="I9" s="8"/>
      <c r="J9" s="7" t="s">
        <v>105</v>
      </c>
      <c r="K9" s="7" t="s">
        <v>158</v>
      </c>
      <c r="L9" s="8" t="s">
        <v>166</v>
      </c>
      <c r="M9" s="8"/>
      <c r="N9" s="7" t="s">
        <v>18</v>
      </c>
      <c r="O9" s="7" t="s">
        <v>118</v>
      </c>
      <c r="P9" s="7" t="s">
        <v>167</v>
      </c>
      <c r="Q9" s="8"/>
      <c r="R9" s="20" t="str">
        <f>"327,5"</f>
        <v>327,5</v>
      </c>
      <c r="S9" s="21" t="str">
        <f>"330,9593"</f>
        <v>330,9593</v>
      </c>
      <c r="T9" s="6"/>
    </row>
    <row r="11" spans="1:20" ht="16">
      <c r="A11" s="49" t="s">
        <v>37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20">
      <c r="A12" s="9" t="s">
        <v>169</v>
      </c>
      <c r="B12" s="9" t="s">
        <v>170</v>
      </c>
      <c r="C12" s="9" t="s">
        <v>171</v>
      </c>
      <c r="D12" s="9" t="s">
        <v>1179</v>
      </c>
      <c r="E12" s="9" t="s">
        <v>172</v>
      </c>
      <c r="F12" s="11" t="s">
        <v>173</v>
      </c>
      <c r="G12" s="10" t="s">
        <v>173</v>
      </c>
      <c r="H12" s="11" t="s">
        <v>19</v>
      </c>
      <c r="I12" s="11"/>
      <c r="J12" s="10" t="s">
        <v>32</v>
      </c>
      <c r="K12" s="10" t="s">
        <v>34</v>
      </c>
      <c r="L12" s="11" t="s">
        <v>173</v>
      </c>
      <c r="M12" s="11"/>
      <c r="N12" s="10" t="s">
        <v>19</v>
      </c>
      <c r="O12" s="10" t="s">
        <v>46</v>
      </c>
      <c r="P12" s="11" t="s">
        <v>174</v>
      </c>
      <c r="Q12" s="11"/>
      <c r="R12" s="22" t="str">
        <f>"415,0"</f>
        <v>415,0</v>
      </c>
      <c r="S12" s="23" t="str">
        <f>"281,9925"</f>
        <v>281,9925</v>
      </c>
      <c r="T12" s="9" t="s">
        <v>175</v>
      </c>
    </row>
    <row r="13" spans="1:20">
      <c r="A13" s="15" t="s">
        <v>177</v>
      </c>
      <c r="B13" s="15" t="s">
        <v>178</v>
      </c>
      <c r="C13" s="15" t="s">
        <v>179</v>
      </c>
      <c r="D13" s="15" t="s">
        <v>1178</v>
      </c>
      <c r="E13" s="15" t="s">
        <v>29</v>
      </c>
      <c r="F13" s="16" t="s">
        <v>129</v>
      </c>
      <c r="G13" s="17" t="s">
        <v>180</v>
      </c>
      <c r="H13" s="17" t="s">
        <v>181</v>
      </c>
      <c r="I13" s="17"/>
      <c r="J13" s="16" t="s">
        <v>118</v>
      </c>
      <c r="K13" s="16" t="s">
        <v>182</v>
      </c>
      <c r="L13" s="17" t="s">
        <v>20</v>
      </c>
      <c r="M13" s="17"/>
      <c r="N13" s="16" t="s">
        <v>183</v>
      </c>
      <c r="O13" s="16" t="s">
        <v>70</v>
      </c>
      <c r="P13" s="16" t="s">
        <v>47</v>
      </c>
      <c r="Q13" s="17"/>
      <c r="R13" s="26" t="str">
        <f>"620,0"</f>
        <v>620,0</v>
      </c>
      <c r="S13" s="27" t="str">
        <f>"433,1940"</f>
        <v>433,1940</v>
      </c>
      <c r="T13" s="15"/>
    </row>
    <row r="15" spans="1:20" ht="16">
      <c r="A15" s="49" t="s">
        <v>184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1:20">
      <c r="A16" s="9" t="s">
        <v>186</v>
      </c>
      <c r="B16" s="9" t="s">
        <v>187</v>
      </c>
      <c r="C16" s="9" t="s">
        <v>188</v>
      </c>
      <c r="D16" s="9" t="s">
        <v>1179</v>
      </c>
      <c r="E16" s="9" t="s">
        <v>189</v>
      </c>
      <c r="F16" s="10" t="s">
        <v>116</v>
      </c>
      <c r="G16" s="10" t="s">
        <v>35</v>
      </c>
      <c r="H16" s="11"/>
      <c r="I16" s="11"/>
      <c r="J16" s="10" t="s">
        <v>190</v>
      </c>
      <c r="K16" s="11" t="s">
        <v>191</v>
      </c>
      <c r="L16" s="11" t="s">
        <v>191</v>
      </c>
      <c r="M16" s="11"/>
      <c r="N16" s="10" t="s">
        <v>44</v>
      </c>
      <c r="O16" s="11" t="s">
        <v>45</v>
      </c>
      <c r="P16" s="11"/>
      <c r="Q16" s="11"/>
      <c r="R16" s="22" t="str">
        <f>"565,0"</f>
        <v>565,0</v>
      </c>
      <c r="S16" s="23" t="str">
        <f>"362,1650"</f>
        <v>362,1650</v>
      </c>
      <c r="T16" s="9" t="s">
        <v>192</v>
      </c>
    </row>
    <row r="17" spans="1:20">
      <c r="A17" s="12" t="s">
        <v>194</v>
      </c>
      <c r="B17" s="12" t="s">
        <v>195</v>
      </c>
      <c r="C17" s="12" t="s">
        <v>196</v>
      </c>
      <c r="D17" s="12" t="s">
        <v>1180</v>
      </c>
      <c r="E17" s="12" t="s">
        <v>197</v>
      </c>
      <c r="F17" s="14" t="s">
        <v>116</v>
      </c>
      <c r="G17" s="13" t="s">
        <v>198</v>
      </c>
      <c r="H17" s="14" t="s">
        <v>199</v>
      </c>
      <c r="I17" s="13"/>
      <c r="J17" s="14" t="s">
        <v>200</v>
      </c>
      <c r="K17" s="13" t="s">
        <v>34</v>
      </c>
      <c r="L17" s="13" t="s">
        <v>34</v>
      </c>
      <c r="M17" s="13"/>
      <c r="N17" s="14" t="s">
        <v>35</v>
      </c>
      <c r="O17" s="14" t="s">
        <v>183</v>
      </c>
      <c r="P17" s="13" t="s">
        <v>201</v>
      </c>
      <c r="Q17" s="13"/>
      <c r="R17" s="24" t="str">
        <f>"532,5"</f>
        <v>532,5</v>
      </c>
      <c r="S17" s="25" t="str">
        <f>"351,2551"</f>
        <v>351,2551</v>
      </c>
      <c r="T17" s="12" t="s">
        <v>36</v>
      </c>
    </row>
    <row r="18" spans="1:20">
      <c r="A18" s="15" t="s">
        <v>202</v>
      </c>
      <c r="B18" s="15" t="s">
        <v>203</v>
      </c>
      <c r="C18" s="15" t="s">
        <v>204</v>
      </c>
      <c r="D18" s="15" t="s">
        <v>1180</v>
      </c>
      <c r="E18" s="15" t="s">
        <v>29</v>
      </c>
      <c r="F18" s="17" t="s">
        <v>44</v>
      </c>
      <c r="G18" s="17" t="s">
        <v>44</v>
      </c>
      <c r="H18" s="17" t="s">
        <v>47</v>
      </c>
      <c r="I18" s="17"/>
      <c r="J18" s="17" t="s">
        <v>118</v>
      </c>
      <c r="K18" s="17"/>
      <c r="L18" s="17"/>
      <c r="M18" s="17"/>
      <c r="N18" s="17" t="s">
        <v>44</v>
      </c>
      <c r="O18" s="17"/>
      <c r="P18" s="17"/>
      <c r="Q18" s="17"/>
      <c r="R18" s="26" t="str">
        <f>"0.00"</f>
        <v>0.00</v>
      </c>
      <c r="S18" s="27" t="str">
        <f>"0,0000"</f>
        <v>0,0000</v>
      </c>
      <c r="T18" s="15" t="s">
        <v>1196</v>
      </c>
    </row>
    <row r="20" spans="1:20" ht="16">
      <c r="A20" s="49" t="s">
        <v>205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  <row r="21" spans="1:20">
      <c r="A21" s="9" t="s">
        <v>207</v>
      </c>
      <c r="B21" s="9" t="s">
        <v>208</v>
      </c>
      <c r="C21" s="9" t="s">
        <v>209</v>
      </c>
      <c r="D21" s="9" t="s">
        <v>1178</v>
      </c>
      <c r="E21" s="9" t="s">
        <v>210</v>
      </c>
      <c r="F21" s="11" t="s">
        <v>57</v>
      </c>
      <c r="G21" s="10" t="s">
        <v>57</v>
      </c>
      <c r="H21" s="10" t="s">
        <v>211</v>
      </c>
      <c r="I21" s="11"/>
      <c r="J21" s="10" t="s">
        <v>30</v>
      </c>
      <c r="K21" s="10" t="s">
        <v>56</v>
      </c>
      <c r="L21" s="11" t="s">
        <v>116</v>
      </c>
      <c r="M21" s="11"/>
      <c r="N21" s="10" t="s">
        <v>44</v>
      </c>
      <c r="O21" s="10" t="s">
        <v>57</v>
      </c>
      <c r="P21" s="10" t="s">
        <v>212</v>
      </c>
      <c r="Q21" s="11"/>
      <c r="R21" s="22" t="str">
        <f>"750,0"</f>
        <v>750,0</v>
      </c>
      <c r="S21" s="23" t="str">
        <f>"433,6500"</f>
        <v>433,6500</v>
      </c>
      <c r="T21" s="9" t="s">
        <v>213</v>
      </c>
    </row>
    <row r="22" spans="1:20">
      <c r="A22" s="15" t="s">
        <v>207</v>
      </c>
      <c r="B22" s="15" t="s">
        <v>214</v>
      </c>
      <c r="C22" s="15" t="s">
        <v>209</v>
      </c>
      <c r="D22" s="15" t="s">
        <v>1180</v>
      </c>
      <c r="E22" s="15" t="s">
        <v>210</v>
      </c>
      <c r="F22" s="17" t="s">
        <v>57</v>
      </c>
      <c r="G22" s="16" t="s">
        <v>57</v>
      </c>
      <c r="H22" s="16" t="s">
        <v>211</v>
      </c>
      <c r="I22" s="17"/>
      <c r="J22" s="16" t="s">
        <v>30</v>
      </c>
      <c r="K22" s="16" t="s">
        <v>56</v>
      </c>
      <c r="L22" s="17" t="s">
        <v>116</v>
      </c>
      <c r="M22" s="17"/>
      <c r="N22" s="16" t="s">
        <v>44</v>
      </c>
      <c r="O22" s="16" t="s">
        <v>57</v>
      </c>
      <c r="P22" s="16" t="s">
        <v>212</v>
      </c>
      <c r="Q22" s="17"/>
      <c r="R22" s="26" t="str">
        <f>"750,0"</f>
        <v>750,0</v>
      </c>
      <c r="S22" s="27" t="str">
        <f>"442,3230"</f>
        <v>442,3230</v>
      </c>
      <c r="T22" s="15" t="s">
        <v>213</v>
      </c>
    </row>
    <row r="24" spans="1:20" ht="16">
      <c r="A24" s="49" t="s">
        <v>215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20">
      <c r="A25" s="6" t="s">
        <v>217</v>
      </c>
      <c r="B25" s="6" t="s">
        <v>218</v>
      </c>
      <c r="C25" s="6" t="s">
        <v>219</v>
      </c>
      <c r="D25" s="6" t="s">
        <v>1182</v>
      </c>
      <c r="E25" s="6" t="s">
        <v>29</v>
      </c>
      <c r="F25" s="7" t="s">
        <v>44</v>
      </c>
      <c r="G25" s="8" t="s">
        <v>57</v>
      </c>
      <c r="H25" s="8"/>
      <c r="I25" s="8"/>
      <c r="J25" s="7" t="s">
        <v>33</v>
      </c>
      <c r="K25" s="7" t="s">
        <v>160</v>
      </c>
      <c r="L25" s="8" t="s">
        <v>173</v>
      </c>
      <c r="M25" s="8"/>
      <c r="N25" s="7" t="s">
        <v>129</v>
      </c>
      <c r="O25" s="7" t="s">
        <v>43</v>
      </c>
      <c r="P25" s="8" t="s">
        <v>220</v>
      </c>
      <c r="Q25" s="8"/>
      <c r="R25" s="20" t="str">
        <f>"597,5"</f>
        <v>597,5</v>
      </c>
      <c r="S25" s="21" t="str">
        <f>"324,9205"</f>
        <v>324,9205</v>
      </c>
      <c r="T25" s="6" t="s">
        <v>1197</v>
      </c>
    </row>
    <row r="35" spans="1:4" ht="18">
      <c r="A35" s="28" t="s">
        <v>80</v>
      </c>
      <c r="B35" s="28"/>
    </row>
    <row r="36" spans="1:4" ht="16">
      <c r="A36" s="29" t="s">
        <v>81</v>
      </c>
      <c r="B36" s="29"/>
    </row>
    <row r="37" spans="1:4" ht="14">
      <c r="A37" s="31"/>
      <c r="B37" s="32" t="s">
        <v>96</v>
      </c>
    </row>
    <row r="38" spans="1:4" ht="14">
      <c r="A38" s="33" t="s">
        <v>83</v>
      </c>
      <c r="B38" s="33" t="s">
        <v>84</v>
      </c>
      <c r="C38" s="33" t="s">
        <v>85</v>
      </c>
      <c r="D38" s="33" t="s">
        <v>86</v>
      </c>
    </row>
    <row r="39" spans="1:4">
      <c r="A39" s="30" t="s">
        <v>153</v>
      </c>
      <c r="B39" s="4" t="s">
        <v>96</v>
      </c>
      <c r="C39" s="4" t="s">
        <v>89</v>
      </c>
      <c r="D39" s="4" t="s">
        <v>221</v>
      </c>
    </row>
    <row r="41" spans="1:4" ht="14">
      <c r="A41" s="31"/>
      <c r="B41" s="32" t="s">
        <v>82</v>
      </c>
    </row>
    <row r="42" spans="1:4" ht="14">
      <c r="A42" s="33" t="s">
        <v>83</v>
      </c>
      <c r="B42" s="33" t="s">
        <v>84</v>
      </c>
      <c r="C42" s="33" t="s">
        <v>85</v>
      </c>
      <c r="D42" s="33" t="s">
        <v>86</v>
      </c>
    </row>
    <row r="43" spans="1:4">
      <c r="A43" s="30" t="s">
        <v>162</v>
      </c>
      <c r="B43" s="4" t="s">
        <v>100</v>
      </c>
      <c r="C43" s="4" t="s">
        <v>222</v>
      </c>
      <c r="D43" s="4" t="s">
        <v>223</v>
      </c>
    </row>
    <row r="46" spans="1:4" ht="16">
      <c r="A46" s="29" t="s">
        <v>91</v>
      </c>
      <c r="B46" s="29"/>
    </row>
    <row r="47" spans="1:4" ht="14">
      <c r="A47" s="31"/>
      <c r="B47" s="32" t="s">
        <v>136</v>
      </c>
    </row>
    <row r="48" spans="1:4" ht="14">
      <c r="A48" s="33" t="s">
        <v>83</v>
      </c>
      <c r="B48" s="33" t="s">
        <v>84</v>
      </c>
      <c r="C48" s="33" t="s">
        <v>85</v>
      </c>
      <c r="D48" s="33" t="s">
        <v>86</v>
      </c>
    </row>
    <row r="49" spans="1:4">
      <c r="A49" s="30" t="s">
        <v>216</v>
      </c>
      <c r="B49" s="4" t="s">
        <v>137</v>
      </c>
      <c r="C49" s="4" t="s">
        <v>224</v>
      </c>
      <c r="D49" s="4" t="s">
        <v>225</v>
      </c>
    </row>
    <row r="51" spans="1:4" ht="14">
      <c r="A51" s="31"/>
      <c r="B51" s="32" t="s">
        <v>92</v>
      </c>
    </row>
    <row r="52" spans="1:4" ht="14">
      <c r="A52" s="33" t="s">
        <v>83</v>
      </c>
      <c r="B52" s="33" t="s">
        <v>84</v>
      </c>
      <c r="C52" s="33" t="s">
        <v>85</v>
      </c>
      <c r="D52" s="33" t="s">
        <v>86</v>
      </c>
    </row>
    <row r="53" spans="1:4">
      <c r="A53" s="30" t="s">
        <v>185</v>
      </c>
      <c r="B53" s="4" t="s">
        <v>93</v>
      </c>
      <c r="C53" s="4" t="s">
        <v>226</v>
      </c>
      <c r="D53" s="4" t="s">
        <v>227</v>
      </c>
    </row>
    <row r="54" spans="1:4">
      <c r="A54" s="30" t="s">
        <v>168</v>
      </c>
      <c r="B54" s="4" t="s">
        <v>93</v>
      </c>
      <c r="C54" s="4" t="s">
        <v>94</v>
      </c>
      <c r="D54" s="4" t="s">
        <v>228</v>
      </c>
    </row>
    <row r="56" spans="1:4" ht="14">
      <c r="A56" s="31"/>
      <c r="B56" s="32" t="s">
        <v>96</v>
      </c>
    </row>
    <row r="57" spans="1:4" ht="14">
      <c r="A57" s="33" t="s">
        <v>83</v>
      </c>
      <c r="B57" s="33" t="s">
        <v>84</v>
      </c>
      <c r="C57" s="33" t="s">
        <v>85</v>
      </c>
      <c r="D57" s="33" t="s">
        <v>86</v>
      </c>
    </row>
    <row r="58" spans="1:4">
      <c r="A58" s="30" t="s">
        <v>206</v>
      </c>
      <c r="B58" s="4" t="s">
        <v>96</v>
      </c>
      <c r="C58" s="4" t="s">
        <v>229</v>
      </c>
      <c r="D58" s="4" t="s">
        <v>230</v>
      </c>
    </row>
    <row r="59" spans="1:4">
      <c r="A59" s="30" t="s">
        <v>176</v>
      </c>
      <c r="B59" s="4" t="s">
        <v>96</v>
      </c>
      <c r="C59" s="4" t="s">
        <v>94</v>
      </c>
      <c r="D59" s="4" t="s">
        <v>231</v>
      </c>
    </row>
    <row r="61" spans="1:4" ht="14">
      <c r="A61" s="31"/>
      <c r="B61" s="32" t="s">
        <v>82</v>
      </c>
    </row>
    <row r="62" spans="1:4" ht="14">
      <c r="A62" s="33" t="s">
        <v>83</v>
      </c>
      <c r="B62" s="33" t="s">
        <v>84</v>
      </c>
      <c r="C62" s="33" t="s">
        <v>85</v>
      </c>
      <c r="D62" s="33" t="s">
        <v>86</v>
      </c>
    </row>
    <row r="63" spans="1:4">
      <c r="A63" s="30" t="s">
        <v>206</v>
      </c>
      <c r="B63" s="4" t="s">
        <v>100</v>
      </c>
      <c r="C63" s="4" t="s">
        <v>229</v>
      </c>
      <c r="D63" s="4" t="s">
        <v>230</v>
      </c>
    </row>
    <row r="64" spans="1:4">
      <c r="A64" s="30" t="s">
        <v>193</v>
      </c>
      <c r="B64" s="4" t="s">
        <v>100</v>
      </c>
      <c r="C64" s="4" t="s">
        <v>226</v>
      </c>
      <c r="D64" s="4" t="s">
        <v>232</v>
      </c>
    </row>
  </sheetData>
  <mergeCells count="18">
    <mergeCell ref="A8:Q8"/>
    <mergeCell ref="A11:Q11"/>
    <mergeCell ref="A15:Q15"/>
    <mergeCell ref="A20:Q20"/>
    <mergeCell ref="A24:Q24"/>
    <mergeCell ref="R3:R4"/>
    <mergeCell ref="S3:S4"/>
    <mergeCell ref="T3:T4"/>
    <mergeCell ref="A5:Q5"/>
    <mergeCell ref="A1:T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81"/>
  <sheetViews>
    <sheetView workbookViewId="0">
      <selection activeCell="T37" sqref="T37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29.16406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7" width="5.5" style="3" customWidth="1"/>
    <col min="18" max="18" width="7.83203125" style="19" bestFit="1" customWidth="1"/>
    <col min="19" max="19" width="8.5" style="2" bestFit="1" customWidth="1"/>
    <col min="20" max="20" width="15" style="4" bestFit="1" customWidth="1"/>
    <col min="21" max="16384" width="9.1640625" style="3"/>
  </cols>
  <sheetData>
    <row r="1" spans="1:20" s="2" customFormat="1" ht="29" customHeight="1">
      <c r="A1" s="40" t="s">
        <v>1168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1:20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/>
    </row>
    <row r="3" spans="1:20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8</v>
      </c>
      <c r="G3" s="34"/>
      <c r="H3" s="34"/>
      <c r="I3" s="34"/>
      <c r="J3" s="34" t="s">
        <v>9</v>
      </c>
      <c r="K3" s="34"/>
      <c r="L3" s="34"/>
      <c r="M3" s="34"/>
      <c r="N3" s="34" t="s">
        <v>10</v>
      </c>
      <c r="O3" s="34"/>
      <c r="P3" s="34"/>
      <c r="Q3" s="34"/>
      <c r="R3" s="34" t="s">
        <v>1</v>
      </c>
      <c r="S3" s="34" t="s">
        <v>3</v>
      </c>
      <c r="T3" s="36" t="s">
        <v>2</v>
      </c>
    </row>
    <row r="4" spans="1:20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5">
        <v>1</v>
      </c>
      <c r="K4" s="5">
        <v>2</v>
      </c>
      <c r="L4" s="5">
        <v>3</v>
      </c>
      <c r="M4" s="5" t="s">
        <v>5</v>
      </c>
      <c r="N4" s="5">
        <v>1</v>
      </c>
      <c r="O4" s="5">
        <v>2</v>
      </c>
      <c r="P4" s="5">
        <v>3</v>
      </c>
      <c r="Q4" s="5" t="s">
        <v>5</v>
      </c>
      <c r="R4" s="35"/>
      <c r="S4" s="35"/>
      <c r="T4" s="37"/>
    </row>
    <row r="5" spans="1:20" ht="16">
      <c r="A5" s="38" t="s">
        <v>233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0">
      <c r="A6" s="6" t="s">
        <v>235</v>
      </c>
      <c r="B6" s="6" t="s">
        <v>236</v>
      </c>
      <c r="C6" s="6" t="s">
        <v>237</v>
      </c>
      <c r="D6" s="6" t="s">
        <v>1180</v>
      </c>
      <c r="E6" s="6" t="s">
        <v>29</v>
      </c>
      <c r="F6" s="7" t="s">
        <v>159</v>
      </c>
      <c r="G6" s="7" t="s">
        <v>107</v>
      </c>
      <c r="H6" s="7" t="s">
        <v>238</v>
      </c>
      <c r="I6" s="8"/>
      <c r="J6" s="7" t="s">
        <v>239</v>
      </c>
      <c r="K6" s="7" t="s">
        <v>110</v>
      </c>
      <c r="L6" s="8" t="s">
        <v>240</v>
      </c>
      <c r="M6" s="8"/>
      <c r="N6" s="7" t="s">
        <v>107</v>
      </c>
      <c r="O6" s="7" t="s">
        <v>241</v>
      </c>
      <c r="P6" s="8" t="s">
        <v>242</v>
      </c>
      <c r="Q6" s="8"/>
      <c r="R6" s="20" t="str">
        <f>"210,0"</f>
        <v>210,0</v>
      </c>
      <c r="S6" s="21" t="str">
        <f>"294,5734"</f>
        <v>294,5734</v>
      </c>
      <c r="T6" s="6"/>
    </row>
    <row r="8" spans="1:20" ht="16">
      <c r="A8" s="49" t="s">
        <v>243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0">
      <c r="A9" s="6" t="s">
        <v>245</v>
      </c>
      <c r="B9" s="6" t="s">
        <v>246</v>
      </c>
      <c r="C9" s="6" t="s">
        <v>247</v>
      </c>
      <c r="D9" s="6" t="s">
        <v>1178</v>
      </c>
      <c r="E9" s="6" t="s">
        <v>29</v>
      </c>
      <c r="F9" s="7" t="s">
        <v>32</v>
      </c>
      <c r="G9" s="8" t="s">
        <v>33</v>
      </c>
      <c r="H9" s="8" t="s">
        <v>34</v>
      </c>
      <c r="I9" s="8"/>
      <c r="J9" s="7" t="s">
        <v>158</v>
      </c>
      <c r="K9" s="7" t="s">
        <v>166</v>
      </c>
      <c r="L9" s="8" t="s">
        <v>106</v>
      </c>
      <c r="M9" s="8"/>
      <c r="N9" s="7" t="s">
        <v>248</v>
      </c>
      <c r="O9" s="7" t="s">
        <v>23</v>
      </c>
      <c r="P9" s="7" t="s">
        <v>249</v>
      </c>
      <c r="Q9" s="8"/>
      <c r="R9" s="20" t="str">
        <f>"277,5"</f>
        <v>277,5</v>
      </c>
      <c r="S9" s="21" t="str">
        <f>"326,9783"</f>
        <v>326,9783</v>
      </c>
      <c r="T9" s="6" t="s">
        <v>250</v>
      </c>
    </row>
    <row r="11" spans="1:20" ht="16">
      <c r="A11" s="49" t="s">
        <v>251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20">
      <c r="A12" s="6" t="s">
        <v>253</v>
      </c>
      <c r="B12" s="6" t="s">
        <v>254</v>
      </c>
      <c r="C12" s="6" t="s">
        <v>255</v>
      </c>
      <c r="D12" s="6" t="s">
        <v>1177</v>
      </c>
      <c r="E12" s="6" t="s">
        <v>29</v>
      </c>
      <c r="F12" s="7" t="s">
        <v>256</v>
      </c>
      <c r="G12" s="7" t="s">
        <v>34</v>
      </c>
      <c r="H12" s="7" t="s">
        <v>190</v>
      </c>
      <c r="I12" s="8"/>
      <c r="J12" s="7" t="s">
        <v>257</v>
      </c>
      <c r="K12" s="7" t="s">
        <v>158</v>
      </c>
      <c r="L12" s="8" t="s">
        <v>166</v>
      </c>
      <c r="M12" s="8"/>
      <c r="N12" s="7" t="s">
        <v>32</v>
      </c>
      <c r="O12" s="7" t="s">
        <v>200</v>
      </c>
      <c r="P12" s="8" t="s">
        <v>190</v>
      </c>
      <c r="Q12" s="8"/>
      <c r="R12" s="20" t="str">
        <f>"302,5"</f>
        <v>302,5</v>
      </c>
      <c r="S12" s="21" t="str">
        <f>"410,3190"</f>
        <v>410,3190</v>
      </c>
      <c r="T12" s="6"/>
    </row>
    <row r="14" spans="1:20" ht="16">
      <c r="A14" s="49" t="s">
        <v>11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20">
      <c r="A15" s="9" t="s">
        <v>259</v>
      </c>
      <c r="B15" s="9" t="s">
        <v>260</v>
      </c>
      <c r="C15" s="9" t="s">
        <v>261</v>
      </c>
      <c r="D15" s="9" t="s">
        <v>1178</v>
      </c>
      <c r="E15" s="9" t="s">
        <v>29</v>
      </c>
      <c r="F15" s="10" t="s">
        <v>21</v>
      </c>
      <c r="G15" s="10" t="s">
        <v>262</v>
      </c>
      <c r="H15" s="10" t="s">
        <v>22</v>
      </c>
      <c r="I15" s="11"/>
      <c r="J15" s="10" t="s">
        <v>110</v>
      </c>
      <c r="K15" s="10" t="s">
        <v>240</v>
      </c>
      <c r="L15" s="10" t="s">
        <v>263</v>
      </c>
      <c r="M15" s="11"/>
      <c r="N15" s="10" t="s">
        <v>23</v>
      </c>
      <c r="O15" s="10" t="s">
        <v>249</v>
      </c>
      <c r="P15" s="10" t="s">
        <v>32</v>
      </c>
      <c r="Q15" s="11"/>
      <c r="R15" s="22" t="str">
        <f>"250,0"</f>
        <v>250,0</v>
      </c>
      <c r="S15" s="23" t="str">
        <f>"264,1000"</f>
        <v>264,1000</v>
      </c>
      <c r="T15" s="9" t="s">
        <v>1198</v>
      </c>
    </row>
    <row r="16" spans="1:20">
      <c r="A16" s="15" t="s">
        <v>265</v>
      </c>
      <c r="B16" s="15" t="s">
        <v>266</v>
      </c>
      <c r="C16" s="15" t="s">
        <v>267</v>
      </c>
      <c r="D16" s="15" t="s">
        <v>1178</v>
      </c>
      <c r="E16" s="15" t="s">
        <v>29</v>
      </c>
      <c r="F16" s="16" t="s">
        <v>21</v>
      </c>
      <c r="G16" s="16" t="s">
        <v>22</v>
      </c>
      <c r="H16" s="17" t="s">
        <v>23</v>
      </c>
      <c r="I16" s="17"/>
      <c r="J16" s="16" t="s">
        <v>240</v>
      </c>
      <c r="K16" s="16" t="s">
        <v>268</v>
      </c>
      <c r="L16" s="16" t="s">
        <v>105</v>
      </c>
      <c r="M16" s="17"/>
      <c r="N16" s="16" t="s">
        <v>22</v>
      </c>
      <c r="O16" s="16" t="s">
        <v>23</v>
      </c>
      <c r="P16" s="17" t="s">
        <v>32</v>
      </c>
      <c r="Q16" s="17"/>
      <c r="R16" s="26" t="str">
        <f>"245,0"</f>
        <v>245,0</v>
      </c>
      <c r="S16" s="27" t="str">
        <f>"261,8560"</f>
        <v>261,8560</v>
      </c>
      <c r="T16" s="15" t="s">
        <v>269</v>
      </c>
    </row>
    <row r="18" spans="1:20" ht="16">
      <c r="A18" s="49" t="s">
        <v>25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1:20">
      <c r="A19" s="6" t="s">
        <v>271</v>
      </c>
      <c r="B19" s="6" t="s">
        <v>272</v>
      </c>
      <c r="C19" s="6" t="s">
        <v>273</v>
      </c>
      <c r="D19" s="6" t="s">
        <v>1182</v>
      </c>
      <c r="E19" s="6" t="s">
        <v>274</v>
      </c>
      <c r="F19" s="7" t="s">
        <v>23</v>
      </c>
      <c r="G19" s="7" t="s">
        <v>275</v>
      </c>
      <c r="H19" s="7" t="s">
        <v>33</v>
      </c>
      <c r="I19" s="8"/>
      <c r="J19" s="7" t="s">
        <v>105</v>
      </c>
      <c r="K19" s="8" t="s">
        <v>158</v>
      </c>
      <c r="L19" s="8" t="s">
        <v>158</v>
      </c>
      <c r="M19" s="8"/>
      <c r="N19" s="7" t="s">
        <v>22</v>
      </c>
      <c r="O19" s="7" t="s">
        <v>23</v>
      </c>
      <c r="P19" s="7" t="s">
        <v>275</v>
      </c>
      <c r="Q19" s="8"/>
      <c r="R19" s="20" t="str">
        <f>"277,5"</f>
        <v>277,5</v>
      </c>
      <c r="S19" s="21" t="str">
        <f>"274,4475"</f>
        <v>274,4475</v>
      </c>
      <c r="T19" s="6" t="s">
        <v>1199</v>
      </c>
    </row>
    <row r="21" spans="1:20" ht="16">
      <c r="A21" s="49" t="s">
        <v>37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1:20">
      <c r="A22" s="9" t="s">
        <v>277</v>
      </c>
      <c r="B22" s="9" t="s">
        <v>278</v>
      </c>
      <c r="C22" s="9" t="s">
        <v>279</v>
      </c>
      <c r="D22" s="9" t="s">
        <v>1178</v>
      </c>
      <c r="E22" s="9" t="s">
        <v>280</v>
      </c>
      <c r="F22" s="10" t="s">
        <v>183</v>
      </c>
      <c r="G22" s="11" t="s">
        <v>69</v>
      </c>
      <c r="H22" s="10" t="s">
        <v>70</v>
      </c>
      <c r="I22" s="11"/>
      <c r="J22" s="10" t="s">
        <v>30</v>
      </c>
      <c r="K22" s="11" t="s">
        <v>56</v>
      </c>
      <c r="L22" s="11" t="s">
        <v>56</v>
      </c>
      <c r="M22" s="11"/>
      <c r="N22" s="10" t="s">
        <v>70</v>
      </c>
      <c r="O22" s="10" t="s">
        <v>45</v>
      </c>
      <c r="P22" s="10" t="s">
        <v>57</v>
      </c>
      <c r="Q22" s="10" t="s">
        <v>281</v>
      </c>
      <c r="R22" s="22" t="str">
        <f>"660,0"</f>
        <v>660,0</v>
      </c>
      <c r="S22" s="23" t="str">
        <f>"453,8160"</f>
        <v>453,8160</v>
      </c>
      <c r="T22" s="9"/>
    </row>
    <row r="23" spans="1:20">
      <c r="A23" s="12" t="s">
        <v>283</v>
      </c>
      <c r="B23" s="12" t="s">
        <v>284</v>
      </c>
      <c r="C23" s="12" t="s">
        <v>285</v>
      </c>
      <c r="D23" s="12" t="s">
        <v>1180</v>
      </c>
      <c r="E23" s="12" t="s">
        <v>29</v>
      </c>
      <c r="F23" s="13" t="s">
        <v>34</v>
      </c>
      <c r="G23" s="14" t="s">
        <v>34</v>
      </c>
      <c r="H23" s="14" t="s">
        <v>173</v>
      </c>
      <c r="I23" s="13"/>
      <c r="J23" s="14" t="s">
        <v>32</v>
      </c>
      <c r="K23" s="13" t="s">
        <v>33</v>
      </c>
      <c r="L23" s="13" t="s">
        <v>33</v>
      </c>
      <c r="M23" s="13"/>
      <c r="N23" s="14" t="s">
        <v>20</v>
      </c>
      <c r="O23" s="14" t="s">
        <v>30</v>
      </c>
      <c r="P23" s="14" t="s">
        <v>286</v>
      </c>
      <c r="Q23" s="13"/>
      <c r="R23" s="24" t="str">
        <f>"415,0"</f>
        <v>415,0</v>
      </c>
      <c r="S23" s="25" t="str">
        <f>"292,1034"</f>
        <v>292,1034</v>
      </c>
      <c r="T23" s="12" t="s">
        <v>287</v>
      </c>
    </row>
    <row r="24" spans="1:20">
      <c r="A24" s="15" t="s">
        <v>289</v>
      </c>
      <c r="B24" s="15" t="s">
        <v>290</v>
      </c>
      <c r="C24" s="15" t="s">
        <v>41</v>
      </c>
      <c r="D24" s="15" t="s">
        <v>1177</v>
      </c>
      <c r="E24" s="15" t="s">
        <v>29</v>
      </c>
      <c r="F24" s="17" t="s">
        <v>182</v>
      </c>
      <c r="G24" s="16" t="s">
        <v>46</v>
      </c>
      <c r="H24" s="16" t="s">
        <v>291</v>
      </c>
      <c r="I24" s="17"/>
      <c r="J24" s="16" t="s">
        <v>33</v>
      </c>
      <c r="K24" s="17" t="s">
        <v>34</v>
      </c>
      <c r="L24" s="16" t="s">
        <v>34</v>
      </c>
      <c r="M24" s="17"/>
      <c r="N24" s="16" t="s">
        <v>56</v>
      </c>
      <c r="O24" s="16" t="s">
        <v>116</v>
      </c>
      <c r="P24" s="16" t="s">
        <v>35</v>
      </c>
      <c r="Q24" s="17"/>
      <c r="R24" s="26" t="str">
        <f>"492,5"</f>
        <v>492,5</v>
      </c>
      <c r="S24" s="27" t="str">
        <f>"395,2971"</f>
        <v>395,2971</v>
      </c>
      <c r="T24" s="15" t="s">
        <v>292</v>
      </c>
    </row>
    <row r="26" spans="1:20" ht="16">
      <c r="A26" s="49" t="s">
        <v>184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20">
      <c r="A27" s="6" t="s">
        <v>294</v>
      </c>
      <c r="B27" s="6" t="s">
        <v>295</v>
      </c>
      <c r="C27" s="6" t="s">
        <v>296</v>
      </c>
      <c r="D27" s="6" t="s">
        <v>1186</v>
      </c>
      <c r="E27" s="6" t="s">
        <v>29</v>
      </c>
      <c r="F27" s="7" t="s">
        <v>174</v>
      </c>
      <c r="G27" s="7" t="s">
        <v>297</v>
      </c>
      <c r="H27" s="8" t="s">
        <v>35</v>
      </c>
      <c r="I27" s="8"/>
      <c r="J27" s="7" t="s">
        <v>275</v>
      </c>
      <c r="K27" s="7" t="s">
        <v>256</v>
      </c>
      <c r="L27" s="8" t="s">
        <v>33</v>
      </c>
      <c r="M27" s="8"/>
      <c r="N27" s="7" t="s">
        <v>138</v>
      </c>
      <c r="O27" s="7" t="s">
        <v>69</v>
      </c>
      <c r="P27" s="8" t="s">
        <v>180</v>
      </c>
      <c r="Q27" s="8"/>
      <c r="R27" s="20" t="str">
        <f>"532,5"</f>
        <v>532,5</v>
      </c>
      <c r="S27" s="21" t="str">
        <f>"390,7396"</f>
        <v>390,7396</v>
      </c>
      <c r="T27" s="6"/>
    </row>
    <row r="29" spans="1:20" ht="16">
      <c r="A29" s="49" t="s">
        <v>120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1:20">
      <c r="A30" s="6" t="s">
        <v>299</v>
      </c>
      <c r="B30" s="6" t="s">
        <v>300</v>
      </c>
      <c r="C30" s="6" t="s">
        <v>301</v>
      </c>
      <c r="D30" s="6" t="s">
        <v>1182</v>
      </c>
      <c r="E30" s="6" t="s">
        <v>29</v>
      </c>
      <c r="F30" s="8" t="s">
        <v>158</v>
      </c>
      <c r="G30" s="7" t="s">
        <v>107</v>
      </c>
      <c r="H30" s="7" t="s">
        <v>262</v>
      </c>
      <c r="I30" s="8"/>
      <c r="J30" s="7" t="s">
        <v>268</v>
      </c>
      <c r="K30" s="7" t="s">
        <v>257</v>
      </c>
      <c r="L30" s="8" t="s">
        <v>158</v>
      </c>
      <c r="M30" s="8"/>
      <c r="N30" s="7" t="s">
        <v>159</v>
      </c>
      <c r="O30" s="7" t="s">
        <v>22</v>
      </c>
      <c r="P30" s="7" t="s">
        <v>33</v>
      </c>
      <c r="Q30" s="8"/>
      <c r="R30" s="20" t="str">
        <f>"257,5"</f>
        <v>257,5</v>
      </c>
      <c r="S30" s="21" t="str">
        <f>"162,4310"</f>
        <v>162,4310</v>
      </c>
      <c r="T30" s="6" t="s">
        <v>1200</v>
      </c>
    </row>
    <row r="32" spans="1:20" ht="16">
      <c r="A32" s="49" t="s">
        <v>61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1:20">
      <c r="A33" s="9" t="s">
        <v>303</v>
      </c>
      <c r="B33" s="9" t="s">
        <v>304</v>
      </c>
      <c r="C33" s="9" t="s">
        <v>305</v>
      </c>
      <c r="D33" s="9" t="s">
        <v>1182</v>
      </c>
      <c r="E33" s="9" t="s">
        <v>29</v>
      </c>
      <c r="F33" s="10" t="s">
        <v>20</v>
      </c>
      <c r="G33" s="10" t="s">
        <v>30</v>
      </c>
      <c r="H33" s="10" t="s">
        <v>174</v>
      </c>
      <c r="I33" s="11"/>
      <c r="J33" s="10" t="s">
        <v>23</v>
      </c>
      <c r="K33" s="10" t="s">
        <v>32</v>
      </c>
      <c r="L33" s="11" t="s">
        <v>200</v>
      </c>
      <c r="M33" s="11"/>
      <c r="N33" s="10" t="s">
        <v>116</v>
      </c>
      <c r="O33" s="11" t="s">
        <v>35</v>
      </c>
      <c r="P33" s="11" t="s">
        <v>199</v>
      </c>
      <c r="Q33" s="11"/>
      <c r="R33" s="22" t="str">
        <f>"485,0"</f>
        <v>485,0</v>
      </c>
      <c r="S33" s="23" t="str">
        <f>"292,0185"</f>
        <v>292,0185</v>
      </c>
      <c r="T33" s="9" t="s">
        <v>306</v>
      </c>
    </row>
    <row r="34" spans="1:20">
      <c r="A34" s="15" t="s">
        <v>308</v>
      </c>
      <c r="B34" s="15" t="s">
        <v>309</v>
      </c>
      <c r="C34" s="15" t="s">
        <v>310</v>
      </c>
      <c r="D34" s="15" t="s">
        <v>1178</v>
      </c>
      <c r="E34" s="15" t="s">
        <v>311</v>
      </c>
      <c r="F34" s="16" t="s">
        <v>129</v>
      </c>
      <c r="G34" s="16" t="s">
        <v>70</v>
      </c>
      <c r="H34" s="17" t="s">
        <v>44</v>
      </c>
      <c r="I34" s="17"/>
      <c r="J34" s="16" t="s">
        <v>173</v>
      </c>
      <c r="K34" s="16" t="s">
        <v>118</v>
      </c>
      <c r="L34" s="17"/>
      <c r="M34" s="17"/>
      <c r="N34" s="16" t="s">
        <v>47</v>
      </c>
      <c r="O34" s="16" t="s">
        <v>312</v>
      </c>
      <c r="P34" s="17"/>
      <c r="Q34" s="17"/>
      <c r="R34" s="26" t="str">
        <f>"652,5"</f>
        <v>652,5</v>
      </c>
      <c r="S34" s="27" t="str">
        <f>"390,1950"</f>
        <v>390,1950</v>
      </c>
      <c r="T34" s="15" t="s">
        <v>313</v>
      </c>
    </row>
    <row r="36" spans="1:20" ht="16">
      <c r="A36" s="49" t="s">
        <v>205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1:20">
      <c r="A37" s="6" t="s">
        <v>315</v>
      </c>
      <c r="B37" s="6" t="s">
        <v>316</v>
      </c>
      <c r="C37" s="6" t="s">
        <v>317</v>
      </c>
      <c r="D37" s="6" t="s">
        <v>1178</v>
      </c>
      <c r="E37" s="6" t="s">
        <v>29</v>
      </c>
      <c r="F37" s="8" t="s">
        <v>46</v>
      </c>
      <c r="G37" s="7" t="s">
        <v>46</v>
      </c>
      <c r="H37" s="7" t="s">
        <v>286</v>
      </c>
      <c r="I37" s="8"/>
      <c r="J37" s="7" t="s">
        <v>46</v>
      </c>
      <c r="K37" s="8" t="s">
        <v>291</v>
      </c>
      <c r="L37" s="8" t="s">
        <v>291</v>
      </c>
      <c r="M37" s="8"/>
      <c r="N37" s="7" t="s">
        <v>116</v>
      </c>
      <c r="O37" s="7" t="s">
        <v>198</v>
      </c>
      <c r="P37" s="8" t="s">
        <v>199</v>
      </c>
      <c r="Q37" s="8"/>
      <c r="R37" s="20" t="str">
        <f>"542,5"</f>
        <v>542,5</v>
      </c>
      <c r="S37" s="21" t="str">
        <f>"311,1237"</f>
        <v>311,1237</v>
      </c>
      <c r="T37" s="6"/>
    </row>
    <row r="47" spans="1:20" ht="18">
      <c r="A47" s="28" t="s">
        <v>80</v>
      </c>
      <c r="B47" s="28"/>
    </row>
    <row r="48" spans="1:20" ht="16">
      <c r="A48" s="29" t="s">
        <v>81</v>
      </c>
      <c r="B48" s="29"/>
    </row>
    <row r="49" spans="1:4" ht="14">
      <c r="A49" s="31"/>
      <c r="B49" s="32" t="s">
        <v>318</v>
      </c>
    </row>
    <row r="50" spans="1:4" ht="14">
      <c r="A50" s="33" t="s">
        <v>83</v>
      </c>
      <c r="B50" s="33" t="s">
        <v>84</v>
      </c>
      <c r="C50" s="33" t="s">
        <v>85</v>
      </c>
      <c r="D50" s="33" t="s">
        <v>86</v>
      </c>
    </row>
    <row r="51" spans="1:4">
      <c r="A51" s="30" t="s">
        <v>270</v>
      </c>
      <c r="B51" s="4" t="s">
        <v>137</v>
      </c>
      <c r="C51" s="4" t="s">
        <v>222</v>
      </c>
      <c r="D51" s="4" t="s">
        <v>312</v>
      </c>
    </row>
    <row r="53" spans="1:4" ht="14">
      <c r="A53" s="31"/>
      <c r="B53" s="32" t="s">
        <v>96</v>
      </c>
    </row>
    <row r="54" spans="1:4" ht="14">
      <c r="A54" s="33" t="s">
        <v>83</v>
      </c>
      <c r="B54" s="33" t="s">
        <v>84</v>
      </c>
      <c r="C54" s="33" t="s">
        <v>85</v>
      </c>
      <c r="D54" s="33" t="s">
        <v>86</v>
      </c>
    </row>
    <row r="55" spans="1:4">
      <c r="A55" s="30" t="s">
        <v>244</v>
      </c>
      <c r="B55" s="4" t="s">
        <v>96</v>
      </c>
      <c r="C55" s="4" t="s">
        <v>319</v>
      </c>
      <c r="D55" s="4" t="s">
        <v>312</v>
      </c>
    </row>
    <row r="56" spans="1:4">
      <c r="A56" s="30" t="s">
        <v>258</v>
      </c>
      <c r="B56" s="4" t="s">
        <v>96</v>
      </c>
      <c r="C56" s="4" t="s">
        <v>89</v>
      </c>
      <c r="D56" s="4" t="s">
        <v>45</v>
      </c>
    </row>
    <row r="57" spans="1:4">
      <c r="A57" s="30" t="s">
        <v>264</v>
      </c>
      <c r="B57" s="4" t="s">
        <v>96</v>
      </c>
      <c r="C57" s="4" t="s">
        <v>89</v>
      </c>
      <c r="D57" s="4" t="s">
        <v>47</v>
      </c>
    </row>
    <row r="59" spans="1:4" ht="14">
      <c r="A59" s="31"/>
      <c r="B59" s="32" t="s">
        <v>82</v>
      </c>
    </row>
    <row r="60" spans="1:4" ht="14">
      <c r="A60" s="33" t="s">
        <v>83</v>
      </c>
      <c r="B60" s="33" t="s">
        <v>84</v>
      </c>
      <c r="C60" s="33" t="s">
        <v>85</v>
      </c>
      <c r="D60" s="33" t="s">
        <v>86</v>
      </c>
    </row>
    <row r="61" spans="1:4">
      <c r="A61" s="30" t="s">
        <v>252</v>
      </c>
      <c r="B61" s="4" t="s">
        <v>88</v>
      </c>
      <c r="C61" s="4" t="s">
        <v>320</v>
      </c>
      <c r="D61" s="4" t="s">
        <v>321</v>
      </c>
    </row>
    <row r="62" spans="1:4">
      <c r="A62" s="30" t="s">
        <v>234</v>
      </c>
      <c r="B62" s="4" t="s">
        <v>100</v>
      </c>
      <c r="C62" s="4" t="s">
        <v>322</v>
      </c>
      <c r="D62" s="4" t="s">
        <v>183</v>
      </c>
    </row>
    <row r="65" spans="1:4" ht="16">
      <c r="A65" s="29" t="s">
        <v>91</v>
      </c>
      <c r="B65" s="29"/>
    </row>
    <row r="66" spans="1:4" ht="14">
      <c r="A66" s="31"/>
      <c r="B66" s="32" t="s">
        <v>136</v>
      </c>
    </row>
    <row r="67" spans="1:4" ht="14">
      <c r="A67" s="33" t="s">
        <v>83</v>
      </c>
      <c r="B67" s="33" t="s">
        <v>84</v>
      </c>
      <c r="C67" s="33" t="s">
        <v>85</v>
      </c>
      <c r="D67" s="33" t="s">
        <v>86</v>
      </c>
    </row>
    <row r="68" spans="1:4">
      <c r="A68" s="30" t="s">
        <v>302</v>
      </c>
      <c r="B68" s="4" t="s">
        <v>137</v>
      </c>
      <c r="C68" s="4" t="s">
        <v>97</v>
      </c>
      <c r="D68" s="4" t="s">
        <v>323</v>
      </c>
    </row>
    <row r="69" spans="1:4">
      <c r="A69" s="30" t="s">
        <v>298</v>
      </c>
      <c r="B69" s="4" t="s">
        <v>137</v>
      </c>
      <c r="C69" s="4" t="s">
        <v>139</v>
      </c>
      <c r="D69" s="4" t="s">
        <v>324</v>
      </c>
    </row>
    <row r="71" spans="1:4" ht="14">
      <c r="A71" s="31"/>
      <c r="B71" s="32" t="s">
        <v>96</v>
      </c>
    </row>
    <row r="72" spans="1:4" ht="14">
      <c r="A72" s="33" t="s">
        <v>83</v>
      </c>
      <c r="B72" s="33" t="s">
        <v>84</v>
      </c>
      <c r="C72" s="33" t="s">
        <v>85</v>
      </c>
      <c r="D72" s="33" t="s">
        <v>86</v>
      </c>
    </row>
    <row r="73" spans="1:4">
      <c r="A73" s="30" t="s">
        <v>276</v>
      </c>
      <c r="B73" s="4" t="s">
        <v>96</v>
      </c>
      <c r="C73" s="4" t="s">
        <v>94</v>
      </c>
      <c r="D73" s="4" t="s">
        <v>325</v>
      </c>
    </row>
    <row r="74" spans="1:4">
      <c r="A74" s="30" t="s">
        <v>307</v>
      </c>
      <c r="B74" s="4" t="s">
        <v>96</v>
      </c>
      <c r="C74" s="4" t="s">
        <v>97</v>
      </c>
      <c r="D74" s="4" t="s">
        <v>326</v>
      </c>
    </row>
    <row r="75" spans="1:4">
      <c r="A75" s="30" t="s">
        <v>314</v>
      </c>
      <c r="B75" s="4" t="s">
        <v>96</v>
      </c>
      <c r="C75" s="4" t="s">
        <v>229</v>
      </c>
      <c r="D75" s="4" t="s">
        <v>327</v>
      </c>
    </row>
    <row r="77" spans="1:4" ht="14">
      <c r="A77" s="31"/>
      <c r="B77" s="32" t="s">
        <v>82</v>
      </c>
    </row>
    <row r="78" spans="1:4" ht="14">
      <c r="A78" s="33" t="s">
        <v>83</v>
      </c>
      <c r="B78" s="33" t="s">
        <v>84</v>
      </c>
      <c r="C78" s="33" t="s">
        <v>85</v>
      </c>
      <c r="D78" s="33" t="s">
        <v>86</v>
      </c>
    </row>
    <row r="79" spans="1:4">
      <c r="A79" s="30" t="s">
        <v>288</v>
      </c>
      <c r="B79" s="4" t="s">
        <v>88</v>
      </c>
      <c r="C79" s="4" t="s">
        <v>94</v>
      </c>
      <c r="D79" s="4" t="s">
        <v>328</v>
      </c>
    </row>
    <row r="80" spans="1:4">
      <c r="A80" s="30" t="s">
        <v>293</v>
      </c>
      <c r="B80" s="4" t="s">
        <v>329</v>
      </c>
      <c r="C80" s="4" t="s">
        <v>226</v>
      </c>
      <c r="D80" s="4" t="s">
        <v>232</v>
      </c>
    </row>
    <row r="81" spans="1:4">
      <c r="A81" s="30" t="s">
        <v>282</v>
      </c>
      <c r="B81" s="4" t="s">
        <v>100</v>
      </c>
      <c r="C81" s="4" t="s">
        <v>94</v>
      </c>
      <c r="D81" s="4" t="s">
        <v>228</v>
      </c>
    </row>
  </sheetData>
  <mergeCells count="22">
    <mergeCell ref="A29:Q29"/>
    <mergeCell ref="A32:Q32"/>
    <mergeCell ref="A36:Q36"/>
    <mergeCell ref="A8:Q8"/>
    <mergeCell ref="A11:Q11"/>
    <mergeCell ref="A14:Q14"/>
    <mergeCell ref="A18:Q18"/>
    <mergeCell ref="A21:Q21"/>
    <mergeCell ref="A26:Q26"/>
    <mergeCell ref="R3:R4"/>
    <mergeCell ref="S3:S4"/>
    <mergeCell ref="T3:T4"/>
    <mergeCell ref="A5:Q5"/>
    <mergeCell ref="A1:T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6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6.5" style="4" bestFit="1" customWidth="1"/>
    <col min="5" max="5" width="30.33203125" style="4" bestFit="1" customWidth="1"/>
    <col min="6" max="8" width="5.5" style="3" customWidth="1"/>
    <col min="9" max="9" width="4.83203125" style="3" customWidth="1"/>
    <col min="10" max="10" width="12.6640625" style="19" customWidth="1"/>
    <col min="11" max="11" width="6.5" style="2" bestFit="1" customWidth="1"/>
    <col min="12" max="12" width="12.83203125" style="4" bestFit="1" customWidth="1"/>
    <col min="13" max="16384" width="9.1640625" style="3"/>
  </cols>
  <sheetData>
    <row r="1" spans="1:12" s="2" customFormat="1" ht="29" customHeight="1">
      <c r="A1" s="40" t="s">
        <v>1169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9</v>
      </c>
      <c r="G3" s="34"/>
      <c r="H3" s="34"/>
      <c r="I3" s="34"/>
      <c r="J3" s="34" t="s">
        <v>503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35"/>
      <c r="K4" s="35"/>
      <c r="L4" s="37"/>
    </row>
    <row r="5" spans="1:12" ht="16">
      <c r="A5" s="38" t="s">
        <v>37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545</v>
      </c>
      <c r="B6" s="6" t="s">
        <v>546</v>
      </c>
      <c r="C6" s="6" t="s">
        <v>547</v>
      </c>
      <c r="D6" s="6" t="s">
        <v>1178</v>
      </c>
      <c r="E6" s="6" t="s">
        <v>548</v>
      </c>
      <c r="F6" s="8" t="s">
        <v>549</v>
      </c>
      <c r="G6" s="8" t="s">
        <v>549</v>
      </c>
      <c r="H6" s="8" t="s">
        <v>549</v>
      </c>
      <c r="I6" s="8"/>
      <c r="J6" s="20" t="str">
        <f>"0.00"</f>
        <v>0.00</v>
      </c>
      <c r="K6" s="21" t="str">
        <f>"0,0000"</f>
        <v>0,0000</v>
      </c>
      <c r="L6" s="6" t="s">
        <v>550</v>
      </c>
    </row>
    <row r="16" spans="1:12" ht="18">
      <c r="A16" s="28" t="s">
        <v>80</v>
      </c>
      <c r="B16" s="28"/>
    </row>
  </sheetData>
  <mergeCells count="11"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1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7.83203125" style="4" customWidth="1"/>
    <col min="3" max="3" width="15.5" style="4" bestFit="1" customWidth="1"/>
    <col min="4" max="4" width="11.83203125" style="4" bestFit="1" customWidth="1"/>
    <col min="5" max="5" width="33.5" style="4" bestFit="1" customWidth="1"/>
    <col min="6" max="8" width="5.5" style="3" customWidth="1"/>
    <col min="9" max="9" width="4.83203125" style="3" customWidth="1"/>
    <col min="10" max="10" width="14.6640625" style="19" customWidth="1"/>
    <col min="11" max="11" width="8.5" style="2" bestFit="1" customWidth="1"/>
    <col min="12" max="12" width="12.83203125" style="4" bestFit="1" customWidth="1"/>
    <col min="13" max="16384" width="9.1640625" style="3"/>
  </cols>
  <sheetData>
    <row r="1" spans="1:12" s="2" customFormat="1" ht="29" customHeight="1">
      <c r="A1" s="40" t="s">
        <v>1170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9</v>
      </c>
      <c r="G3" s="34"/>
      <c r="H3" s="34"/>
      <c r="I3" s="34"/>
      <c r="J3" s="34" t="s">
        <v>503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35"/>
      <c r="K4" s="35"/>
      <c r="L4" s="37"/>
    </row>
    <row r="5" spans="1:12" ht="16">
      <c r="A5" s="38" t="s">
        <v>243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926</v>
      </c>
      <c r="B6" s="6" t="s">
        <v>927</v>
      </c>
      <c r="C6" s="6" t="s">
        <v>928</v>
      </c>
      <c r="D6" s="6" t="s">
        <v>1178</v>
      </c>
      <c r="E6" s="6" t="s">
        <v>29</v>
      </c>
      <c r="F6" s="7" t="s">
        <v>238</v>
      </c>
      <c r="G6" s="7" t="s">
        <v>262</v>
      </c>
      <c r="H6" s="8" t="s">
        <v>22</v>
      </c>
      <c r="I6" s="8"/>
      <c r="J6" s="20" t="str">
        <f>"85,0"</f>
        <v>85,0</v>
      </c>
      <c r="K6" s="21" t="str">
        <f>"100,0110"</f>
        <v>100,0110</v>
      </c>
      <c r="L6" s="6" t="s">
        <v>929</v>
      </c>
    </row>
    <row r="8" spans="1:12" ht="16">
      <c r="A8" s="49" t="s">
        <v>11</v>
      </c>
      <c r="B8" s="49"/>
      <c r="C8" s="49"/>
      <c r="D8" s="49"/>
      <c r="E8" s="49"/>
      <c r="F8" s="49"/>
      <c r="G8" s="49"/>
      <c r="H8" s="49"/>
      <c r="I8" s="49"/>
    </row>
    <row r="9" spans="1:12">
      <c r="A9" s="6" t="s">
        <v>930</v>
      </c>
      <c r="B9" s="6" t="s">
        <v>931</v>
      </c>
      <c r="C9" s="6" t="s">
        <v>932</v>
      </c>
      <c r="D9" s="6" t="s">
        <v>1182</v>
      </c>
      <c r="E9" s="6" t="s">
        <v>933</v>
      </c>
      <c r="F9" s="8" t="s">
        <v>22</v>
      </c>
      <c r="G9" s="8" t="s">
        <v>22</v>
      </c>
      <c r="H9" s="8" t="s">
        <v>22</v>
      </c>
      <c r="I9" s="8"/>
      <c r="J9" s="20" t="str">
        <f>"0.00"</f>
        <v>0.00</v>
      </c>
      <c r="K9" s="21" t="str">
        <f>"0,0000"</f>
        <v>0,0000</v>
      </c>
      <c r="L9" s="6" t="s">
        <v>336</v>
      </c>
    </row>
    <row r="11" spans="1:12" ht="16">
      <c r="A11" s="49" t="s">
        <v>37</v>
      </c>
      <c r="B11" s="49"/>
      <c r="C11" s="49"/>
      <c r="D11" s="49"/>
      <c r="E11" s="49"/>
      <c r="F11" s="49"/>
      <c r="G11" s="49"/>
      <c r="H11" s="49"/>
      <c r="I11" s="49"/>
    </row>
    <row r="12" spans="1:12">
      <c r="A12" s="6" t="s">
        <v>935</v>
      </c>
      <c r="B12" s="6" t="s">
        <v>936</v>
      </c>
      <c r="C12" s="6" t="s">
        <v>937</v>
      </c>
      <c r="D12" s="6" t="s">
        <v>1182</v>
      </c>
      <c r="E12" s="6" t="s">
        <v>483</v>
      </c>
      <c r="F12" s="7" t="s">
        <v>34</v>
      </c>
      <c r="G12" s="7" t="s">
        <v>173</v>
      </c>
      <c r="H12" s="8" t="s">
        <v>167</v>
      </c>
      <c r="I12" s="8"/>
      <c r="J12" s="20" t="str">
        <f>"130,0"</f>
        <v>130,0</v>
      </c>
      <c r="K12" s="21" t="str">
        <f>"87,8670"</f>
        <v>87,8670</v>
      </c>
      <c r="L12" s="6" t="s">
        <v>336</v>
      </c>
    </row>
    <row r="14" spans="1:12" ht="16">
      <c r="A14" s="49" t="s">
        <v>61</v>
      </c>
      <c r="B14" s="49"/>
      <c r="C14" s="49"/>
      <c r="D14" s="49"/>
      <c r="E14" s="49"/>
      <c r="F14" s="49"/>
      <c r="G14" s="49"/>
      <c r="H14" s="49"/>
      <c r="I14" s="49"/>
    </row>
    <row r="15" spans="1:12">
      <c r="A15" s="9" t="s">
        <v>939</v>
      </c>
      <c r="B15" s="9" t="s">
        <v>940</v>
      </c>
      <c r="C15" s="9" t="s">
        <v>941</v>
      </c>
      <c r="D15" s="9" t="s">
        <v>1178</v>
      </c>
      <c r="E15" s="9" t="s">
        <v>483</v>
      </c>
      <c r="F15" s="10" t="s">
        <v>57</v>
      </c>
      <c r="G15" s="10" t="s">
        <v>66</v>
      </c>
      <c r="H15" s="10" t="s">
        <v>71</v>
      </c>
      <c r="I15" s="11"/>
      <c r="J15" s="22" t="str">
        <f>"280,0"</f>
        <v>280,0</v>
      </c>
      <c r="K15" s="23" t="str">
        <f>"169,6800"</f>
        <v>169,6800</v>
      </c>
      <c r="L15" s="9" t="s">
        <v>336</v>
      </c>
    </row>
    <row r="16" spans="1:12">
      <c r="A16" s="15" t="s">
        <v>943</v>
      </c>
      <c r="B16" s="15" t="s">
        <v>944</v>
      </c>
      <c r="C16" s="15" t="s">
        <v>945</v>
      </c>
      <c r="D16" s="15" t="s">
        <v>1178</v>
      </c>
      <c r="E16" s="15" t="s">
        <v>946</v>
      </c>
      <c r="F16" s="16" t="s">
        <v>45</v>
      </c>
      <c r="G16" s="17" t="s">
        <v>324</v>
      </c>
      <c r="H16" s="16" t="s">
        <v>281</v>
      </c>
      <c r="I16" s="17"/>
      <c r="J16" s="26" t="str">
        <f>"262,5"</f>
        <v>262,5</v>
      </c>
      <c r="K16" s="27" t="str">
        <f>"157,0275"</f>
        <v>157,0275</v>
      </c>
      <c r="L16" s="15" t="s">
        <v>336</v>
      </c>
    </row>
    <row r="26" spans="1:4" ht="18">
      <c r="A26" s="28" t="s">
        <v>80</v>
      </c>
      <c r="B26" s="28"/>
    </row>
    <row r="27" spans="1:4" ht="16">
      <c r="A27" s="29" t="s">
        <v>81</v>
      </c>
      <c r="B27" s="29"/>
    </row>
    <row r="28" spans="1:4" ht="14">
      <c r="A28" s="31"/>
      <c r="B28" s="32" t="s">
        <v>96</v>
      </c>
    </row>
    <row r="29" spans="1:4" ht="14">
      <c r="A29" s="33" t="s">
        <v>83</v>
      </c>
      <c r="B29" s="33" t="s">
        <v>84</v>
      </c>
      <c r="C29" s="33" t="s">
        <v>85</v>
      </c>
      <c r="D29" s="33" t="s">
        <v>498</v>
      </c>
    </row>
    <row r="30" spans="1:4">
      <c r="A30" s="30" t="s">
        <v>925</v>
      </c>
      <c r="B30" s="4" t="s">
        <v>96</v>
      </c>
      <c r="C30" s="4" t="s">
        <v>319</v>
      </c>
      <c r="D30" s="4" t="s">
        <v>262</v>
      </c>
    </row>
    <row r="33" spans="1:4" ht="16">
      <c r="A33" s="29" t="s">
        <v>91</v>
      </c>
      <c r="B33" s="29"/>
    </row>
    <row r="34" spans="1:4" ht="14">
      <c r="A34" s="31"/>
      <c r="B34" s="32" t="s">
        <v>136</v>
      </c>
    </row>
    <row r="35" spans="1:4" ht="14">
      <c r="A35" s="33" t="s">
        <v>83</v>
      </c>
      <c r="B35" s="33" t="s">
        <v>84</v>
      </c>
      <c r="C35" s="33" t="s">
        <v>85</v>
      </c>
      <c r="D35" s="33" t="s">
        <v>498</v>
      </c>
    </row>
    <row r="36" spans="1:4">
      <c r="A36" s="30" t="s">
        <v>934</v>
      </c>
      <c r="B36" s="4" t="s">
        <v>137</v>
      </c>
      <c r="C36" s="4" t="s">
        <v>94</v>
      </c>
      <c r="D36" s="4" t="s">
        <v>173</v>
      </c>
    </row>
    <row r="38" spans="1:4" ht="14">
      <c r="A38" s="31"/>
      <c r="B38" s="32" t="s">
        <v>96</v>
      </c>
    </row>
    <row r="39" spans="1:4" ht="14">
      <c r="A39" s="33" t="s">
        <v>83</v>
      </c>
      <c r="B39" s="33" t="s">
        <v>84</v>
      </c>
      <c r="C39" s="33" t="s">
        <v>85</v>
      </c>
      <c r="D39" s="33" t="s">
        <v>498</v>
      </c>
    </row>
    <row r="40" spans="1:4">
      <c r="A40" s="30" t="s">
        <v>938</v>
      </c>
      <c r="B40" s="4" t="s">
        <v>96</v>
      </c>
      <c r="C40" s="4" t="s">
        <v>97</v>
      </c>
      <c r="D40" s="4" t="s">
        <v>71</v>
      </c>
    </row>
    <row r="41" spans="1:4">
      <c r="A41" s="30" t="s">
        <v>942</v>
      </c>
      <c r="B41" s="4" t="s">
        <v>96</v>
      </c>
      <c r="C41" s="4" t="s">
        <v>97</v>
      </c>
      <c r="D41" s="4" t="s">
        <v>281</v>
      </c>
    </row>
  </sheetData>
  <mergeCells count="14">
    <mergeCell ref="A8:I8"/>
    <mergeCell ref="A11:I11"/>
    <mergeCell ref="A14:I14"/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28"/>
  <sheetViews>
    <sheetView workbookViewId="0">
      <selection activeCell="L121" sqref="L121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7" style="4" bestFit="1" customWidth="1"/>
    <col min="6" max="9" width="5.5" style="3" customWidth="1"/>
    <col min="10" max="10" width="12.5" style="19" customWidth="1"/>
    <col min="11" max="11" width="8.5" style="2" bestFit="1" customWidth="1"/>
    <col min="12" max="12" width="32.5" style="4" bestFit="1" customWidth="1"/>
    <col min="13" max="16384" width="9.1640625" style="3"/>
  </cols>
  <sheetData>
    <row r="1" spans="1:12" s="2" customFormat="1" ht="29" customHeight="1">
      <c r="A1" s="40" t="s">
        <v>1171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9</v>
      </c>
      <c r="G3" s="34"/>
      <c r="H3" s="34"/>
      <c r="I3" s="34"/>
      <c r="J3" s="34" t="s">
        <v>503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35"/>
      <c r="K4" s="35"/>
      <c r="L4" s="37"/>
    </row>
    <row r="5" spans="1:12" ht="16">
      <c r="A5" s="38" t="s">
        <v>233</v>
      </c>
      <c r="B5" s="39"/>
      <c r="C5" s="39"/>
      <c r="D5" s="39"/>
      <c r="E5" s="39"/>
      <c r="F5" s="39"/>
      <c r="G5" s="39"/>
      <c r="H5" s="39"/>
      <c r="I5" s="39"/>
    </row>
    <row r="6" spans="1:12">
      <c r="A6" s="9" t="s">
        <v>552</v>
      </c>
      <c r="B6" s="9" t="s">
        <v>553</v>
      </c>
      <c r="C6" s="9" t="s">
        <v>554</v>
      </c>
      <c r="D6" s="9" t="s">
        <v>1179</v>
      </c>
      <c r="E6" s="9" t="s">
        <v>29</v>
      </c>
      <c r="F6" s="10" t="s">
        <v>108</v>
      </c>
      <c r="G6" s="10" t="s">
        <v>109</v>
      </c>
      <c r="H6" s="11" t="s">
        <v>110</v>
      </c>
      <c r="I6" s="11"/>
      <c r="J6" s="22" t="str">
        <f>"40,0"</f>
        <v>40,0</v>
      </c>
      <c r="K6" s="23" t="str">
        <f>"53,3040"</f>
        <v>53,3040</v>
      </c>
      <c r="L6" s="9" t="s">
        <v>555</v>
      </c>
    </row>
    <row r="7" spans="1:12">
      <c r="A7" s="15" t="s">
        <v>557</v>
      </c>
      <c r="B7" s="15" t="s">
        <v>558</v>
      </c>
      <c r="C7" s="15" t="s">
        <v>559</v>
      </c>
      <c r="D7" s="15" t="s">
        <v>1178</v>
      </c>
      <c r="E7" s="15" t="s">
        <v>29</v>
      </c>
      <c r="F7" s="17" t="s">
        <v>105</v>
      </c>
      <c r="G7" s="16" t="s">
        <v>105</v>
      </c>
      <c r="H7" s="17" t="s">
        <v>158</v>
      </c>
      <c r="I7" s="17"/>
      <c r="J7" s="26" t="str">
        <f>"55,0"</f>
        <v>55,0</v>
      </c>
      <c r="K7" s="27" t="str">
        <f>"73,6285"</f>
        <v>73,6285</v>
      </c>
      <c r="L7" s="15" t="s">
        <v>560</v>
      </c>
    </row>
    <row r="9" spans="1:12" ht="16">
      <c r="A9" s="49" t="s">
        <v>561</v>
      </c>
      <c r="B9" s="49"/>
      <c r="C9" s="49"/>
      <c r="D9" s="49"/>
      <c r="E9" s="49"/>
      <c r="F9" s="49"/>
      <c r="G9" s="49"/>
      <c r="H9" s="49"/>
      <c r="I9" s="49"/>
    </row>
    <row r="10" spans="1:12">
      <c r="A10" s="9" t="s">
        <v>563</v>
      </c>
      <c r="B10" s="9" t="s">
        <v>564</v>
      </c>
      <c r="C10" s="9" t="s">
        <v>565</v>
      </c>
      <c r="D10" s="9" t="s">
        <v>1178</v>
      </c>
      <c r="E10" s="9" t="s">
        <v>483</v>
      </c>
      <c r="F10" s="10" t="s">
        <v>105</v>
      </c>
      <c r="G10" s="10" t="s">
        <v>257</v>
      </c>
      <c r="H10" s="11" t="s">
        <v>158</v>
      </c>
      <c r="I10" s="11"/>
      <c r="J10" s="22" t="str">
        <f>"57,5"</f>
        <v>57,5</v>
      </c>
      <c r="K10" s="23" t="str">
        <f>"72,5420"</f>
        <v>72,5420</v>
      </c>
      <c r="L10" s="9" t="s">
        <v>1190</v>
      </c>
    </row>
    <row r="11" spans="1:12">
      <c r="A11" s="12" t="s">
        <v>567</v>
      </c>
      <c r="B11" s="12" t="s">
        <v>568</v>
      </c>
      <c r="C11" s="12" t="s">
        <v>565</v>
      </c>
      <c r="D11" s="12" t="s">
        <v>1178</v>
      </c>
      <c r="E11" s="12" t="s">
        <v>29</v>
      </c>
      <c r="F11" s="14" t="s">
        <v>268</v>
      </c>
      <c r="G11" s="14" t="s">
        <v>105</v>
      </c>
      <c r="H11" s="13" t="s">
        <v>257</v>
      </c>
      <c r="I11" s="13"/>
      <c r="J11" s="24" t="str">
        <f>"55,0"</f>
        <v>55,0</v>
      </c>
      <c r="K11" s="25" t="str">
        <f>"69,3880"</f>
        <v>69,3880</v>
      </c>
      <c r="L11" s="12" t="s">
        <v>24</v>
      </c>
    </row>
    <row r="12" spans="1:12">
      <c r="A12" s="12" t="s">
        <v>570</v>
      </c>
      <c r="B12" s="12" t="s">
        <v>571</v>
      </c>
      <c r="C12" s="12" t="s">
        <v>572</v>
      </c>
      <c r="D12" s="12" t="s">
        <v>1178</v>
      </c>
      <c r="E12" s="12" t="s">
        <v>29</v>
      </c>
      <c r="F12" s="13" t="s">
        <v>268</v>
      </c>
      <c r="G12" s="14" t="s">
        <v>268</v>
      </c>
      <c r="H12" s="13" t="s">
        <v>257</v>
      </c>
      <c r="I12" s="13"/>
      <c r="J12" s="24" t="str">
        <f>"52,5"</f>
        <v>52,5</v>
      </c>
      <c r="K12" s="25" t="str">
        <f>"65,8402"</f>
        <v>65,8402</v>
      </c>
      <c r="L12" s="12"/>
    </row>
    <row r="13" spans="1:12">
      <c r="A13" s="12" t="s">
        <v>575</v>
      </c>
      <c r="B13" s="12" t="s">
        <v>576</v>
      </c>
      <c r="C13" s="12" t="s">
        <v>577</v>
      </c>
      <c r="D13" s="12" t="s">
        <v>1178</v>
      </c>
      <c r="E13" s="12" t="s">
        <v>29</v>
      </c>
      <c r="F13" s="14" t="s">
        <v>240</v>
      </c>
      <c r="G13" s="13" t="s">
        <v>268</v>
      </c>
      <c r="H13" s="13" t="s">
        <v>268</v>
      </c>
      <c r="I13" s="13"/>
      <c r="J13" s="24" t="str">
        <f>"47,5"</f>
        <v>47,5</v>
      </c>
      <c r="K13" s="25" t="str">
        <f>"61,5790"</f>
        <v>61,5790</v>
      </c>
      <c r="L13" s="12" t="s">
        <v>578</v>
      </c>
    </row>
    <row r="14" spans="1:12">
      <c r="A14" s="15" t="s">
        <v>580</v>
      </c>
      <c r="B14" s="15" t="s">
        <v>581</v>
      </c>
      <c r="C14" s="15" t="s">
        <v>582</v>
      </c>
      <c r="D14" s="15" t="s">
        <v>1177</v>
      </c>
      <c r="E14" s="15" t="s">
        <v>29</v>
      </c>
      <c r="F14" s="16" t="s">
        <v>108</v>
      </c>
      <c r="G14" s="17" t="s">
        <v>583</v>
      </c>
      <c r="H14" s="16" t="s">
        <v>583</v>
      </c>
      <c r="I14" s="17"/>
      <c r="J14" s="26" t="str">
        <f>"42,5"</f>
        <v>42,5</v>
      </c>
      <c r="K14" s="27" t="str">
        <f>"63,3881"</f>
        <v>63,3881</v>
      </c>
      <c r="L14" s="15" t="s">
        <v>555</v>
      </c>
    </row>
    <row r="16" spans="1:12" ht="16">
      <c r="A16" s="49" t="s">
        <v>243</v>
      </c>
      <c r="B16" s="49"/>
      <c r="C16" s="49"/>
      <c r="D16" s="49"/>
      <c r="E16" s="49"/>
      <c r="F16" s="49"/>
      <c r="G16" s="49"/>
      <c r="H16" s="49"/>
      <c r="I16" s="49"/>
    </row>
    <row r="17" spans="1:12">
      <c r="A17" s="9" t="s">
        <v>585</v>
      </c>
      <c r="B17" s="9" t="s">
        <v>586</v>
      </c>
      <c r="C17" s="9" t="s">
        <v>587</v>
      </c>
      <c r="D17" s="9" t="s">
        <v>1178</v>
      </c>
      <c r="E17" s="9" t="s">
        <v>29</v>
      </c>
      <c r="F17" s="10" t="s">
        <v>108</v>
      </c>
      <c r="G17" s="11" t="s">
        <v>109</v>
      </c>
      <c r="H17" s="10" t="s">
        <v>109</v>
      </c>
      <c r="I17" s="11"/>
      <c r="J17" s="22" t="str">
        <f>"40,0"</f>
        <v>40,0</v>
      </c>
      <c r="K17" s="23" t="str">
        <f>"47,6000"</f>
        <v>47,6000</v>
      </c>
      <c r="L17" s="9" t="s">
        <v>1201</v>
      </c>
    </row>
    <row r="18" spans="1:12">
      <c r="A18" s="15" t="s">
        <v>589</v>
      </c>
      <c r="B18" s="15" t="s">
        <v>590</v>
      </c>
      <c r="C18" s="15" t="s">
        <v>591</v>
      </c>
      <c r="D18" s="15" t="s">
        <v>1178</v>
      </c>
      <c r="E18" s="15" t="s">
        <v>29</v>
      </c>
      <c r="F18" s="16" t="s">
        <v>592</v>
      </c>
      <c r="G18" s="17" t="s">
        <v>108</v>
      </c>
      <c r="H18" s="17" t="s">
        <v>108</v>
      </c>
      <c r="I18" s="17"/>
      <c r="J18" s="26" t="str">
        <f>"35,0"</f>
        <v>35,0</v>
      </c>
      <c r="K18" s="27" t="str">
        <f>"42,1890"</f>
        <v>42,1890</v>
      </c>
      <c r="L18" s="15" t="s">
        <v>593</v>
      </c>
    </row>
    <row r="20" spans="1:12" ht="16">
      <c r="A20" s="49" t="s">
        <v>251</v>
      </c>
      <c r="B20" s="49"/>
      <c r="C20" s="49"/>
      <c r="D20" s="49"/>
      <c r="E20" s="49"/>
      <c r="F20" s="49"/>
      <c r="G20" s="49"/>
      <c r="H20" s="49"/>
      <c r="I20" s="49"/>
    </row>
    <row r="21" spans="1:12">
      <c r="A21" s="9" t="s">
        <v>595</v>
      </c>
      <c r="B21" s="9" t="s">
        <v>596</v>
      </c>
      <c r="C21" s="9" t="s">
        <v>597</v>
      </c>
      <c r="D21" s="9" t="s">
        <v>1178</v>
      </c>
      <c r="E21" s="9" t="s">
        <v>29</v>
      </c>
      <c r="F21" s="10" t="s">
        <v>240</v>
      </c>
      <c r="G21" s="10" t="s">
        <v>263</v>
      </c>
      <c r="H21" s="11" t="s">
        <v>257</v>
      </c>
      <c r="I21" s="11"/>
      <c r="J21" s="22" t="str">
        <f>"50,0"</f>
        <v>50,0</v>
      </c>
      <c r="K21" s="23" t="str">
        <f>"56,1800"</f>
        <v>56,1800</v>
      </c>
      <c r="L21" s="9" t="s">
        <v>1201</v>
      </c>
    </row>
    <row r="22" spans="1:12">
      <c r="A22" s="12" t="s">
        <v>599</v>
      </c>
      <c r="B22" s="12" t="s">
        <v>600</v>
      </c>
      <c r="C22" s="12" t="s">
        <v>601</v>
      </c>
      <c r="D22" s="12" t="s">
        <v>1186</v>
      </c>
      <c r="E22" s="12" t="s">
        <v>602</v>
      </c>
      <c r="F22" s="14" t="s">
        <v>257</v>
      </c>
      <c r="G22" s="14" t="s">
        <v>158</v>
      </c>
      <c r="H22" s="14" t="s">
        <v>166</v>
      </c>
      <c r="I22" s="13"/>
      <c r="J22" s="24" t="str">
        <f>"62,5"</f>
        <v>62,5</v>
      </c>
      <c r="K22" s="25" t="str">
        <f>"78,4312"</f>
        <v>78,4312</v>
      </c>
      <c r="L22" s="12" t="s">
        <v>603</v>
      </c>
    </row>
    <row r="23" spans="1:12">
      <c r="A23" s="15" t="s">
        <v>605</v>
      </c>
      <c r="B23" s="15" t="s">
        <v>606</v>
      </c>
      <c r="C23" s="15" t="s">
        <v>597</v>
      </c>
      <c r="D23" s="15" t="s">
        <v>1186</v>
      </c>
      <c r="E23" s="15" t="s">
        <v>29</v>
      </c>
      <c r="F23" s="16" t="s">
        <v>607</v>
      </c>
      <c r="G23" s="16" t="s">
        <v>592</v>
      </c>
      <c r="H23" s="16" t="s">
        <v>108</v>
      </c>
      <c r="I23" s="17"/>
      <c r="J23" s="26" t="str">
        <f>"37,5"</f>
        <v>37,5</v>
      </c>
      <c r="K23" s="27" t="str">
        <f>"46,8963"</f>
        <v>46,8963</v>
      </c>
      <c r="L23" s="15" t="s">
        <v>135</v>
      </c>
    </row>
    <row r="25" spans="1:12" ht="16">
      <c r="A25" s="49" t="s">
        <v>11</v>
      </c>
      <c r="B25" s="49"/>
      <c r="C25" s="49"/>
      <c r="D25" s="49"/>
      <c r="E25" s="49"/>
      <c r="F25" s="49"/>
      <c r="G25" s="49"/>
      <c r="H25" s="49"/>
      <c r="I25" s="49"/>
    </row>
    <row r="26" spans="1:12">
      <c r="A26" s="9" t="s">
        <v>609</v>
      </c>
      <c r="B26" s="9" t="s">
        <v>610</v>
      </c>
      <c r="C26" s="9" t="s">
        <v>611</v>
      </c>
      <c r="D26" s="9" t="s">
        <v>1182</v>
      </c>
      <c r="E26" s="9" t="s">
        <v>29</v>
      </c>
      <c r="F26" s="10" t="s">
        <v>612</v>
      </c>
      <c r="G26" s="10" t="s">
        <v>613</v>
      </c>
      <c r="H26" s="11" t="s">
        <v>107</v>
      </c>
      <c r="I26" s="11"/>
      <c r="J26" s="22" t="str">
        <f>"72,5"</f>
        <v>72,5</v>
      </c>
      <c r="K26" s="23" t="str">
        <f>"75,7190"</f>
        <v>75,7190</v>
      </c>
      <c r="L26" s="9" t="s">
        <v>614</v>
      </c>
    </row>
    <row r="27" spans="1:12">
      <c r="A27" s="15" t="s">
        <v>616</v>
      </c>
      <c r="B27" s="15" t="s">
        <v>617</v>
      </c>
      <c r="C27" s="15" t="s">
        <v>618</v>
      </c>
      <c r="D27" s="15" t="s">
        <v>1186</v>
      </c>
      <c r="E27" s="15" t="s">
        <v>29</v>
      </c>
      <c r="F27" s="16" t="s">
        <v>107</v>
      </c>
      <c r="G27" s="16" t="s">
        <v>238</v>
      </c>
      <c r="H27" s="17" t="s">
        <v>21</v>
      </c>
      <c r="I27" s="17"/>
      <c r="J27" s="26" t="str">
        <f>"77,5"</f>
        <v>77,5</v>
      </c>
      <c r="K27" s="27" t="str">
        <f>"84,2644"</f>
        <v>84,2644</v>
      </c>
      <c r="L27" s="15" t="s">
        <v>573</v>
      </c>
    </row>
    <row r="29" spans="1:12" ht="16">
      <c r="A29" s="49" t="s">
        <v>25</v>
      </c>
      <c r="B29" s="49"/>
      <c r="C29" s="49"/>
      <c r="D29" s="49"/>
      <c r="E29" s="49"/>
      <c r="F29" s="49"/>
      <c r="G29" s="49"/>
      <c r="H29" s="49"/>
      <c r="I29" s="49"/>
    </row>
    <row r="30" spans="1:12">
      <c r="A30" s="9" t="s">
        <v>620</v>
      </c>
      <c r="B30" s="9" t="s">
        <v>621</v>
      </c>
      <c r="C30" s="9" t="s">
        <v>622</v>
      </c>
      <c r="D30" s="9" t="s">
        <v>1178</v>
      </c>
      <c r="E30" s="9" t="s">
        <v>29</v>
      </c>
      <c r="F30" s="10" t="s">
        <v>612</v>
      </c>
      <c r="G30" s="10" t="s">
        <v>613</v>
      </c>
      <c r="H30" s="10" t="s">
        <v>107</v>
      </c>
      <c r="I30" s="11"/>
      <c r="J30" s="22" t="str">
        <f>"75,0"</f>
        <v>75,0</v>
      </c>
      <c r="K30" s="23" t="str">
        <f>"73,2000"</f>
        <v>73,2000</v>
      </c>
      <c r="L30" s="9" t="s">
        <v>1202</v>
      </c>
    </row>
    <row r="31" spans="1:12">
      <c r="A31" s="15" t="s">
        <v>624</v>
      </c>
      <c r="B31" s="15" t="s">
        <v>625</v>
      </c>
      <c r="C31" s="15" t="s">
        <v>626</v>
      </c>
      <c r="D31" s="15" t="s">
        <v>1186</v>
      </c>
      <c r="E31" s="15" t="s">
        <v>29</v>
      </c>
      <c r="F31" s="16" t="s">
        <v>240</v>
      </c>
      <c r="G31" s="17" t="s">
        <v>263</v>
      </c>
      <c r="H31" s="16" t="s">
        <v>263</v>
      </c>
      <c r="I31" s="17"/>
      <c r="J31" s="26" t="str">
        <f>"50,0"</f>
        <v>50,0</v>
      </c>
      <c r="K31" s="27" t="str">
        <f>"52,6123"</f>
        <v>52,6123</v>
      </c>
      <c r="L31" s="15" t="s">
        <v>627</v>
      </c>
    </row>
    <row r="33" spans="1:12" ht="16">
      <c r="A33" s="49" t="s">
        <v>184</v>
      </c>
      <c r="B33" s="49"/>
      <c r="C33" s="49"/>
      <c r="D33" s="49"/>
      <c r="E33" s="49"/>
      <c r="F33" s="49"/>
      <c r="G33" s="49"/>
      <c r="H33" s="49"/>
      <c r="I33" s="49"/>
    </row>
    <row r="34" spans="1:12">
      <c r="A34" s="6" t="s">
        <v>629</v>
      </c>
      <c r="B34" s="6" t="s">
        <v>630</v>
      </c>
      <c r="C34" s="6" t="s">
        <v>333</v>
      </c>
      <c r="D34" s="6" t="s">
        <v>1177</v>
      </c>
      <c r="E34" s="6" t="s">
        <v>29</v>
      </c>
      <c r="F34" s="7" t="s">
        <v>592</v>
      </c>
      <c r="G34" s="7" t="s">
        <v>109</v>
      </c>
      <c r="H34" s="7" t="s">
        <v>583</v>
      </c>
      <c r="I34" s="8"/>
      <c r="J34" s="20" t="str">
        <f>"42,5"</f>
        <v>42,5</v>
      </c>
      <c r="K34" s="21" t="str">
        <f>"44,0099"</f>
        <v>44,0099</v>
      </c>
      <c r="L34" s="6" t="s">
        <v>631</v>
      </c>
    </row>
    <row r="36" spans="1:12" ht="16">
      <c r="A36" s="49" t="s">
        <v>243</v>
      </c>
      <c r="B36" s="49"/>
      <c r="C36" s="49"/>
      <c r="D36" s="49"/>
      <c r="E36" s="49"/>
      <c r="F36" s="49"/>
      <c r="G36" s="49"/>
      <c r="H36" s="49"/>
      <c r="I36" s="49"/>
    </row>
    <row r="37" spans="1:12">
      <c r="A37" s="9" t="s">
        <v>633</v>
      </c>
      <c r="B37" s="9" t="s">
        <v>634</v>
      </c>
      <c r="C37" s="9" t="s">
        <v>635</v>
      </c>
      <c r="D37" s="9" t="s">
        <v>1182</v>
      </c>
      <c r="E37" s="9" t="s">
        <v>29</v>
      </c>
      <c r="F37" s="10" t="s">
        <v>607</v>
      </c>
      <c r="G37" s="10" t="s">
        <v>592</v>
      </c>
      <c r="H37" s="11" t="s">
        <v>108</v>
      </c>
      <c r="I37" s="11"/>
      <c r="J37" s="22" t="str">
        <f>"35,0"</f>
        <v>35,0</v>
      </c>
      <c r="K37" s="23" t="str">
        <f>"36,0465"</f>
        <v>36,0465</v>
      </c>
      <c r="L37" s="9" t="s">
        <v>555</v>
      </c>
    </row>
    <row r="38" spans="1:12">
      <c r="A38" s="12" t="s">
        <v>637</v>
      </c>
      <c r="B38" s="12" t="s">
        <v>638</v>
      </c>
      <c r="C38" s="12" t="s">
        <v>639</v>
      </c>
      <c r="D38" s="12" t="s">
        <v>1182</v>
      </c>
      <c r="E38" s="12" t="s">
        <v>398</v>
      </c>
      <c r="F38" s="13" t="s">
        <v>640</v>
      </c>
      <c r="G38" s="13" t="s">
        <v>640</v>
      </c>
      <c r="H38" s="14" t="s">
        <v>640</v>
      </c>
      <c r="I38" s="13"/>
      <c r="J38" s="24" t="str">
        <f>"30,0"</f>
        <v>30,0</v>
      </c>
      <c r="K38" s="25" t="str">
        <f>"28,0560"</f>
        <v>28,0560</v>
      </c>
      <c r="L38" s="12" t="s">
        <v>641</v>
      </c>
    </row>
    <row r="39" spans="1:12">
      <c r="A39" s="12" t="s">
        <v>643</v>
      </c>
      <c r="B39" s="12" t="s">
        <v>644</v>
      </c>
      <c r="C39" s="12" t="s">
        <v>645</v>
      </c>
      <c r="D39" s="12" t="s">
        <v>1178</v>
      </c>
      <c r="E39" s="12" t="s">
        <v>29</v>
      </c>
      <c r="F39" s="14" t="s">
        <v>507</v>
      </c>
      <c r="G39" s="14" t="s">
        <v>262</v>
      </c>
      <c r="H39" s="13" t="s">
        <v>241</v>
      </c>
      <c r="I39" s="13"/>
      <c r="J39" s="24" t="str">
        <f>"85,0"</f>
        <v>85,0</v>
      </c>
      <c r="K39" s="25" t="str">
        <f>"80,5290"</f>
        <v>80,5290</v>
      </c>
      <c r="L39" s="12" t="s">
        <v>646</v>
      </c>
    </row>
    <row r="40" spans="1:12">
      <c r="A40" s="15" t="s">
        <v>648</v>
      </c>
      <c r="B40" s="15" t="s">
        <v>649</v>
      </c>
      <c r="C40" s="15" t="s">
        <v>650</v>
      </c>
      <c r="D40" s="15" t="s">
        <v>1185</v>
      </c>
      <c r="E40" s="15" t="s">
        <v>197</v>
      </c>
      <c r="F40" s="17" t="s">
        <v>158</v>
      </c>
      <c r="G40" s="16" t="s">
        <v>158</v>
      </c>
      <c r="H40" s="16" t="s">
        <v>166</v>
      </c>
      <c r="I40" s="17"/>
      <c r="J40" s="26" t="str">
        <f>"62,5"</f>
        <v>62,5</v>
      </c>
      <c r="K40" s="27" t="str">
        <f>"111,4838"</f>
        <v>111,4838</v>
      </c>
      <c r="L40" s="15" t="s">
        <v>135</v>
      </c>
    </row>
    <row r="42" spans="1:12" ht="16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12">
      <c r="A43" s="9" t="s">
        <v>652</v>
      </c>
      <c r="B43" s="9" t="s">
        <v>653</v>
      </c>
      <c r="C43" s="9" t="s">
        <v>654</v>
      </c>
      <c r="D43" s="9" t="s">
        <v>1182</v>
      </c>
      <c r="E43" s="9" t="s">
        <v>655</v>
      </c>
      <c r="F43" s="10" t="s">
        <v>158</v>
      </c>
      <c r="G43" s="10" t="s">
        <v>106</v>
      </c>
      <c r="H43" s="10" t="s">
        <v>159</v>
      </c>
      <c r="I43" s="11"/>
      <c r="J43" s="22" t="str">
        <f>"70,0"</f>
        <v>70,0</v>
      </c>
      <c r="K43" s="23" t="str">
        <f>"55,5240"</f>
        <v>55,5240</v>
      </c>
      <c r="L43" s="9" t="s">
        <v>656</v>
      </c>
    </row>
    <row r="44" spans="1:12">
      <c r="A44" s="12" t="s">
        <v>658</v>
      </c>
      <c r="B44" s="12" t="s">
        <v>659</v>
      </c>
      <c r="C44" s="12" t="s">
        <v>660</v>
      </c>
      <c r="D44" s="12" t="s">
        <v>1179</v>
      </c>
      <c r="E44" s="12" t="s">
        <v>29</v>
      </c>
      <c r="F44" s="14" t="s">
        <v>23</v>
      </c>
      <c r="G44" s="13" t="s">
        <v>32</v>
      </c>
      <c r="H44" s="13" t="s">
        <v>32</v>
      </c>
      <c r="I44" s="13"/>
      <c r="J44" s="24" t="str">
        <f>"100,0"</f>
        <v>100,0</v>
      </c>
      <c r="K44" s="25" t="str">
        <f>"78,5200"</f>
        <v>78,5200</v>
      </c>
      <c r="L44" s="12" t="s">
        <v>661</v>
      </c>
    </row>
    <row r="45" spans="1:12">
      <c r="A45" s="12" t="s">
        <v>663</v>
      </c>
      <c r="B45" s="12" t="s">
        <v>664</v>
      </c>
      <c r="C45" s="12" t="s">
        <v>341</v>
      </c>
      <c r="D45" s="12" t="s">
        <v>1178</v>
      </c>
      <c r="E45" s="12" t="s">
        <v>342</v>
      </c>
      <c r="F45" s="13" t="s">
        <v>32</v>
      </c>
      <c r="G45" s="13" t="s">
        <v>32</v>
      </c>
      <c r="H45" s="14" t="s">
        <v>32</v>
      </c>
      <c r="I45" s="13"/>
      <c r="J45" s="24" t="str">
        <f>"110,0"</f>
        <v>110,0</v>
      </c>
      <c r="K45" s="25" t="str">
        <f>"92,1580"</f>
        <v>92,1580</v>
      </c>
      <c r="L45" s="12" t="s">
        <v>343</v>
      </c>
    </row>
    <row r="46" spans="1:12">
      <c r="A46" s="15" t="s">
        <v>665</v>
      </c>
      <c r="B46" s="15" t="s">
        <v>666</v>
      </c>
      <c r="C46" s="15" t="s">
        <v>667</v>
      </c>
      <c r="D46" s="15" t="s">
        <v>1178</v>
      </c>
      <c r="E46" s="15" t="s">
        <v>668</v>
      </c>
      <c r="F46" s="17" t="s">
        <v>669</v>
      </c>
      <c r="G46" s="17" t="s">
        <v>669</v>
      </c>
      <c r="H46" s="17" t="s">
        <v>669</v>
      </c>
      <c r="I46" s="17"/>
      <c r="J46" s="26" t="str">
        <f>"0.00"</f>
        <v>0.00</v>
      </c>
      <c r="K46" s="27" t="str">
        <f>"0,0000"</f>
        <v>0,0000</v>
      </c>
      <c r="L46" s="15"/>
    </row>
    <row r="48" spans="1:12" ht="16">
      <c r="A48" s="49" t="s">
        <v>25</v>
      </c>
      <c r="B48" s="49"/>
      <c r="C48" s="49"/>
      <c r="D48" s="49"/>
      <c r="E48" s="49"/>
      <c r="F48" s="49"/>
      <c r="G48" s="49"/>
      <c r="H48" s="49"/>
      <c r="I48" s="49"/>
    </row>
    <row r="49" spans="1:12">
      <c r="A49" s="9" t="s">
        <v>671</v>
      </c>
      <c r="B49" s="9" t="s">
        <v>672</v>
      </c>
      <c r="C49" s="9" t="s">
        <v>673</v>
      </c>
      <c r="D49" s="9" t="s">
        <v>1179</v>
      </c>
      <c r="E49" s="9" t="s">
        <v>368</v>
      </c>
      <c r="F49" s="10" t="s">
        <v>190</v>
      </c>
      <c r="G49" s="10" t="s">
        <v>191</v>
      </c>
      <c r="H49" s="10" t="s">
        <v>117</v>
      </c>
      <c r="I49" s="11"/>
      <c r="J49" s="22" t="str">
        <f>"137,5"</f>
        <v>137,5</v>
      </c>
      <c r="K49" s="23" t="str">
        <f>"99,2888"</f>
        <v>99,2888</v>
      </c>
      <c r="L49" s="9" t="s">
        <v>674</v>
      </c>
    </row>
    <row r="50" spans="1:12">
      <c r="A50" s="12" t="s">
        <v>676</v>
      </c>
      <c r="B50" s="12" t="s">
        <v>677</v>
      </c>
      <c r="C50" s="12" t="s">
        <v>678</v>
      </c>
      <c r="D50" s="12" t="s">
        <v>1179</v>
      </c>
      <c r="E50" s="12" t="s">
        <v>29</v>
      </c>
      <c r="F50" s="14" t="s">
        <v>34</v>
      </c>
      <c r="G50" s="14" t="s">
        <v>190</v>
      </c>
      <c r="H50" s="14" t="s">
        <v>191</v>
      </c>
      <c r="I50" s="13" t="s">
        <v>18</v>
      </c>
      <c r="J50" s="24" t="str">
        <f>"132,5"</f>
        <v>132,5</v>
      </c>
      <c r="K50" s="25" t="str">
        <f>"94,7640"</f>
        <v>94,7640</v>
      </c>
      <c r="L50" s="12" t="s">
        <v>679</v>
      </c>
    </row>
    <row r="51" spans="1:12">
      <c r="A51" s="12" t="s">
        <v>681</v>
      </c>
      <c r="B51" s="12" t="s">
        <v>682</v>
      </c>
      <c r="C51" s="12" t="s">
        <v>683</v>
      </c>
      <c r="D51" s="12" t="s">
        <v>1178</v>
      </c>
      <c r="E51" s="12" t="s">
        <v>684</v>
      </c>
      <c r="F51" s="14" t="s">
        <v>173</v>
      </c>
      <c r="G51" s="13" t="s">
        <v>117</v>
      </c>
      <c r="H51" s="14" t="s">
        <v>117</v>
      </c>
      <c r="I51" s="13"/>
      <c r="J51" s="24" t="str">
        <f>"137,5"</f>
        <v>137,5</v>
      </c>
      <c r="K51" s="25" t="str">
        <f>"98,7112"</f>
        <v>98,7112</v>
      </c>
      <c r="L51" s="12" t="s">
        <v>685</v>
      </c>
    </row>
    <row r="52" spans="1:12">
      <c r="A52" s="12" t="s">
        <v>687</v>
      </c>
      <c r="B52" s="12" t="s">
        <v>688</v>
      </c>
      <c r="C52" s="12" t="s">
        <v>689</v>
      </c>
      <c r="D52" s="12" t="s">
        <v>1178</v>
      </c>
      <c r="E52" s="12" t="s">
        <v>690</v>
      </c>
      <c r="F52" s="14" t="s">
        <v>22</v>
      </c>
      <c r="G52" s="14" t="s">
        <v>248</v>
      </c>
      <c r="H52" s="13" t="s">
        <v>23</v>
      </c>
      <c r="I52" s="13"/>
      <c r="J52" s="24" t="str">
        <f>"95,0"</f>
        <v>95,0</v>
      </c>
      <c r="K52" s="25" t="str">
        <f>"68,4665"</f>
        <v>68,4665</v>
      </c>
      <c r="L52" s="12" t="s">
        <v>1203</v>
      </c>
    </row>
    <row r="53" spans="1:12">
      <c r="A53" s="12" t="s">
        <v>692</v>
      </c>
      <c r="B53" s="12" t="s">
        <v>693</v>
      </c>
      <c r="C53" s="12" t="s">
        <v>694</v>
      </c>
      <c r="D53" s="12" t="s">
        <v>1180</v>
      </c>
      <c r="E53" s="12" t="s">
        <v>29</v>
      </c>
      <c r="F53" s="14" t="s">
        <v>18</v>
      </c>
      <c r="G53" s="14" t="s">
        <v>19</v>
      </c>
      <c r="H53" s="14" t="s">
        <v>182</v>
      </c>
      <c r="I53" s="13"/>
      <c r="J53" s="24" t="str">
        <f>"155,0"</f>
        <v>155,0</v>
      </c>
      <c r="K53" s="25" t="str">
        <f>"112,4968"</f>
        <v>112,4968</v>
      </c>
      <c r="L53" s="12"/>
    </row>
    <row r="54" spans="1:12">
      <c r="A54" s="12" t="s">
        <v>695</v>
      </c>
      <c r="B54" s="12" t="s">
        <v>203</v>
      </c>
      <c r="C54" s="12" t="s">
        <v>626</v>
      </c>
      <c r="D54" s="12" t="s">
        <v>1180</v>
      </c>
      <c r="E54" s="12" t="s">
        <v>29</v>
      </c>
      <c r="F54" s="13" t="s">
        <v>21</v>
      </c>
      <c r="G54" s="14" t="s">
        <v>262</v>
      </c>
      <c r="H54" s="14" t="s">
        <v>241</v>
      </c>
      <c r="I54" s="13"/>
      <c r="J54" s="24" t="str">
        <f>"87,5"</f>
        <v>87,5</v>
      </c>
      <c r="K54" s="25" t="str">
        <f>"65,9183"</f>
        <v>65,9183</v>
      </c>
      <c r="L54" s="12" t="s">
        <v>1204</v>
      </c>
    </row>
    <row r="55" spans="1:12">
      <c r="A55" s="12" t="s">
        <v>697</v>
      </c>
      <c r="B55" s="12" t="s">
        <v>698</v>
      </c>
      <c r="C55" s="12" t="s">
        <v>699</v>
      </c>
      <c r="D55" s="12" t="s">
        <v>1177</v>
      </c>
      <c r="E55" s="12" t="s">
        <v>700</v>
      </c>
      <c r="F55" s="14" t="s">
        <v>33</v>
      </c>
      <c r="G55" s="13" t="s">
        <v>34</v>
      </c>
      <c r="H55" s="14" t="s">
        <v>34</v>
      </c>
      <c r="I55" s="13"/>
      <c r="J55" s="24" t="str">
        <f>"120,0"</f>
        <v>120,0</v>
      </c>
      <c r="K55" s="25" t="str">
        <f>"102,5831"</f>
        <v>102,5831</v>
      </c>
      <c r="L55" s="12"/>
    </row>
    <row r="56" spans="1:12">
      <c r="A56" s="15" t="s">
        <v>702</v>
      </c>
      <c r="B56" s="15" t="s">
        <v>703</v>
      </c>
      <c r="C56" s="15" t="s">
        <v>704</v>
      </c>
      <c r="D56" s="15" t="s">
        <v>1193</v>
      </c>
      <c r="E56" s="15" t="s">
        <v>29</v>
      </c>
      <c r="F56" s="16" t="s">
        <v>369</v>
      </c>
      <c r="G56" s="17" t="s">
        <v>18</v>
      </c>
      <c r="H56" s="17" t="s">
        <v>18</v>
      </c>
      <c r="I56" s="17"/>
      <c r="J56" s="26" t="str">
        <f>"135,0"</f>
        <v>135,0</v>
      </c>
      <c r="K56" s="27" t="str">
        <f>"149,4172"</f>
        <v>149,4172</v>
      </c>
      <c r="L56" s="15" t="s">
        <v>705</v>
      </c>
    </row>
    <row r="58" spans="1:12" ht="16">
      <c r="A58" s="49" t="s">
        <v>37</v>
      </c>
      <c r="B58" s="49"/>
      <c r="C58" s="49"/>
      <c r="D58" s="49"/>
      <c r="E58" s="49"/>
      <c r="F58" s="49"/>
      <c r="G58" s="49"/>
      <c r="H58" s="49"/>
      <c r="I58" s="49"/>
    </row>
    <row r="59" spans="1:12">
      <c r="A59" s="9" t="s">
        <v>707</v>
      </c>
      <c r="B59" s="9" t="s">
        <v>708</v>
      </c>
      <c r="C59" s="9" t="s">
        <v>171</v>
      </c>
      <c r="D59" s="9" t="s">
        <v>1182</v>
      </c>
      <c r="E59" s="9" t="s">
        <v>398</v>
      </c>
      <c r="F59" s="10" t="s">
        <v>106</v>
      </c>
      <c r="G59" s="10" t="s">
        <v>107</v>
      </c>
      <c r="H59" s="11" t="s">
        <v>21</v>
      </c>
      <c r="I59" s="11"/>
      <c r="J59" s="22" t="str">
        <f>"75,0"</f>
        <v>75,0</v>
      </c>
      <c r="K59" s="23" t="str">
        <f>"50,9625"</f>
        <v>50,9625</v>
      </c>
      <c r="L59" s="9" t="s">
        <v>1205</v>
      </c>
    </row>
    <row r="60" spans="1:12">
      <c r="A60" s="12" t="s">
        <v>710</v>
      </c>
      <c r="B60" s="12" t="s">
        <v>711</v>
      </c>
      <c r="C60" s="12" t="s">
        <v>712</v>
      </c>
      <c r="D60" s="12" t="s">
        <v>1178</v>
      </c>
      <c r="E60" s="12" t="s">
        <v>29</v>
      </c>
      <c r="F60" s="14" t="s">
        <v>291</v>
      </c>
      <c r="G60" s="14" t="s">
        <v>399</v>
      </c>
      <c r="H60" s="13" t="s">
        <v>31</v>
      </c>
      <c r="I60" s="13"/>
      <c r="J60" s="24" t="str">
        <f>"177,5"</f>
        <v>177,5</v>
      </c>
      <c r="K60" s="25" t="str">
        <f>"119,0847"</f>
        <v>119,0847</v>
      </c>
      <c r="L60" s="12" t="s">
        <v>713</v>
      </c>
    </row>
    <row r="61" spans="1:12">
      <c r="A61" s="12" t="s">
        <v>715</v>
      </c>
      <c r="B61" s="12" t="s">
        <v>716</v>
      </c>
      <c r="C61" s="12" t="s">
        <v>717</v>
      </c>
      <c r="D61" s="12" t="s">
        <v>1178</v>
      </c>
      <c r="E61" s="12" t="s">
        <v>29</v>
      </c>
      <c r="F61" s="14" t="s">
        <v>33</v>
      </c>
      <c r="G61" s="14" t="s">
        <v>190</v>
      </c>
      <c r="H61" s="14" t="s">
        <v>173</v>
      </c>
      <c r="I61" s="13"/>
      <c r="J61" s="24" t="str">
        <f>"130,0"</f>
        <v>130,0</v>
      </c>
      <c r="K61" s="25" t="str">
        <f>"89,8300"</f>
        <v>89,8300</v>
      </c>
      <c r="L61" s="12" t="s">
        <v>1206</v>
      </c>
    </row>
    <row r="62" spans="1:12">
      <c r="A62" s="12" t="s">
        <v>719</v>
      </c>
      <c r="B62" s="12" t="s">
        <v>720</v>
      </c>
      <c r="C62" s="12" t="s">
        <v>41</v>
      </c>
      <c r="D62" s="12" t="s">
        <v>1178</v>
      </c>
      <c r="E62" s="12" t="s">
        <v>29</v>
      </c>
      <c r="F62" s="14" t="s">
        <v>249</v>
      </c>
      <c r="G62" s="14" t="s">
        <v>256</v>
      </c>
      <c r="H62" s="13" t="s">
        <v>34</v>
      </c>
      <c r="I62" s="13"/>
      <c r="J62" s="24" t="str">
        <f>"112,5"</f>
        <v>112,5</v>
      </c>
      <c r="K62" s="25" t="str">
        <f>"76,2638"</f>
        <v>76,2638</v>
      </c>
      <c r="L62" s="12" t="s">
        <v>721</v>
      </c>
    </row>
    <row r="63" spans="1:12">
      <c r="A63" s="12" t="s">
        <v>722</v>
      </c>
      <c r="B63" s="12" t="s">
        <v>278</v>
      </c>
      <c r="C63" s="12" t="s">
        <v>279</v>
      </c>
      <c r="D63" s="12" t="s">
        <v>1178</v>
      </c>
      <c r="E63" s="12" t="s">
        <v>280</v>
      </c>
      <c r="F63" s="13" t="s">
        <v>30</v>
      </c>
      <c r="G63" s="13"/>
      <c r="H63" s="13"/>
      <c r="I63" s="13"/>
      <c r="J63" s="24" t="str">
        <f>"0.00"</f>
        <v>0.00</v>
      </c>
      <c r="K63" s="25" t="str">
        <f>"0,0000"</f>
        <v>0,0000</v>
      </c>
      <c r="L63" s="12"/>
    </row>
    <row r="64" spans="1:12">
      <c r="A64" s="12" t="s">
        <v>723</v>
      </c>
      <c r="B64" s="12" t="s">
        <v>724</v>
      </c>
      <c r="C64" s="12" t="s">
        <v>725</v>
      </c>
      <c r="D64" s="12" t="s">
        <v>1180</v>
      </c>
      <c r="E64" s="12" t="s">
        <v>29</v>
      </c>
      <c r="F64" s="14" t="s">
        <v>23</v>
      </c>
      <c r="G64" s="13" t="s">
        <v>32</v>
      </c>
      <c r="H64" s="13" t="s">
        <v>32</v>
      </c>
      <c r="I64" s="13"/>
      <c r="J64" s="24" t="str">
        <f>"100,0"</f>
        <v>100,0</v>
      </c>
      <c r="K64" s="25" t="str">
        <f>"70,3399"</f>
        <v>70,3399</v>
      </c>
      <c r="L64" s="12" t="s">
        <v>679</v>
      </c>
    </row>
    <row r="65" spans="1:12">
      <c r="A65" s="12" t="s">
        <v>727</v>
      </c>
      <c r="B65" s="12" t="s">
        <v>728</v>
      </c>
      <c r="C65" s="12" t="s">
        <v>729</v>
      </c>
      <c r="D65" s="12" t="s">
        <v>1177</v>
      </c>
      <c r="E65" s="12" t="s">
        <v>730</v>
      </c>
      <c r="F65" s="14" t="s">
        <v>160</v>
      </c>
      <c r="G65" s="13" t="s">
        <v>173</v>
      </c>
      <c r="H65" s="14" t="s">
        <v>173</v>
      </c>
      <c r="I65" s="13"/>
      <c r="J65" s="24" t="str">
        <f>"130,0"</f>
        <v>130,0</v>
      </c>
      <c r="K65" s="25" t="str">
        <f>"103,1526"</f>
        <v>103,1526</v>
      </c>
      <c r="L65" s="12" t="s">
        <v>731</v>
      </c>
    </row>
    <row r="66" spans="1:12">
      <c r="A66" s="12" t="s">
        <v>733</v>
      </c>
      <c r="B66" s="12" t="s">
        <v>734</v>
      </c>
      <c r="C66" s="12" t="s">
        <v>735</v>
      </c>
      <c r="D66" s="12" t="s">
        <v>1183</v>
      </c>
      <c r="E66" s="12" t="s">
        <v>736</v>
      </c>
      <c r="F66" s="13"/>
      <c r="G66" s="14" t="s">
        <v>190</v>
      </c>
      <c r="H66" s="13" t="s">
        <v>669</v>
      </c>
      <c r="I66" s="13"/>
      <c r="J66" s="24" t="str">
        <f>"125,0"</f>
        <v>125,0</v>
      </c>
      <c r="K66" s="25" t="str">
        <f>"115,7529"</f>
        <v>115,7529</v>
      </c>
      <c r="L66" s="12"/>
    </row>
    <row r="67" spans="1:12">
      <c r="A67" s="12" t="s">
        <v>738</v>
      </c>
      <c r="B67" s="12" t="s">
        <v>739</v>
      </c>
      <c r="C67" s="12" t="s">
        <v>740</v>
      </c>
      <c r="D67" s="12" t="s">
        <v>1183</v>
      </c>
      <c r="E67" s="12" t="s">
        <v>53</v>
      </c>
      <c r="F67" s="14" t="s">
        <v>33</v>
      </c>
      <c r="G67" s="14" t="s">
        <v>200</v>
      </c>
      <c r="H67" s="14" t="s">
        <v>34</v>
      </c>
      <c r="I67" s="13"/>
      <c r="J67" s="24" t="str">
        <f>"120,0"</f>
        <v>120,0</v>
      </c>
      <c r="K67" s="25" t="str">
        <f>"104,2905"</f>
        <v>104,2905</v>
      </c>
      <c r="L67" s="12"/>
    </row>
    <row r="68" spans="1:12">
      <c r="A68" s="12" t="s">
        <v>741</v>
      </c>
      <c r="B68" s="12" t="s">
        <v>742</v>
      </c>
      <c r="C68" s="12" t="s">
        <v>52</v>
      </c>
      <c r="D68" s="12" t="s">
        <v>1192</v>
      </c>
      <c r="E68" s="12" t="s">
        <v>342</v>
      </c>
      <c r="F68" s="14" t="s">
        <v>262</v>
      </c>
      <c r="G68" s="14" t="s">
        <v>248</v>
      </c>
      <c r="H68" s="13" t="s">
        <v>249</v>
      </c>
      <c r="I68" s="13"/>
      <c r="J68" s="24" t="str">
        <f>"95,0"</f>
        <v>95,0</v>
      </c>
      <c r="K68" s="25" t="str">
        <f>"91,3106"</f>
        <v>91,3106</v>
      </c>
      <c r="L68" s="12" t="s">
        <v>343</v>
      </c>
    </row>
    <row r="69" spans="1:12">
      <c r="A69" s="12" t="s">
        <v>744</v>
      </c>
      <c r="B69" s="12" t="s">
        <v>745</v>
      </c>
      <c r="C69" s="12" t="s">
        <v>746</v>
      </c>
      <c r="D69" s="12" t="s">
        <v>1193</v>
      </c>
      <c r="E69" s="12" t="s">
        <v>342</v>
      </c>
      <c r="F69" s="14" t="s">
        <v>23</v>
      </c>
      <c r="G69" s="14" t="s">
        <v>32</v>
      </c>
      <c r="H69" s="13" t="s">
        <v>33</v>
      </c>
      <c r="I69" s="13"/>
      <c r="J69" s="24" t="str">
        <f>"110,0"</f>
        <v>110,0</v>
      </c>
      <c r="K69" s="25" t="str">
        <f>"120,1905"</f>
        <v>120,1905</v>
      </c>
      <c r="L69" s="12" t="s">
        <v>343</v>
      </c>
    </row>
    <row r="70" spans="1:12">
      <c r="A70" s="15" t="s">
        <v>748</v>
      </c>
      <c r="B70" s="15" t="s">
        <v>749</v>
      </c>
      <c r="C70" s="15" t="s">
        <v>750</v>
      </c>
      <c r="D70" s="15" t="s">
        <v>1185</v>
      </c>
      <c r="E70" s="15" t="s">
        <v>353</v>
      </c>
      <c r="F70" s="16" t="s">
        <v>613</v>
      </c>
      <c r="G70" s="16" t="s">
        <v>107</v>
      </c>
      <c r="H70" s="17" t="s">
        <v>238</v>
      </c>
      <c r="I70" s="17"/>
      <c r="J70" s="26" t="str">
        <f>"75,0"</f>
        <v>75,0</v>
      </c>
      <c r="K70" s="27" t="str">
        <f>"94,1768"</f>
        <v>94,1768</v>
      </c>
      <c r="L70" s="15" t="s">
        <v>751</v>
      </c>
    </row>
    <row r="72" spans="1:12" ht="16">
      <c r="A72" s="49" t="s">
        <v>184</v>
      </c>
      <c r="B72" s="49"/>
      <c r="C72" s="49"/>
      <c r="D72" s="49"/>
      <c r="E72" s="49"/>
      <c r="F72" s="49"/>
      <c r="G72" s="49"/>
      <c r="H72" s="49"/>
      <c r="I72" s="49"/>
    </row>
    <row r="73" spans="1:12">
      <c r="A73" s="9" t="s">
        <v>753</v>
      </c>
      <c r="B73" s="9" t="s">
        <v>754</v>
      </c>
      <c r="C73" s="9" t="s">
        <v>755</v>
      </c>
      <c r="D73" s="9" t="s">
        <v>1179</v>
      </c>
      <c r="E73" s="9" t="s">
        <v>29</v>
      </c>
      <c r="F73" s="10" t="s">
        <v>182</v>
      </c>
      <c r="G73" s="11" t="s">
        <v>334</v>
      </c>
      <c r="H73" s="11" t="s">
        <v>334</v>
      </c>
      <c r="I73" s="11"/>
      <c r="J73" s="22" t="str">
        <f>"155,0"</f>
        <v>155,0</v>
      </c>
      <c r="K73" s="23" t="str">
        <f>"99,9905"</f>
        <v>99,9905</v>
      </c>
      <c r="L73" s="9"/>
    </row>
    <row r="74" spans="1:12">
      <c r="A74" s="12" t="s">
        <v>757</v>
      </c>
      <c r="B74" s="12" t="s">
        <v>758</v>
      </c>
      <c r="C74" s="12" t="s">
        <v>759</v>
      </c>
      <c r="D74" s="12" t="s">
        <v>1178</v>
      </c>
      <c r="E74" s="12" t="s">
        <v>29</v>
      </c>
      <c r="F74" s="14" t="s">
        <v>358</v>
      </c>
      <c r="G74" s="14" t="s">
        <v>760</v>
      </c>
      <c r="H74" s="13" t="s">
        <v>761</v>
      </c>
      <c r="I74" s="13"/>
      <c r="J74" s="24" t="str">
        <f>"191,0"</f>
        <v>191,0</v>
      </c>
      <c r="K74" s="25" t="str">
        <f>"123,4433"</f>
        <v>123,4433</v>
      </c>
      <c r="L74" s="12" t="s">
        <v>762</v>
      </c>
    </row>
    <row r="75" spans="1:12">
      <c r="A75" s="12" t="s">
        <v>764</v>
      </c>
      <c r="B75" s="12" t="s">
        <v>765</v>
      </c>
      <c r="C75" s="12" t="s">
        <v>766</v>
      </c>
      <c r="D75" s="12" t="s">
        <v>1178</v>
      </c>
      <c r="E75" s="12" t="s">
        <v>29</v>
      </c>
      <c r="F75" s="14" t="s">
        <v>19</v>
      </c>
      <c r="G75" s="14" t="s">
        <v>20</v>
      </c>
      <c r="H75" s="14" t="s">
        <v>55</v>
      </c>
      <c r="I75" s="13"/>
      <c r="J75" s="24" t="str">
        <f>"167,5"</f>
        <v>167,5</v>
      </c>
      <c r="K75" s="25" t="str">
        <f>"109,6958"</f>
        <v>109,6958</v>
      </c>
      <c r="L75" s="12"/>
    </row>
    <row r="76" spans="1:12">
      <c r="A76" s="12" t="s">
        <v>768</v>
      </c>
      <c r="B76" s="12" t="s">
        <v>769</v>
      </c>
      <c r="C76" s="12" t="s">
        <v>770</v>
      </c>
      <c r="D76" s="12" t="s">
        <v>1178</v>
      </c>
      <c r="E76" s="12" t="s">
        <v>29</v>
      </c>
      <c r="F76" s="14" t="s">
        <v>19</v>
      </c>
      <c r="G76" s="14" t="s">
        <v>182</v>
      </c>
      <c r="H76" s="13" t="s">
        <v>334</v>
      </c>
      <c r="I76" s="13"/>
      <c r="J76" s="24" t="str">
        <f>"155,0"</f>
        <v>155,0</v>
      </c>
      <c r="K76" s="25" t="str">
        <f>"100,7345"</f>
        <v>100,7345</v>
      </c>
      <c r="L76" s="12"/>
    </row>
    <row r="77" spans="1:12">
      <c r="A77" s="12" t="s">
        <v>772</v>
      </c>
      <c r="B77" s="12" t="s">
        <v>773</v>
      </c>
      <c r="C77" s="12" t="s">
        <v>774</v>
      </c>
      <c r="D77" s="12" t="s">
        <v>1180</v>
      </c>
      <c r="E77" s="12" t="s">
        <v>775</v>
      </c>
      <c r="F77" s="14" t="s">
        <v>20</v>
      </c>
      <c r="G77" s="13" t="s">
        <v>30</v>
      </c>
      <c r="H77" s="13" t="s">
        <v>30</v>
      </c>
      <c r="I77" s="13"/>
      <c r="J77" s="24" t="str">
        <f>"160,0"</f>
        <v>160,0</v>
      </c>
      <c r="K77" s="25" t="str">
        <f>"102,3200"</f>
        <v>102,3200</v>
      </c>
      <c r="L77" s="12"/>
    </row>
    <row r="78" spans="1:12">
      <c r="A78" s="12" t="s">
        <v>776</v>
      </c>
      <c r="B78" s="12" t="s">
        <v>777</v>
      </c>
      <c r="C78" s="12" t="s">
        <v>384</v>
      </c>
      <c r="D78" s="12" t="s">
        <v>1180</v>
      </c>
      <c r="E78" s="12" t="s">
        <v>342</v>
      </c>
      <c r="F78" s="14" t="s">
        <v>173</v>
      </c>
      <c r="G78" s="14" t="s">
        <v>191</v>
      </c>
      <c r="H78" s="14" t="s">
        <v>117</v>
      </c>
      <c r="I78" s="13"/>
      <c r="J78" s="24" t="str">
        <f>"137,5"</f>
        <v>137,5</v>
      </c>
      <c r="K78" s="25" t="str">
        <f>"90,5326"</f>
        <v>90,5326</v>
      </c>
      <c r="L78" s="12" t="s">
        <v>343</v>
      </c>
    </row>
    <row r="79" spans="1:12">
      <c r="A79" s="12" t="s">
        <v>779</v>
      </c>
      <c r="B79" s="12" t="s">
        <v>780</v>
      </c>
      <c r="C79" s="12" t="s">
        <v>333</v>
      </c>
      <c r="D79" s="12" t="s">
        <v>1186</v>
      </c>
      <c r="E79" s="12" t="s">
        <v>342</v>
      </c>
      <c r="F79" s="14" t="s">
        <v>173</v>
      </c>
      <c r="G79" s="14" t="s">
        <v>781</v>
      </c>
      <c r="H79" s="14" t="s">
        <v>167</v>
      </c>
      <c r="I79" s="13"/>
      <c r="J79" s="24" t="str">
        <f>"147,5"</f>
        <v>147,5</v>
      </c>
      <c r="K79" s="25" t="str">
        <f>"100,8213"</f>
        <v>100,8213</v>
      </c>
      <c r="L79" s="12" t="s">
        <v>343</v>
      </c>
    </row>
    <row r="80" spans="1:12">
      <c r="A80" s="12" t="s">
        <v>782</v>
      </c>
      <c r="B80" s="12" t="s">
        <v>783</v>
      </c>
      <c r="C80" s="12" t="s">
        <v>784</v>
      </c>
      <c r="D80" s="12" t="s">
        <v>1186</v>
      </c>
      <c r="E80" s="12" t="s">
        <v>29</v>
      </c>
      <c r="F80" s="14" t="s">
        <v>249</v>
      </c>
      <c r="G80" s="14" t="s">
        <v>32</v>
      </c>
      <c r="H80" s="14" t="s">
        <v>200</v>
      </c>
      <c r="I80" s="13"/>
      <c r="J80" s="24" t="str">
        <f>"117,5"</f>
        <v>117,5</v>
      </c>
      <c r="K80" s="25" t="str">
        <f>"79,7823"</f>
        <v>79,7823</v>
      </c>
      <c r="L80" s="12" t="s">
        <v>785</v>
      </c>
    </row>
    <row r="81" spans="1:12">
      <c r="A81" s="12" t="s">
        <v>787</v>
      </c>
      <c r="B81" s="12" t="s">
        <v>788</v>
      </c>
      <c r="C81" s="12" t="s">
        <v>789</v>
      </c>
      <c r="D81" s="12" t="s">
        <v>1192</v>
      </c>
      <c r="E81" s="12" t="s">
        <v>790</v>
      </c>
      <c r="F81" s="14" t="s">
        <v>781</v>
      </c>
      <c r="G81" s="14" t="s">
        <v>19</v>
      </c>
      <c r="H81" s="13" t="s">
        <v>182</v>
      </c>
      <c r="I81" s="13"/>
      <c r="J81" s="24" t="str">
        <f>"150,0"</f>
        <v>150,0</v>
      </c>
      <c r="K81" s="25" t="str">
        <f>"132,0990"</f>
        <v>132,0990</v>
      </c>
      <c r="L81" s="12" t="s">
        <v>791</v>
      </c>
    </row>
    <row r="82" spans="1:12">
      <c r="A82" s="15" t="s">
        <v>793</v>
      </c>
      <c r="B82" s="15" t="s">
        <v>794</v>
      </c>
      <c r="C82" s="15" t="s">
        <v>795</v>
      </c>
      <c r="D82" s="15" t="s">
        <v>1192</v>
      </c>
      <c r="E82" s="15" t="s">
        <v>29</v>
      </c>
      <c r="F82" s="17" t="s">
        <v>200</v>
      </c>
      <c r="G82" s="16" t="s">
        <v>200</v>
      </c>
      <c r="H82" s="17" t="s">
        <v>160</v>
      </c>
      <c r="I82" s="17"/>
      <c r="J82" s="26" t="str">
        <f>"117,5"</f>
        <v>117,5</v>
      </c>
      <c r="K82" s="27" t="str">
        <f>"106,6588"</f>
        <v>106,6588</v>
      </c>
      <c r="L82" s="15" t="s">
        <v>796</v>
      </c>
    </row>
    <row r="84" spans="1:12" ht="16">
      <c r="A84" s="49" t="s">
        <v>120</v>
      </c>
      <c r="B84" s="49"/>
      <c r="C84" s="49"/>
      <c r="D84" s="49"/>
      <c r="E84" s="49"/>
      <c r="F84" s="49"/>
      <c r="G84" s="49"/>
      <c r="H84" s="49"/>
      <c r="I84" s="49"/>
    </row>
    <row r="85" spans="1:12">
      <c r="A85" s="9" t="s">
        <v>299</v>
      </c>
      <c r="B85" s="9" t="s">
        <v>300</v>
      </c>
      <c r="C85" s="9" t="s">
        <v>301</v>
      </c>
      <c r="D85" s="9" t="s">
        <v>1182</v>
      </c>
      <c r="E85" s="9" t="s">
        <v>29</v>
      </c>
      <c r="F85" s="10" t="s">
        <v>263</v>
      </c>
      <c r="G85" s="10" t="s">
        <v>105</v>
      </c>
      <c r="H85" s="10" t="s">
        <v>257</v>
      </c>
      <c r="I85" s="11"/>
      <c r="J85" s="22" t="str">
        <f>"57,5"</f>
        <v>57,5</v>
      </c>
      <c r="K85" s="23" t="str">
        <f>"36,2710"</f>
        <v>36,2710</v>
      </c>
      <c r="L85" s="9" t="s">
        <v>1200</v>
      </c>
    </row>
    <row r="86" spans="1:12">
      <c r="A86" s="12" t="s">
        <v>798</v>
      </c>
      <c r="B86" s="12" t="s">
        <v>799</v>
      </c>
      <c r="C86" s="12" t="s">
        <v>800</v>
      </c>
      <c r="D86" s="12" t="s">
        <v>1179</v>
      </c>
      <c r="E86" s="12" t="s">
        <v>801</v>
      </c>
      <c r="F86" s="13" t="s">
        <v>182</v>
      </c>
      <c r="G86" s="14" t="s">
        <v>182</v>
      </c>
      <c r="H86" s="13" t="s">
        <v>46</v>
      </c>
      <c r="I86" s="13"/>
      <c r="J86" s="24" t="str">
        <f>"155,0"</f>
        <v>155,0</v>
      </c>
      <c r="K86" s="25" t="str">
        <f>"95,4025"</f>
        <v>95,4025</v>
      </c>
      <c r="L86" s="12" t="s">
        <v>802</v>
      </c>
    </row>
    <row r="87" spans="1:12">
      <c r="A87" s="12" t="s">
        <v>804</v>
      </c>
      <c r="B87" s="12" t="s">
        <v>805</v>
      </c>
      <c r="C87" s="12" t="s">
        <v>806</v>
      </c>
      <c r="D87" s="12" t="s">
        <v>1179</v>
      </c>
      <c r="E87" s="12" t="s">
        <v>602</v>
      </c>
      <c r="F87" s="14" t="s">
        <v>173</v>
      </c>
      <c r="G87" s="14" t="s">
        <v>781</v>
      </c>
      <c r="H87" s="14" t="s">
        <v>118</v>
      </c>
      <c r="I87" s="13"/>
      <c r="J87" s="24" t="str">
        <f>"145,0"</f>
        <v>145,0</v>
      </c>
      <c r="K87" s="25" t="str">
        <f>"88,8995"</f>
        <v>88,8995</v>
      </c>
      <c r="L87" s="12" t="s">
        <v>679</v>
      </c>
    </row>
    <row r="88" spans="1:12">
      <c r="A88" s="12" t="s">
        <v>808</v>
      </c>
      <c r="B88" s="12" t="s">
        <v>809</v>
      </c>
      <c r="C88" s="12" t="s">
        <v>810</v>
      </c>
      <c r="D88" s="12" t="s">
        <v>1178</v>
      </c>
      <c r="E88" s="12" t="s">
        <v>700</v>
      </c>
      <c r="F88" s="14" t="s">
        <v>56</v>
      </c>
      <c r="G88" s="14" t="s">
        <v>358</v>
      </c>
      <c r="H88" s="13" t="s">
        <v>417</v>
      </c>
      <c r="I88" s="13"/>
      <c r="J88" s="24" t="str">
        <f>"187,5"</f>
        <v>187,5</v>
      </c>
      <c r="K88" s="25" t="str">
        <f>"115,0500"</f>
        <v>115,0500</v>
      </c>
      <c r="L88" s="12" t="s">
        <v>811</v>
      </c>
    </row>
    <row r="89" spans="1:12">
      <c r="A89" s="12" t="s">
        <v>813</v>
      </c>
      <c r="B89" s="12" t="s">
        <v>814</v>
      </c>
      <c r="C89" s="12" t="s">
        <v>806</v>
      </c>
      <c r="D89" s="12" t="s">
        <v>1178</v>
      </c>
      <c r="E89" s="12" t="s">
        <v>29</v>
      </c>
      <c r="F89" s="14" t="s">
        <v>286</v>
      </c>
      <c r="G89" s="14" t="s">
        <v>815</v>
      </c>
      <c r="H89" s="14" t="s">
        <v>358</v>
      </c>
      <c r="I89" s="13" t="s">
        <v>116</v>
      </c>
      <c r="J89" s="24" t="str">
        <f>"187,5"</f>
        <v>187,5</v>
      </c>
      <c r="K89" s="25" t="str">
        <f>"114,9562"</f>
        <v>114,9562</v>
      </c>
      <c r="L89" s="12" t="s">
        <v>816</v>
      </c>
    </row>
    <row r="90" spans="1:12">
      <c r="A90" s="12" t="s">
        <v>818</v>
      </c>
      <c r="B90" s="12" t="s">
        <v>819</v>
      </c>
      <c r="C90" s="12" t="s">
        <v>820</v>
      </c>
      <c r="D90" s="12" t="s">
        <v>1178</v>
      </c>
      <c r="E90" s="12" t="s">
        <v>821</v>
      </c>
      <c r="F90" s="14" t="s">
        <v>20</v>
      </c>
      <c r="G90" s="14" t="s">
        <v>46</v>
      </c>
      <c r="H90" s="14" t="s">
        <v>30</v>
      </c>
      <c r="I90" s="13"/>
      <c r="J90" s="24" t="str">
        <f>"170,0"</f>
        <v>170,0</v>
      </c>
      <c r="K90" s="25" t="str">
        <f>"104,5500"</f>
        <v>104,5500</v>
      </c>
      <c r="L90" s="12"/>
    </row>
    <row r="91" spans="1:12">
      <c r="A91" s="12" t="s">
        <v>823</v>
      </c>
      <c r="B91" s="12" t="s">
        <v>824</v>
      </c>
      <c r="C91" s="12" t="s">
        <v>825</v>
      </c>
      <c r="D91" s="12" t="s">
        <v>1178</v>
      </c>
      <c r="E91" s="12" t="s">
        <v>53</v>
      </c>
      <c r="F91" s="14" t="s">
        <v>33</v>
      </c>
      <c r="G91" s="13" t="s">
        <v>173</v>
      </c>
      <c r="H91" s="13" t="s">
        <v>173</v>
      </c>
      <c r="I91" s="13"/>
      <c r="J91" s="24" t="str">
        <f>"115,0"</f>
        <v>115,0</v>
      </c>
      <c r="K91" s="25" t="str">
        <f>"70,1040"</f>
        <v>70,1040</v>
      </c>
      <c r="L91" s="12" t="s">
        <v>826</v>
      </c>
    </row>
    <row r="92" spans="1:12">
      <c r="A92" s="12" t="s">
        <v>827</v>
      </c>
      <c r="B92" s="12" t="s">
        <v>828</v>
      </c>
      <c r="C92" s="12" t="s">
        <v>806</v>
      </c>
      <c r="D92" s="12" t="s">
        <v>1180</v>
      </c>
      <c r="E92" s="12" t="s">
        <v>29</v>
      </c>
      <c r="F92" s="14" t="s">
        <v>286</v>
      </c>
      <c r="G92" s="14" t="s">
        <v>815</v>
      </c>
      <c r="H92" s="14" t="s">
        <v>358</v>
      </c>
      <c r="I92" s="13" t="s">
        <v>116</v>
      </c>
      <c r="J92" s="24" t="str">
        <f>"187,5"</f>
        <v>187,5</v>
      </c>
      <c r="K92" s="25" t="str">
        <f>"118,5199"</f>
        <v>118,5199</v>
      </c>
      <c r="L92" s="12" t="s">
        <v>816</v>
      </c>
    </row>
    <row r="93" spans="1:12">
      <c r="A93" s="12" t="s">
        <v>829</v>
      </c>
      <c r="B93" s="12" t="s">
        <v>830</v>
      </c>
      <c r="C93" s="12" t="s">
        <v>519</v>
      </c>
      <c r="D93" s="12" t="s">
        <v>1180</v>
      </c>
      <c r="E93" s="12" t="s">
        <v>29</v>
      </c>
      <c r="F93" s="13" t="s">
        <v>369</v>
      </c>
      <c r="G93" s="14" t="s">
        <v>18</v>
      </c>
      <c r="H93" s="13" t="s">
        <v>118</v>
      </c>
      <c r="I93" s="13"/>
      <c r="J93" s="24" t="str">
        <f>"140,0"</f>
        <v>140,0</v>
      </c>
      <c r="K93" s="25" t="str">
        <f>"87,7363"</f>
        <v>87,7363</v>
      </c>
      <c r="L93" s="12"/>
    </row>
    <row r="94" spans="1:12">
      <c r="A94" s="12" t="s">
        <v>831</v>
      </c>
      <c r="B94" s="12" t="s">
        <v>832</v>
      </c>
      <c r="C94" s="12" t="s">
        <v>833</v>
      </c>
      <c r="D94" s="12" t="s">
        <v>1180</v>
      </c>
      <c r="E94" s="12" t="s">
        <v>197</v>
      </c>
      <c r="F94" s="13" t="s">
        <v>117</v>
      </c>
      <c r="G94" s="14" t="s">
        <v>117</v>
      </c>
      <c r="H94" s="13" t="s">
        <v>334</v>
      </c>
      <c r="I94" s="13"/>
      <c r="J94" s="24" t="str">
        <f>"137,5"</f>
        <v>137,5</v>
      </c>
      <c r="K94" s="25" t="str">
        <f>"85,9775"</f>
        <v>85,9775</v>
      </c>
      <c r="L94" s="12"/>
    </row>
    <row r="95" spans="1:12">
      <c r="A95" s="12" t="s">
        <v>834</v>
      </c>
      <c r="B95" s="12" t="s">
        <v>835</v>
      </c>
      <c r="C95" s="12" t="s">
        <v>411</v>
      </c>
      <c r="D95" s="12" t="s">
        <v>1186</v>
      </c>
      <c r="E95" s="12" t="s">
        <v>836</v>
      </c>
      <c r="F95" s="14" t="s">
        <v>369</v>
      </c>
      <c r="G95" s="14" t="s">
        <v>781</v>
      </c>
      <c r="H95" s="14" t="s">
        <v>118</v>
      </c>
      <c r="I95" s="13"/>
      <c r="J95" s="24" t="str">
        <f>"145,0"</f>
        <v>145,0</v>
      </c>
      <c r="K95" s="25" t="str">
        <f>"95,7186"</f>
        <v>95,7186</v>
      </c>
      <c r="L95" s="12" t="s">
        <v>837</v>
      </c>
    </row>
    <row r="96" spans="1:12">
      <c r="A96" s="12" t="s">
        <v>839</v>
      </c>
      <c r="B96" s="12" t="s">
        <v>840</v>
      </c>
      <c r="C96" s="12" t="s">
        <v>841</v>
      </c>
      <c r="D96" s="12" t="s">
        <v>1177</v>
      </c>
      <c r="E96" s="12" t="s">
        <v>842</v>
      </c>
      <c r="F96" s="14" t="s">
        <v>291</v>
      </c>
      <c r="G96" s="14" t="s">
        <v>31</v>
      </c>
      <c r="H96" s="14" t="s">
        <v>358</v>
      </c>
      <c r="I96" s="14" t="s">
        <v>116</v>
      </c>
      <c r="J96" s="24" t="str">
        <f>"187,5"</f>
        <v>187,5</v>
      </c>
      <c r="K96" s="25" t="str">
        <f>"135,7086"</f>
        <v>135,7086</v>
      </c>
      <c r="L96" s="12" t="s">
        <v>1207</v>
      </c>
    </row>
    <row r="97" spans="1:12">
      <c r="A97" s="12" t="s">
        <v>844</v>
      </c>
      <c r="B97" s="12" t="s">
        <v>845</v>
      </c>
      <c r="C97" s="12" t="s">
        <v>846</v>
      </c>
      <c r="D97" s="12" t="s">
        <v>1183</v>
      </c>
      <c r="E97" s="12" t="s">
        <v>29</v>
      </c>
      <c r="F97" s="14" t="s">
        <v>19</v>
      </c>
      <c r="G97" s="13" t="s">
        <v>182</v>
      </c>
      <c r="H97" s="13" t="s">
        <v>334</v>
      </c>
      <c r="I97" s="13"/>
      <c r="J97" s="24" t="str">
        <f>"150,0"</f>
        <v>150,0</v>
      </c>
      <c r="K97" s="25" t="str">
        <f>"111,9589"</f>
        <v>111,9589</v>
      </c>
      <c r="L97" s="12"/>
    </row>
    <row r="98" spans="1:12">
      <c r="A98" s="12" t="s">
        <v>848</v>
      </c>
      <c r="B98" s="12" t="s">
        <v>849</v>
      </c>
      <c r="C98" s="12" t="s">
        <v>850</v>
      </c>
      <c r="D98" s="12" t="s">
        <v>1183</v>
      </c>
      <c r="E98" s="12" t="s">
        <v>851</v>
      </c>
      <c r="F98" s="14" t="s">
        <v>173</v>
      </c>
      <c r="G98" s="14" t="s">
        <v>18</v>
      </c>
      <c r="H98" s="13" t="s">
        <v>118</v>
      </c>
      <c r="I98" s="13"/>
      <c r="J98" s="24" t="str">
        <f>"140,0"</f>
        <v>140,0</v>
      </c>
      <c r="K98" s="25" t="str">
        <f>"107,1875"</f>
        <v>107,1875</v>
      </c>
      <c r="L98" s="12"/>
    </row>
    <row r="99" spans="1:12">
      <c r="A99" s="15" t="s">
        <v>853</v>
      </c>
      <c r="B99" s="15" t="s">
        <v>854</v>
      </c>
      <c r="C99" s="15" t="s">
        <v>147</v>
      </c>
      <c r="D99" s="15" t="s">
        <v>1193</v>
      </c>
      <c r="E99" s="15" t="s">
        <v>855</v>
      </c>
      <c r="F99" s="17" t="s">
        <v>856</v>
      </c>
      <c r="G99" s="16" t="s">
        <v>856</v>
      </c>
      <c r="H99" s="17" t="s">
        <v>18</v>
      </c>
      <c r="I99" s="17"/>
      <c r="J99" s="26" t="str">
        <f>"136,0"</f>
        <v>136,0</v>
      </c>
      <c r="K99" s="27" t="str">
        <f>"125,0649"</f>
        <v>125,0649</v>
      </c>
      <c r="L99" s="15"/>
    </row>
    <row r="101" spans="1:12" ht="16">
      <c r="A101" s="49" t="s">
        <v>61</v>
      </c>
      <c r="B101" s="49"/>
      <c r="C101" s="49"/>
      <c r="D101" s="49"/>
      <c r="E101" s="49"/>
      <c r="F101" s="49"/>
      <c r="G101" s="49"/>
      <c r="H101" s="49"/>
      <c r="I101" s="49"/>
    </row>
    <row r="102" spans="1:12">
      <c r="A102" s="9" t="s">
        <v>858</v>
      </c>
      <c r="B102" s="9" t="s">
        <v>859</v>
      </c>
      <c r="C102" s="9" t="s">
        <v>860</v>
      </c>
      <c r="D102" s="9" t="s">
        <v>1178</v>
      </c>
      <c r="E102" s="9" t="s">
        <v>148</v>
      </c>
      <c r="F102" s="10" t="s">
        <v>56</v>
      </c>
      <c r="G102" s="10" t="s">
        <v>116</v>
      </c>
      <c r="H102" s="10" t="s">
        <v>297</v>
      </c>
      <c r="I102" s="11" t="s">
        <v>35</v>
      </c>
      <c r="J102" s="22" t="str">
        <f>"195,0"</f>
        <v>195,0</v>
      </c>
      <c r="K102" s="23" t="str">
        <f>"115,4595"</f>
        <v>115,4595</v>
      </c>
      <c r="L102" s="9"/>
    </row>
    <row r="103" spans="1:12">
      <c r="A103" s="12" t="s">
        <v>862</v>
      </c>
      <c r="B103" s="12" t="s">
        <v>863</v>
      </c>
      <c r="C103" s="12" t="s">
        <v>864</v>
      </c>
      <c r="D103" s="12" t="s">
        <v>1178</v>
      </c>
      <c r="E103" s="12" t="s">
        <v>368</v>
      </c>
      <c r="F103" s="14" t="s">
        <v>20</v>
      </c>
      <c r="G103" s="13" t="s">
        <v>46</v>
      </c>
      <c r="H103" s="14" t="s">
        <v>46</v>
      </c>
      <c r="I103" s="13"/>
      <c r="J103" s="24" t="str">
        <f>"165,0"</f>
        <v>165,0</v>
      </c>
      <c r="K103" s="25" t="str">
        <f>"98,3070"</f>
        <v>98,3070</v>
      </c>
      <c r="L103" s="12"/>
    </row>
    <row r="104" spans="1:12">
      <c r="A104" s="12" t="s">
        <v>866</v>
      </c>
      <c r="B104" s="12" t="s">
        <v>867</v>
      </c>
      <c r="C104" s="12" t="s">
        <v>860</v>
      </c>
      <c r="D104" s="12" t="s">
        <v>1178</v>
      </c>
      <c r="E104" s="12" t="s">
        <v>868</v>
      </c>
      <c r="F104" s="14" t="s">
        <v>334</v>
      </c>
      <c r="G104" s="14" t="s">
        <v>335</v>
      </c>
      <c r="H104" s="13" t="s">
        <v>46</v>
      </c>
      <c r="I104" s="13"/>
      <c r="J104" s="24" t="str">
        <f>"162,5"</f>
        <v>162,5</v>
      </c>
      <c r="K104" s="25" t="str">
        <f>"96,2163"</f>
        <v>96,2163</v>
      </c>
      <c r="L104" s="12" t="s">
        <v>869</v>
      </c>
    </row>
    <row r="105" spans="1:12">
      <c r="A105" s="12" t="s">
        <v>871</v>
      </c>
      <c r="B105" s="12" t="s">
        <v>872</v>
      </c>
      <c r="C105" s="12" t="s">
        <v>305</v>
      </c>
      <c r="D105" s="12" t="s">
        <v>1178</v>
      </c>
      <c r="E105" s="12" t="s">
        <v>29</v>
      </c>
      <c r="F105" s="14" t="s">
        <v>18</v>
      </c>
      <c r="G105" s="14" t="s">
        <v>19</v>
      </c>
      <c r="H105" s="14" t="s">
        <v>182</v>
      </c>
      <c r="I105" s="13"/>
      <c r="J105" s="24" t="str">
        <f>"155,0"</f>
        <v>155,0</v>
      </c>
      <c r="K105" s="25" t="str">
        <f>"93,3255"</f>
        <v>93,3255</v>
      </c>
      <c r="L105" s="12" t="s">
        <v>873</v>
      </c>
    </row>
    <row r="106" spans="1:12">
      <c r="A106" s="12" t="s">
        <v>874</v>
      </c>
      <c r="B106" s="12" t="s">
        <v>875</v>
      </c>
      <c r="C106" s="12" t="s">
        <v>876</v>
      </c>
      <c r="D106" s="12" t="s">
        <v>1178</v>
      </c>
      <c r="E106" s="12" t="s">
        <v>29</v>
      </c>
      <c r="F106" s="13" t="s">
        <v>31</v>
      </c>
      <c r="G106" s="13" t="s">
        <v>31</v>
      </c>
      <c r="H106" s="13" t="s">
        <v>31</v>
      </c>
      <c r="I106" s="13"/>
      <c r="J106" s="24" t="str">
        <f>"0.00"</f>
        <v>0.00</v>
      </c>
      <c r="K106" s="25" t="str">
        <f>"0,0000"</f>
        <v>0,0000</v>
      </c>
      <c r="L106" s="12" t="s">
        <v>877</v>
      </c>
    </row>
    <row r="107" spans="1:12">
      <c r="A107" s="12" t="s">
        <v>879</v>
      </c>
      <c r="B107" s="12" t="s">
        <v>880</v>
      </c>
      <c r="C107" s="12" t="s">
        <v>881</v>
      </c>
      <c r="D107" s="12" t="s">
        <v>1180</v>
      </c>
      <c r="E107" s="12" t="s">
        <v>882</v>
      </c>
      <c r="F107" s="14" t="s">
        <v>30</v>
      </c>
      <c r="G107" s="14" t="s">
        <v>56</v>
      </c>
      <c r="H107" s="14" t="s">
        <v>31</v>
      </c>
      <c r="I107" s="13"/>
      <c r="J107" s="24" t="str">
        <f>"182,5"</f>
        <v>182,5</v>
      </c>
      <c r="K107" s="25" t="str">
        <f>"109,8285"</f>
        <v>109,8285</v>
      </c>
      <c r="L107" s="12" t="s">
        <v>837</v>
      </c>
    </row>
    <row r="108" spans="1:12">
      <c r="A108" s="12" t="s">
        <v>883</v>
      </c>
      <c r="B108" s="12" t="s">
        <v>884</v>
      </c>
      <c r="C108" s="12" t="s">
        <v>860</v>
      </c>
      <c r="D108" s="12" t="s">
        <v>1180</v>
      </c>
      <c r="E108" s="12" t="s">
        <v>868</v>
      </c>
      <c r="F108" s="14" t="s">
        <v>334</v>
      </c>
      <c r="G108" s="14" t="s">
        <v>335</v>
      </c>
      <c r="H108" s="13" t="s">
        <v>46</v>
      </c>
      <c r="I108" s="13"/>
      <c r="J108" s="24" t="str">
        <f>"162,5"</f>
        <v>162,5</v>
      </c>
      <c r="K108" s="25" t="str">
        <f>"96,2163"</f>
        <v>96,2163</v>
      </c>
      <c r="L108" s="12" t="s">
        <v>869</v>
      </c>
    </row>
    <row r="109" spans="1:12">
      <c r="A109" s="12" t="s">
        <v>886</v>
      </c>
      <c r="B109" s="12" t="s">
        <v>887</v>
      </c>
      <c r="C109" s="12" t="s">
        <v>465</v>
      </c>
      <c r="D109" s="12" t="s">
        <v>1186</v>
      </c>
      <c r="E109" s="12" t="s">
        <v>29</v>
      </c>
      <c r="F109" s="14" t="s">
        <v>30</v>
      </c>
      <c r="G109" s="14" t="s">
        <v>56</v>
      </c>
      <c r="H109" s="14" t="s">
        <v>174</v>
      </c>
      <c r="I109" s="13"/>
      <c r="J109" s="24" t="str">
        <f>"185,0"</f>
        <v>185,0</v>
      </c>
      <c r="K109" s="25" t="str">
        <f>"116,0901"</f>
        <v>116,0901</v>
      </c>
      <c r="L109" s="12" t="s">
        <v>888</v>
      </c>
    </row>
    <row r="110" spans="1:12">
      <c r="A110" s="12" t="s">
        <v>890</v>
      </c>
      <c r="B110" s="12" t="s">
        <v>891</v>
      </c>
      <c r="C110" s="12" t="s">
        <v>892</v>
      </c>
      <c r="D110" s="12" t="s">
        <v>1177</v>
      </c>
      <c r="E110" s="12" t="s">
        <v>868</v>
      </c>
      <c r="F110" s="14" t="s">
        <v>118</v>
      </c>
      <c r="G110" s="14" t="s">
        <v>19</v>
      </c>
      <c r="H110" s="13" t="s">
        <v>182</v>
      </c>
      <c r="I110" s="13"/>
      <c r="J110" s="24" t="str">
        <f>"150,0"</f>
        <v>150,0</v>
      </c>
      <c r="K110" s="25" t="str">
        <f>"107,0597"</f>
        <v>107,0597</v>
      </c>
      <c r="L110" s="12" t="s">
        <v>893</v>
      </c>
    </row>
    <row r="111" spans="1:12">
      <c r="A111" s="12" t="s">
        <v>874</v>
      </c>
      <c r="B111" s="12" t="s">
        <v>894</v>
      </c>
      <c r="C111" s="12" t="s">
        <v>876</v>
      </c>
      <c r="D111" s="12" t="s">
        <v>1177</v>
      </c>
      <c r="E111" s="12" t="s">
        <v>29</v>
      </c>
      <c r="F111" s="13" t="s">
        <v>31</v>
      </c>
      <c r="G111" s="13" t="s">
        <v>31</v>
      </c>
      <c r="H111" s="13" t="s">
        <v>31</v>
      </c>
      <c r="I111" s="13"/>
      <c r="J111" s="24" t="str">
        <f>"0.00"</f>
        <v>0.00</v>
      </c>
      <c r="K111" s="25" t="str">
        <f>"0,0000"</f>
        <v>0,0000</v>
      </c>
      <c r="L111" s="12" t="s">
        <v>877</v>
      </c>
    </row>
    <row r="112" spans="1:12">
      <c r="A112" s="12" t="s">
        <v>896</v>
      </c>
      <c r="B112" s="12" t="s">
        <v>897</v>
      </c>
      <c r="C112" s="12" t="s">
        <v>898</v>
      </c>
      <c r="D112" s="12" t="s">
        <v>1183</v>
      </c>
      <c r="E112" s="12" t="s">
        <v>29</v>
      </c>
      <c r="F112" s="14" t="s">
        <v>34</v>
      </c>
      <c r="G112" s="14" t="s">
        <v>190</v>
      </c>
      <c r="H112" s="14" t="s">
        <v>173</v>
      </c>
      <c r="I112" s="13"/>
      <c r="J112" s="24" t="str">
        <f>"130,0"</f>
        <v>130,0</v>
      </c>
      <c r="K112" s="25" t="str">
        <f>"99,4225"</f>
        <v>99,4225</v>
      </c>
      <c r="L112" s="12" t="s">
        <v>135</v>
      </c>
    </row>
    <row r="113" spans="1:12">
      <c r="A113" s="15" t="s">
        <v>899</v>
      </c>
      <c r="B113" s="15" t="s">
        <v>900</v>
      </c>
      <c r="C113" s="15" t="s">
        <v>901</v>
      </c>
      <c r="D113" s="15" t="s">
        <v>1183</v>
      </c>
      <c r="E113" s="15" t="s">
        <v>902</v>
      </c>
      <c r="F113" s="16" t="s">
        <v>23</v>
      </c>
      <c r="G113" s="17"/>
      <c r="H113" s="17"/>
      <c r="I113" s="17"/>
      <c r="J113" s="26" t="str">
        <f>"100,0"</f>
        <v>100,0</v>
      </c>
      <c r="K113" s="27" t="str">
        <f>"73,9127"</f>
        <v>73,9127</v>
      </c>
      <c r="L113" s="15" t="s">
        <v>837</v>
      </c>
    </row>
    <row r="115" spans="1:12" ht="16">
      <c r="A115" s="49" t="s">
        <v>205</v>
      </c>
      <c r="B115" s="49"/>
      <c r="C115" s="49"/>
      <c r="D115" s="49"/>
      <c r="E115" s="49"/>
      <c r="F115" s="49"/>
      <c r="G115" s="49"/>
      <c r="H115" s="49"/>
      <c r="I115" s="49"/>
    </row>
    <row r="116" spans="1:12">
      <c r="A116" s="9" t="s">
        <v>904</v>
      </c>
      <c r="B116" s="9" t="s">
        <v>905</v>
      </c>
      <c r="C116" s="9" t="s">
        <v>906</v>
      </c>
      <c r="D116" s="9" t="s">
        <v>1178</v>
      </c>
      <c r="E116" s="9" t="s">
        <v>29</v>
      </c>
      <c r="F116" s="10" t="s">
        <v>20</v>
      </c>
      <c r="G116" s="10" t="s">
        <v>30</v>
      </c>
      <c r="H116" s="11" t="s">
        <v>56</v>
      </c>
      <c r="I116" s="11"/>
      <c r="J116" s="22" t="str">
        <f>"170,0"</f>
        <v>170,0</v>
      </c>
      <c r="K116" s="23" t="str">
        <f>"97,7160"</f>
        <v>97,7160</v>
      </c>
      <c r="L116" s="9"/>
    </row>
    <row r="117" spans="1:12">
      <c r="A117" s="12" t="s">
        <v>908</v>
      </c>
      <c r="B117" s="12" t="s">
        <v>909</v>
      </c>
      <c r="C117" s="12" t="s">
        <v>910</v>
      </c>
      <c r="D117" s="12" t="s">
        <v>1177</v>
      </c>
      <c r="E117" s="12" t="s">
        <v>29</v>
      </c>
      <c r="F117" s="14" t="s">
        <v>35</v>
      </c>
      <c r="G117" s="14" t="s">
        <v>183</v>
      </c>
      <c r="H117" s="13" t="s">
        <v>911</v>
      </c>
      <c r="I117" s="13"/>
      <c r="J117" s="24" t="str">
        <f>"210,0"</f>
        <v>210,0</v>
      </c>
      <c r="K117" s="25" t="str">
        <f>"135,8542"</f>
        <v>135,8542</v>
      </c>
      <c r="L117" s="12" t="s">
        <v>912</v>
      </c>
    </row>
    <row r="118" spans="1:12">
      <c r="A118" s="15" t="s">
        <v>914</v>
      </c>
      <c r="B118" s="15" t="s">
        <v>915</v>
      </c>
      <c r="C118" s="15" t="s">
        <v>916</v>
      </c>
      <c r="D118" s="15" t="s">
        <v>1192</v>
      </c>
      <c r="E118" s="15" t="s">
        <v>917</v>
      </c>
      <c r="F118" s="16" t="s">
        <v>117</v>
      </c>
      <c r="G118" s="16" t="s">
        <v>118</v>
      </c>
      <c r="H118" s="16" t="s">
        <v>167</v>
      </c>
      <c r="I118" s="17"/>
      <c r="J118" s="26" t="str">
        <f>"147,5"</f>
        <v>147,5</v>
      </c>
      <c r="K118" s="27" t="str">
        <f>"118,0702"</f>
        <v>118,0702</v>
      </c>
      <c r="L118" s="15"/>
    </row>
    <row r="120" spans="1:12" ht="16">
      <c r="A120" s="49" t="s">
        <v>493</v>
      </c>
      <c r="B120" s="49"/>
      <c r="C120" s="49"/>
      <c r="D120" s="49"/>
      <c r="E120" s="49"/>
      <c r="F120" s="49"/>
      <c r="G120" s="49"/>
      <c r="H120" s="49"/>
      <c r="I120" s="49"/>
    </row>
    <row r="121" spans="1:12">
      <c r="A121" s="6" t="s">
        <v>919</v>
      </c>
      <c r="B121" s="6" t="s">
        <v>920</v>
      </c>
      <c r="C121" s="6" t="s">
        <v>921</v>
      </c>
      <c r="D121" s="6" t="s">
        <v>1183</v>
      </c>
      <c r="E121" s="6" t="s">
        <v>29</v>
      </c>
      <c r="F121" s="7" t="s">
        <v>30</v>
      </c>
      <c r="G121" s="7" t="s">
        <v>286</v>
      </c>
      <c r="H121" s="7" t="s">
        <v>56</v>
      </c>
      <c r="I121" s="7" t="s">
        <v>31</v>
      </c>
      <c r="J121" s="20" t="str">
        <f>"180,0"</f>
        <v>180,0</v>
      </c>
      <c r="K121" s="21" t="str">
        <f>"126,1351"</f>
        <v>126,1351</v>
      </c>
      <c r="L121" s="6"/>
    </row>
    <row r="131" spans="1:4" ht="18">
      <c r="A131" s="28" t="s">
        <v>80</v>
      </c>
      <c r="B131" s="28"/>
    </row>
    <row r="132" spans="1:4" ht="16">
      <c r="A132" s="29" t="s">
        <v>81</v>
      </c>
      <c r="B132" s="29"/>
    </row>
    <row r="133" spans="1:4" ht="14">
      <c r="A133" s="31"/>
      <c r="B133" s="32" t="s">
        <v>318</v>
      </c>
    </row>
    <row r="134" spans="1:4" ht="14">
      <c r="A134" s="33" t="s">
        <v>83</v>
      </c>
      <c r="B134" s="33" t="s">
        <v>84</v>
      </c>
      <c r="C134" s="33" t="s">
        <v>85</v>
      </c>
      <c r="D134" s="33" t="s">
        <v>498</v>
      </c>
    </row>
    <row r="135" spans="1:4">
      <c r="A135" s="30" t="s">
        <v>608</v>
      </c>
      <c r="B135" s="4" t="s">
        <v>137</v>
      </c>
      <c r="C135" s="4" t="s">
        <v>89</v>
      </c>
      <c r="D135" s="4" t="s">
        <v>613</v>
      </c>
    </row>
    <row r="137" spans="1:4" ht="14">
      <c r="A137" s="31"/>
      <c r="B137" s="32" t="s">
        <v>922</v>
      </c>
    </row>
    <row r="138" spans="1:4" ht="14">
      <c r="A138" s="33" t="s">
        <v>83</v>
      </c>
      <c r="B138" s="33" t="s">
        <v>84</v>
      </c>
      <c r="C138" s="33" t="s">
        <v>85</v>
      </c>
      <c r="D138" s="33" t="s">
        <v>498</v>
      </c>
    </row>
    <row r="139" spans="1:4">
      <c r="A139" s="30" t="s">
        <v>551</v>
      </c>
      <c r="B139" s="4" t="s">
        <v>93</v>
      </c>
      <c r="C139" s="4" t="s">
        <v>322</v>
      </c>
      <c r="D139" s="4" t="s">
        <v>109</v>
      </c>
    </row>
    <row r="141" spans="1:4" ht="14">
      <c r="A141" s="31"/>
      <c r="B141" s="32" t="s">
        <v>96</v>
      </c>
    </row>
    <row r="142" spans="1:4" ht="14">
      <c r="A142" s="33" t="s">
        <v>83</v>
      </c>
      <c r="B142" s="33" t="s">
        <v>84</v>
      </c>
      <c r="C142" s="33" t="s">
        <v>85</v>
      </c>
      <c r="D142" s="33" t="s">
        <v>498</v>
      </c>
    </row>
    <row r="143" spans="1:4">
      <c r="A143" s="30" t="s">
        <v>556</v>
      </c>
      <c r="B143" s="4" t="s">
        <v>96</v>
      </c>
      <c r="C143" s="4" t="s">
        <v>322</v>
      </c>
      <c r="D143" s="4" t="s">
        <v>105</v>
      </c>
    </row>
    <row r="144" spans="1:4">
      <c r="A144" s="30" t="s">
        <v>619</v>
      </c>
      <c r="B144" s="4" t="s">
        <v>96</v>
      </c>
      <c r="C144" s="4" t="s">
        <v>222</v>
      </c>
      <c r="D144" s="4" t="s">
        <v>107</v>
      </c>
    </row>
    <row r="145" spans="1:4">
      <c r="A145" s="30" t="s">
        <v>562</v>
      </c>
      <c r="B145" s="4" t="s">
        <v>96</v>
      </c>
      <c r="C145" s="4" t="s">
        <v>923</v>
      </c>
      <c r="D145" s="4" t="s">
        <v>257</v>
      </c>
    </row>
    <row r="146" spans="1:4">
      <c r="A146" s="30" t="s">
        <v>566</v>
      </c>
      <c r="B146" s="4" t="s">
        <v>96</v>
      </c>
      <c r="C146" s="4" t="s">
        <v>923</v>
      </c>
      <c r="D146" s="4" t="s">
        <v>105</v>
      </c>
    </row>
    <row r="147" spans="1:4">
      <c r="A147" s="30" t="s">
        <v>569</v>
      </c>
      <c r="B147" s="4" t="s">
        <v>96</v>
      </c>
      <c r="C147" s="4" t="s">
        <v>923</v>
      </c>
      <c r="D147" s="4" t="s">
        <v>268</v>
      </c>
    </row>
    <row r="148" spans="1:4">
      <c r="A148" s="30" t="s">
        <v>574</v>
      </c>
      <c r="B148" s="4" t="s">
        <v>96</v>
      </c>
      <c r="C148" s="4" t="s">
        <v>923</v>
      </c>
      <c r="D148" s="4" t="s">
        <v>240</v>
      </c>
    </row>
    <row r="149" spans="1:4">
      <c r="A149" s="30" t="s">
        <v>594</v>
      </c>
      <c r="B149" s="4" t="s">
        <v>96</v>
      </c>
      <c r="C149" s="4" t="s">
        <v>320</v>
      </c>
      <c r="D149" s="4" t="s">
        <v>263</v>
      </c>
    </row>
    <row r="150" spans="1:4">
      <c r="A150" s="30" t="s">
        <v>584</v>
      </c>
      <c r="B150" s="4" t="s">
        <v>96</v>
      </c>
      <c r="C150" s="4" t="s">
        <v>319</v>
      </c>
      <c r="D150" s="4" t="s">
        <v>109</v>
      </c>
    </row>
    <row r="151" spans="1:4">
      <c r="A151" s="30" t="s">
        <v>588</v>
      </c>
      <c r="B151" s="4" t="s">
        <v>96</v>
      </c>
      <c r="C151" s="4" t="s">
        <v>319</v>
      </c>
      <c r="D151" s="4" t="s">
        <v>592</v>
      </c>
    </row>
    <row r="153" spans="1:4" ht="14">
      <c r="A153" s="31"/>
      <c r="B153" s="32" t="s">
        <v>82</v>
      </c>
    </row>
    <row r="154" spans="1:4" ht="14">
      <c r="A154" s="33" t="s">
        <v>83</v>
      </c>
      <c r="B154" s="33" t="s">
        <v>84</v>
      </c>
      <c r="C154" s="33" t="s">
        <v>85</v>
      </c>
      <c r="D154" s="33" t="s">
        <v>498</v>
      </c>
    </row>
    <row r="155" spans="1:4">
      <c r="A155" s="30" t="s">
        <v>615</v>
      </c>
      <c r="B155" s="4" t="s">
        <v>329</v>
      </c>
      <c r="C155" s="4" t="s">
        <v>89</v>
      </c>
      <c r="D155" s="4" t="s">
        <v>238</v>
      </c>
    </row>
    <row r="156" spans="1:4">
      <c r="A156" s="30" t="s">
        <v>598</v>
      </c>
      <c r="B156" s="4" t="s">
        <v>329</v>
      </c>
      <c r="C156" s="4" t="s">
        <v>320</v>
      </c>
      <c r="D156" s="4" t="s">
        <v>166</v>
      </c>
    </row>
    <row r="157" spans="1:4">
      <c r="A157" s="30" t="s">
        <v>579</v>
      </c>
      <c r="B157" s="4" t="s">
        <v>88</v>
      </c>
      <c r="C157" s="4" t="s">
        <v>923</v>
      </c>
      <c r="D157" s="4" t="s">
        <v>583</v>
      </c>
    </row>
    <row r="158" spans="1:4">
      <c r="A158" s="30" t="s">
        <v>623</v>
      </c>
      <c r="B158" s="4" t="s">
        <v>329</v>
      </c>
      <c r="C158" s="4" t="s">
        <v>222</v>
      </c>
      <c r="D158" s="4" t="s">
        <v>263</v>
      </c>
    </row>
    <row r="159" spans="1:4">
      <c r="A159" s="30" t="s">
        <v>604</v>
      </c>
      <c r="B159" s="4" t="s">
        <v>329</v>
      </c>
      <c r="C159" s="4" t="s">
        <v>320</v>
      </c>
      <c r="D159" s="4" t="s">
        <v>108</v>
      </c>
    </row>
    <row r="160" spans="1:4">
      <c r="A160" s="30" t="s">
        <v>628</v>
      </c>
      <c r="B160" s="4" t="s">
        <v>88</v>
      </c>
      <c r="C160" s="4" t="s">
        <v>226</v>
      </c>
      <c r="D160" s="4" t="s">
        <v>583</v>
      </c>
    </row>
    <row r="163" spans="1:4" ht="16">
      <c r="A163" s="29" t="s">
        <v>91</v>
      </c>
      <c r="B163" s="29"/>
    </row>
    <row r="164" spans="1:4" ht="14">
      <c r="A164" s="31"/>
      <c r="B164" s="32" t="s">
        <v>136</v>
      </c>
    </row>
    <row r="165" spans="1:4" ht="14">
      <c r="A165" s="33" t="s">
        <v>83</v>
      </c>
      <c r="B165" s="33" t="s">
        <v>84</v>
      </c>
      <c r="C165" s="33" t="s">
        <v>85</v>
      </c>
      <c r="D165" s="33" t="s">
        <v>498</v>
      </c>
    </row>
    <row r="166" spans="1:4">
      <c r="A166" s="30" t="s">
        <v>651</v>
      </c>
      <c r="B166" s="4" t="s">
        <v>137</v>
      </c>
      <c r="C166" s="4" t="s">
        <v>89</v>
      </c>
      <c r="D166" s="4" t="s">
        <v>159</v>
      </c>
    </row>
    <row r="167" spans="1:4">
      <c r="A167" s="30" t="s">
        <v>706</v>
      </c>
      <c r="B167" s="4" t="s">
        <v>137</v>
      </c>
      <c r="C167" s="4" t="s">
        <v>94</v>
      </c>
      <c r="D167" s="4" t="s">
        <v>107</v>
      </c>
    </row>
    <row r="168" spans="1:4">
      <c r="A168" s="30" t="s">
        <v>298</v>
      </c>
      <c r="B168" s="4" t="s">
        <v>137</v>
      </c>
      <c r="C168" s="4" t="s">
        <v>139</v>
      </c>
      <c r="D168" s="4" t="s">
        <v>257</v>
      </c>
    </row>
    <row r="169" spans="1:4">
      <c r="A169" s="30" t="s">
        <v>632</v>
      </c>
      <c r="B169" s="4" t="s">
        <v>137</v>
      </c>
      <c r="C169" s="4" t="s">
        <v>319</v>
      </c>
      <c r="D169" s="4" t="s">
        <v>592</v>
      </c>
    </row>
    <row r="170" spans="1:4">
      <c r="A170" s="30" t="s">
        <v>636</v>
      </c>
      <c r="B170" s="4" t="s">
        <v>137</v>
      </c>
      <c r="C170" s="4" t="s">
        <v>319</v>
      </c>
      <c r="D170" s="4" t="s">
        <v>640</v>
      </c>
    </row>
    <row r="172" spans="1:4" ht="14">
      <c r="A172" s="31"/>
      <c r="B172" s="32" t="s">
        <v>92</v>
      </c>
    </row>
    <row r="173" spans="1:4" ht="14">
      <c r="A173" s="33" t="s">
        <v>83</v>
      </c>
      <c r="B173" s="33" t="s">
        <v>84</v>
      </c>
      <c r="C173" s="33" t="s">
        <v>85</v>
      </c>
      <c r="D173" s="33" t="s">
        <v>498</v>
      </c>
    </row>
    <row r="174" spans="1:4">
      <c r="A174" s="30" t="s">
        <v>752</v>
      </c>
      <c r="B174" s="4" t="s">
        <v>93</v>
      </c>
      <c r="C174" s="4" t="s">
        <v>226</v>
      </c>
      <c r="D174" s="4" t="s">
        <v>182</v>
      </c>
    </row>
    <row r="175" spans="1:4">
      <c r="A175" s="30" t="s">
        <v>670</v>
      </c>
      <c r="B175" s="4" t="s">
        <v>93</v>
      </c>
      <c r="C175" s="4" t="s">
        <v>222</v>
      </c>
      <c r="D175" s="4" t="s">
        <v>117</v>
      </c>
    </row>
    <row r="176" spans="1:4">
      <c r="A176" s="30" t="s">
        <v>797</v>
      </c>
      <c r="B176" s="4" t="s">
        <v>93</v>
      </c>
      <c r="C176" s="4" t="s">
        <v>139</v>
      </c>
      <c r="D176" s="4" t="s">
        <v>182</v>
      </c>
    </row>
    <row r="177" spans="1:4">
      <c r="A177" s="30" t="s">
        <v>675</v>
      </c>
      <c r="B177" s="4" t="s">
        <v>93</v>
      </c>
      <c r="C177" s="4" t="s">
        <v>222</v>
      </c>
      <c r="D177" s="4" t="s">
        <v>191</v>
      </c>
    </row>
    <row r="178" spans="1:4">
      <c r="A178" s="30" t="s">
        <v>803</v>
      </c>
      <c r="B178" s="4" t="s">
        <v>93</v>
      </c>
      <c r="C178" s="4" t="s">
        <v>139</v>
      </c>
      <c r="D178" s="4" t="s">
        <v>118</v>
      </c>
    </row>
    <row r="179" spans="1:4">
      <c r="A179" s="30" t="s">
        <v>657</v>
      </c>
      <c r="B179" s="4" t="s">
        <v>93</v>
      </c>
      <c r="C179" s="4" t="s">
        <v>89</v>
      </c>
      <c r="D179" s="4" t="s">
        <v>23</v>
      </c>
    </row>
    <row r="181" spans="1:4" ht="14">
      <c r="A181" s="31"/>
      <c r="B181" s="32" t="s">
        <v>96</v>
      </c>
    </row>
    <row r="182" spans="1:4" ht="14">
      <c r="A182" s="33" t="s">
        <v>83</v>
      </c>
      <c r="B182" s="33" t="s">
        <v>84</v>
      </c>
      <c r="C182" s="33" t="s">
        <v>85</v>
      </c>
      <c r="D182" s="33" t="s">
        <v>498</v>
      </c>
    </row>
    <row r="183" spans="1:4">
      <c r="A183" s="30" t="s">
        <v>756</v>
      </c>
      <c r="B183" s="4" t="s">
        <v>96</v>
      </c>
      <c r="C183" s="4" t="s">
        <v>226</v>
      </c>
      <c r="D183" s="4" t="s">
        <v>760</v>
      </c>
    </row>
    <row r="184" spans="1:4">
      <c r="A184" s="30" t="s">
        <v>709</v>
      </c>
      <c r="B184" s="4" t="s">
        <v>96</v>
      </c>
      <c r="C184" s="4" t="s">
        <v>94</v>
      </c>
      <c r="D184" s="4" t="s">
        <v>399</v>
      </c>
    </row>
    <row r="185" spans="1:4">
      <c r="A185" s="30" t="s">
        <v>857</v>
      </c>
      <c r="B185" s="4" t="s">
        <v>96</v>
      </c>
      <c r="C185" s="4" t="s">
        <v>97</v>
      </c>
      <c r="D185" s="4" t="s">
        <v>297</v>
      </c>
    </row>
    <row r="186" spans="1:4">
      <c r="A186" s="30" t="s">
        <v>807</v>
      </c>
      <c r="B186" s="4" t="s">
        <v>96</v>
      </c>
      <c r="C186" s="4" t="s">
        <v>139</v>
      </c>
      <c r="D186" s="4" t="s">
        <v>358</v>
      </c>
    </row>
    <row r="187" spans="1:4">
      <c r="A187" s="30" t="s">
        <v>812</v>
      </c>
      <c r="B187" s="4" t="s">
        <v>96</v>
      </c>
      <c r="C187" s="4" t="s">
        <v>139</v>
      </c>
      <c r="D187" s="4" t="s">
        <v>358</v>
      </c>
    </row>
    <row r="188" spans="1:4">
      <c r="A188" s="30" t="s">
        <v>763</v>
      </c>
      <c r="B188" s="4" t="s">
        <v>96</v>
      </c>
      <c r="C188" s="4" t="s">
        <v>226</v>
      </c>
      <c r="D188" s="4" t="s">
        <v>55</v>
      </c>
    </row>
    <row r="189" spans="1:4">
      <c r="A189" s="30" t="s">
        <v>817</v>
      </c>
      <c r="B189" s="4" t="s">
        <v>96</v>
      </c>
      <c r="C189" s="4" t="s">
        <v>139</v>
      </c>
      <c r="D189" s="4" t="s">
        <v>30</v>
      </c>
    </row>
    <row r="190" spans="1:4">
      <c r="A190" s="30" t="s">
        <v>767</v>
      </c>
      <c r="B190" s="4" t="s">
        <v>96</v>
      </c>
      <c r="C190" s="4" t="s">
        <v>226</v>
      </c>
      <c r="D190" s="4" t="s">
        <v>182</v>
      </c>
    </row>
    <row r="191" spans="1:4">
      <c r="A191" s="30" t="s">
        <v>680</v>
      </c>
      <c r="B191" s="4" t="s">
        <v>96</v>
      </c>
      <c r="C191" s="4" t="s">
        <v>222</v>
      </c>
      <c r="D191" s="4" t="s">
        <v>117</v>
      </c>
    </row>
    <row r="192" spans="1:4">
      <c r="A192" s="30" t="s">
        <v>861</v>
      </c>
      <c r="B192" s="4" t="s">
        <v>96</v>
      </c>
      <c r="C192" s="4" t="s">
        <v>97</v>
      </c>
      <c r="D192" s="4" t="s">
        <v>46</v>
      </c>
    </row>
    <row r="193" spans="1:4">
      <c r="A193" s="30" t="s">
        <v>903</v>
      </c>
      <c r="B193" s="4" t="s">
        <v>96</v>
      </c>
      <c r="C193" s="4" t="s">
        <v>229</v>
      </c>
      <c r="D193" s="4" t="s">
        <v>30</v>
      </c>
    </row>
    <row r="194" spans="1:4">
      <c r="A194" s="30" t="s">
        <v>865</v>
      </c>
      <c r="B194" s="4" t="s">
        <v>96</v>
      </c>
      <c r="C194" s="4" t="s">
        <v>97</v>
      </c>
      <c r="D194" s="4" t="s">
        <v>335</v>
      </c>
    </row>
    <row r="195" spans="1:4">
      <c r="A195" s="30" t="s">
        <v>870</v>
      </c>
      <c r="B195" s="4" t="s">
        <v>96</v>
      </c>
      <c r="C195" s="4" t="s">
        <v>97</v>
      </c>
      <c r="D195" s="4" t="s">
        <v>182</v>
      </c>
    </row>
    <row r="196" spans="1:4">
      <c r="A196" s="30" t="s">
        <v>662</v>
      </c>
      <c r="B196" s="4" t="s">
        <v>96</v>
      </c>
      <c r="C196" s="4" t="s">
        <v>89</v>
      </c>
      <c r="D196" s="4" t="s">
        <v>32</v>
      </c>
    </row>
    <row r="197" spans="1:4">
      <c r="A197" s="30" t="s">
        <v>714</v>
      </c>
      <c r="B197" s="4" t="s">
        <v>96</v>
      </c>
      <c r="C197" s="4" t="s">
        <v>94</v>
      </c>
      <c r="D197" s="4" t="s">
        <v>173</v>
      </c>
    </row>
    <row r="198" spans="1:4">
      <c r="A198" s="30" t="s">
        <v>642</v>
      </c>
      <c r="B198" s="4" t="s">
        <v>96</v>
      </c>
      <c r="C198" s="4" t="s">
        <v>319</v>
      </c>
      <c r="D198" s="4" t="s">
        <v>262</v>
      </c>
    </row>
    <row r="199" spans="1:4">
      <c r="A199" s="30" t="s">
        <v>718</v>
      </c>
      <c r="B199" s="4" t="s">
        <v>96</v>
      </c>
      <c r="C199" s="4" t="s">
        <v>94</v>
      </c>
      <c r="D199" s="4" t="s">
        <v>256</v>
      </c>
    </row>
    <row r="200" spans="1:4">
      <c r="A200" s="30" t="s">
        <v>822</v>
      </c>
      <c r="B200" s="4" t="s">
        <v>96</v>
      </c>
      <c r="C200" s="4" t="s">
        <v>139</v>
      </c>
      <c r="D200" s="4" t="s">
        <v>33</v>
      </c>
    </row>
    <row r="201" spans="1:4">
      <c r="A201" s="30" t="s">
        <v>686</v>
      </c>
      <c r="B201" s="4" t="s">
        <v>96</v>
      </c>
      <c r="C201" s="4" t="s">
        <v>222</v>
      </c>
      <c r="D201" s="4" t="s">
        <v>248</v>
      </c>
    </row>
    <row r="203" spans="1:4" ht="14">
      <c r="A203" s="31"/>
      <c r="B203" s="32" t="s">
        <v>82</v>
      </c>
    </row>
    <row r="204" spans="1:4" ht="14">
      <c r="A204" s="33" t="s">
        <v>83</v>
      </c>
      <c r="B204" s="33" t="s">
        <v>84</v>
      </c>
      <c r="C204" s="33" t="s">
        <v>85</v>
      </c>
      <c r="D204" s="33" t="s">
        <v>498</v>
      </c>
    </row>
    <row r="205" spans="1:4">
      <c r="A205" s="30" t="s">
        <v>701</v>
      </c>
      <c r="B205" s="4" t="s">
        <v>924</v>
      </c>
      <c r="C205" s="4" t="s">
        <v>222</v>
      </c>
      <c r="D205" s="4" t="s">
        <v>369</v>
      </c>
    </row>
    <row r="206" spans="1:4">
      <c r="A206" s="30" t="s">
        <v>907</v>
      </c>
      <c r="B206" s="4" t="s">
        <v>88</v>
      </c>
      <c r="C206" s="4" t="s">
        <v>229</v>
      </c>
      <c r="D206" s="4" t="s">
        <v>183</v>
      </c>
    </row>
    <row r="207" spans="1:4">
      <c r="A207" s="30" t="s">
        <v>838</v>
      </c>
      <c r="B207" s="4" t="s">
        <v>88</v>
      </c>
      <c r="C207" s="4" t="s">
        <v>139</v>
      </c>
      <c r="D207" s="4" t="s">
        <v>358</v>
      </c>
    </row>
    <row r="208" spans="1:4">
      <c r="A208" s="30" t="s">
        <v>786</v>
      </c>
      <c r="B208" s="4" t="s">
        <v>500</v>
      </c>
      <c r="C208" s="4" t="s">
        <v>226</v>
      </c>
      <c r="D208" s="4" t="s">
        <v>19</v>
      </c>
    </row>
    <row r="209" spans="1:4">
      <c r="A209" s="30" t="s">
        <v>918</v>
      </c>
      <c r="B209" s="4" t="s">
        <v>142</v>
      </c>
      <c r="C209" s="4" t="s">
        <v>502</v>
      </c>
      <c r="D209" s="4" t="s">
        <v>56</v>
      </c>
    </row>
    <row r="210" spans="1:4">
      <c r="A210" s="30" t="s">
        <v>852</v>
      </c>
      <c r="B210" s="4" t="s">
        <v>924</v>
      </c>
      <c r="C210" s="4" t="s">
        <v>139</v>
      </c>
      <c r="D210" s="4" t="s">
        <v>856</v>
      </c>
    </row>
    <row r="211" spans="1:4">
      <c r="A211" s="30" t="s">
        <v>743</v>
      </c>
      <c r="B211" s="4" t="s">
        <v>924</v>
      </c>
      <c r="C211" s="4" t="s">
        <v>94</v>
      </c>
      <c r="D211" s="4" t="s">
        <v>32</v>
      </c>
    </row>
    <row r="212" spans="1:4">
      <c r="A212" s="30" t="s">
        <v>812</v>
      </c>
      <c r="B212" s="4" t="s">
        <v>100</v>
      </c>
      <c r="C212" s="4" t="s">
        <v>139</v>
      </c>
      <c r="D212" s="4" t="s">
        <v>358</v>
      </c>
    </row>
    <row r="213" spans="1:4">
      <c r="A213" s="30" t="s">
        <v>913</v>
      </c>
      <c r="B213" s="4" t="s">
        <v>500</v>
      </c>
      <c r="C213" s="4" t="s">
        <v>229</v>
      </c>
      <c r="D213" s="4" t="s">
        <v>167</v>
      </c>
    </row>
    <row r="214" spans="1:4">
      <c r="A214" s="30" t="s">
        <v>885</v>
      </c>
      <c r="B214" s="4" t="s">
        <v>329</v>
      </c>
      <c r="C214" s="4" t="s">
        <v>97</v>
      </c>
      <c r="D214" s="4" t="s">
        <v>174</v>
      </c>
    </row>
    <row r="215" spans="1:4">
      <c r="A215" s="30" t="s">
        <v>732</v>
      </c>
      <c r="B215" s="4" t="s">
        <v>142</v>
      </c>
      <c r="C215" s="4" t="s">
        <v>94</v>
      </c>
      <c r="D215" s="4" t="s">
        <v>190</v>
      </c>
    </row>
    <row r="216" spans="1:4">
      <c r="A216" s="30" t="s">
        <v>691</v>
      </c>
      <c r="B216" s="4" t="s">
        <v>100</v>
      </c>
      <c r="C216" s="4" t="s">
        <v>222</v>
      </c>
      <c r="D216" s="4" t="s">
        <v>182</v>
      </c>
    </row>
    <row r="217" spans="1:4">
      <c r="A217" s="30" t="s">
        <v>843</v>
      </c>
      <c r="B217" s="4" t="s">
        <v>142</v>
      </c>
      <c r="C217" s="4" t="s">
        <v>139</v>
      </c>
      <c r="D217" s="4" t="s">
        <v>19</v>
      </c>
    </row>
    <row r="218" spans="1:4">
      <c r="A218" s="30" t="s">
        <v>647</v>
      </c>
      <c r="B218" s="4" t="s">
        <v>501</v>
      </c>
      <c r="C218" s="4" t="s">
        <v>319</v>
      </c>
      <c r="D218" s="4" t="s">
        <v>166</v>
      </c>
    </row>
    <row r="219" spans="1:4">
      <c r="A219" s="30" t="s">
        <v>878</v>
      </c>
      <c r="B219" s="4" t="s">
        <v>100</v>
      </c>
      <c r="C219" s="4" t="s">
        <v>97</v>
      </c>
      <c r="D219" s="4" t="s">
        <v>31</v>
      </c>
    </row>
    <row r="220" spans="1:4">
      <c r="A220" s="30" t="s">
        <v>847</v>
      </c>
      <c r="B220" s="4" t="s">
        <v>142</v>
      </c>
      <c r="C220" s="4" t="s">
        <v>139</v>
      </c>
      <c r="D220" s="4" t="s">
        <v>18</v>
      </c>
    </row>
    <row r="221" spans="1:4">
      <c r="A221" s="30" t="s">
        <v>889</v>
      </c>
      <c r="B221" s="4" t="s">
        <v>88</v>
      </c>
      <c r="C221" s="4" t="s">
        <v>97</v>
      </c>
      <c r="D221" s="4" t="s">
        <v>19</v>
      </c>
    </row>
    <row r="222" spans="1:4">
      <c r="A222" s="30" t="s">
        <v>792</v>
      </c>
      <c r="B222" s="4" t="s">
        <v>500</v>
      </c>
      <c r="C222" s="4" t="s">
        <v>226</v>
      </c>
      <c r="D222" s="4" t="s">
        <v>200</v>
      </c>
    </row>
    <row r="223" spans="1:4">
      <c r="A223" s="30" t="s">
        <v>737</v>
      </c>
      <c r="B223" s="4" t="s">
        <v>142</v>
      </c>
      <c r="C223" s="4" t="s">
        <v>94</v>
      </c>
      <c r="D223" s="4" t="s">
        <v>34</v>
      </c>
    </row>
    <row r="224" spans="1:4">
      <c r="A224" s="30" t="s">
        <v>726</v>
      </c>
      <c r="B224" s="4" t="s">
        <v>88</v>
      </c>
      <c r="C224" s="4" t="s">
        <v>94</v>
      </c>
      <c r="D224" s="4" t="s">
        <v>173</v>
      </c>
    </row>
    <row r="225" spans="1:4">
      <c r="A225" s="30" t="s">
        <v>696</v>
      </c>
      <c r="B225" s="4" t="s">
        <v>88</v>
      </c>
      <c r="C225" s="4" t="s">
        <v>222</v>
      </c>
      <c r="D225" s="4" t="s">
        <v>34</v>
      </c>
    </row>
    <row r="226" spans="1:4">
      <c r="A226" s="30" t="s">
        <v>771</v>
      </c>
      <c r="B226" s="4" t="s">
        <v>100</v>
      </c>
      <c r="C226" s="4" t="s">
        <v>226</v>
      </c>
      <c r="D226" s="4" t="s">
        <v>20</v>
      </c>
    </row>
    <row r="227" spans="1:4">
      <c r="A227" s="30" t="s">
        <v>778</v>
      </c>
      <c r="B227" s="4" t="s">
        <v>329</v>
      </c>
      <c r="C227" s="4" t="s">
        <v>226</v>
      </c>
      <c r="D227" s="4" t="s">
        <v>167</v>
      </c>
    </row>
    <row r="228" spans="1:4">
      <c r="A228" s="30" t="s">
        <v>895</v>
      </c>
      <c r="B228" s="4" t="s">
        <v>142</v>
      </c>
      <c r="C228" s="4" t="s">
        <v>97</v>
      </c>
      <c r="D228" s="4" t="s">
        <v>173</v>
      </c>
    </row>
  </sheetData>
  <mergeCells count="26">
    <mergeCell ref="A101:I101"/>
    <mergeCell ref="A115:I115"/>
    <mergeCell ref="A120:I120"/>
    <mergeCell ref="A36:I36"/>
    <mergeCell ref="A42:I42"/>
    <mergeCell ref="A48:I48"/>
    <mergeCell ref="A58:I58"/>
    <mergeCell ref="A72:I72"/>
    <mergeCell ref="A84:I84"/>
    <mergeCell ref="A33:I33"/>
    <mergeCell ref="J3:J4"/>
    <mergeCell ref="K3:K4"/>
    <mergeCell ref="L3:L4"/>
    <mergeCell ref="A5:I5"/>
    <mergeCell ref="A9:I9"/>
    <mergeCell ref="A16:I16"/>
    <mergeCell ref="A20:I20"/>
    <mergeCell ref="A25:I25"/>
    <mergeCell ref="A29:I29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0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27.5" style="4" bestFit="1" customWidth="1"/>
    <col min="6" max="8" width="5.5" style="3" customWidth="1"/>
    <col min="9" max="9" width="4.83203125" style="3" customWidth="1"/>
    <col min="10" max="10" width="12.5" style="19" customWidth="1"/>
    <col min="11" max="11" width="8.5" style="2" bestFit="1" customWidth="1"/>
    <col min="12" max="12" width="13.83203125" style="4" bestFit="1" customWidth="1"/>
    <col min="13" max="16384" width="9.1640625" style="3"/>
  </cols>
  <sheetData>
    <row r="1" spans="1:12" s="2" customFormat="1" ht="29" customHeight="1">
      <c r="A1" s="40" t="s">
        <v>1172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10</v>
      </c>
      <c r="G3" s="34"/>
      <c r="H3" s="34"/>
      <c r="I3" s="34"/>
      <c r="J3" s="34" t="s">
        <v>503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35"/>
      <c r="K4" s="35"/>
      <c r="L4" s="37"/>
    </row>
    <row r="5" spans="1:12" ht="16">
      <c r="A5" s="38" t="s">
        <v>251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1156</v>
      </c>
      <c r="B6" s="6" t="s">
        <v>1157</v>
      </c>
      <c r="C6" s="6" t="s">
        <v>255</v>
      </c>
      <c r="D6" s="6" t="s">
        <v>1180</v>
      </c>
      <c r="E6" s="6" t="s">
        <v>353</v>
      </c>
      <c r="F6" s="7" t="s">
        <v>669</v>
      </c>
      <c r="G6" s="8" t="s">
        <v>369</v>
      </c>
      <c r="H6" s="7" t="s">
        <v>369</v>
      </c>
      <c r="I6" s="8"/>
      <c r="J6" s="20" t="str">
        <f>"135,0"</f>
        <v>135,0</v>
      </c>
      <c r="K6" s="21" t="str">
        <f>"152,0910"</f>
        <v>152,0910</v>
      </c>
      <c r="L6" s="6" t="s">
        <v>1208</v>
      </c>
    </row>
    <row r="16" spans="1:12" ht="18">
      <c r="A16" s="28" t="s">
        <v>80</v>
      </c>
      <c r="B16" s="28"/>
    </row>
    <row r="17" spans="1:4" ht="16">
      <c r="A17" s="29" t="s">
        <v>81</v>
      </c>
      <c r="B17" s="29"/>
    </row>
    <row r="18" spans="1:4" ht="14">
      <c r="A18" s="31"/>
      <c r="B18" s="32" t="s">
        <v>82</v>
      </c>
    </row>
    <row r="19" spans="1:4" ht="14">
      <c r="A19" s="33" t="s">
        <v>83</v>
      </c>
      <c r="B19" s="33" t="s">
        <v>84</v>
      </c>
      <c r="C19" s="33" t="s">
        <v>85</v>
      </c>
      <c r="D19" s="33" t="s">
        <v>498</v>
      </c>
    </row>
    <row r="20" spans="1:4">
      <c r="A20" s="30" t="s">
        <v>1155</v>
      </c>
      <c r="B20" s="4" t="s">
        <v>100</v>
      </c>
      <c r="C20" s="4" t="s">
        <v>320</v>
      </c>
      <c r="D20" s="4" t="s">
        <v>369</v>
      </c>
    </row>
  </sheetData>
  <mergeCells count="11"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33"/>
  <sheetViews>
    <sheetView tabSelected="1" workbookViewId="0">
      <selection activeCell="G33" sqref="G33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6.1640625" style="4" bestFit="1" customWidth="1"/>
    <col min="6" max="8" width="5.5" style="3" customWidth="1"/>
    <col min="9" max="9" width="4.83203125" style="3" customWidth="1"/>
    <col min="10" max="10" width="7.83203125" style="19" bestFit="1" customWidth="1"/>
    <col min="11" max="11" width="8.5" style="2" bestFit="1" customWidth="1"/>
    <col min="12" max="12" width="24.1640625" style="4" bestFit="1" customWidth="1"/>
    <col min="13" max="16384" width="9.1640625" style="3"/>
  </cols>
  <sheetData>
    <row r="1" spans="1:12" s="2" customFormat="1" ht="29" customHeight="1">
      <c r="A1" s="40" t="s">
        <v>1173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10</v>
      </c>
      <c r="G3" s="34"/>
      <c r="H3" s="34"/>
      <c r="I3" s="34"/>
      <c r="J3" s="34" t="s">
        <v>503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35"/>
      <c r="K4" s="35"/>
      <c r="L4" s="37"/>
    </row>
    <row r="5" spans="1:12" ht="16">
      <c r="A5" s="38" t="s">
        <v>233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557</v>
      </c>
      <c r="B6" s="6" t="s">
        <v>558</v>
      </c>
      <c r="C6" s="6" t="s">
        <v>559</v>
      </c>
      <c r="D6" s="6" t="s">
        <v>1178</v>
      </c>
      <c r="E6" s="6" t="s">
        <v>29</v>
      </c>
      <c r="F6" s="7" t="s">
        <v>249</v>
      </c>
      <c r="G6" s="7" t="s">
        <v>32</v>
      </c>
      <c r="H6" s="8" t="s">
        <v>256</v>
      </c>
      <c r="I6" s="8"/>
      <c r="J6" s="20" t="str">
        <f>"110,0"</f>
        <v>110,0</v>
      </c>
      <c r="K6" s="21" t="str">
        <f>"147,2570"</f>
        <v>147,2570</v>
      </c>
      <c r="L6" s="6" t="s">
        <v>560</v>
      </c>
    </row>
    <row r="8" spans="1:12" ht="16">
      <c r="A8" s="49" t="s">
        <v>561</v>
      </c>
      <c r="B8" s="49"/>
      <c r="C8" s="49"/>
      <c r="D8" s="49"/>
      <c r="E8" s="49"/>
      <c r="F8" s="49"/>
      <c r="G8" s="49"/>
      <c r="H8" s="49"/>
      <c r="I8" s="49"/>
    </row>
    <row r="9" spans="1:12">
      <c r="A9" s="9" t="s">
        <v>1033</v>
      </c>
      <c r="B9" s="9" t="s">
        <v>1034</v>
      </c>
      <c r="C9" s="9" t="s">
        <v>1035</v>
      </c>
      <c r="D9" s="9" t="s">
        <v>1182</v>
      </c>
      <c r="E9" s="9" t="s">
        <v>29</v>
      </c>
      <c r="F9" s="10" t="s">
        <v>173</v>
      </c>
      <c r="G9" s="10" t="s">
        <v>369</v>
      </c>
      <c r="H9" s="10" t="s">
        <v>18</v>
      </c>
      <c r="I9" s="11"/>
      <c r="J9" s="22" t="str">
        <f>"140,0"</f>
        <v>140,0</v>
      </c>
      <c r="K9" s="23" t="str">
        <f>"174,5240"</f>
        <v>174,5240</v>
      </c>
      <c r="L9" s="9" t="s">
        <v>1036</v>
      </c>
    </row>
    <row r="10" spans="1:12">
      <c r="A10" s="12" t="s">
        <v>1033</v>
      </c>
      <c r="B10" s="12" t="s">
        <v>1037</v>
      </c>
      <c r="C10" s="12" t="s">
        <v>1035</v>
      </c>
      <c r="D10" s="12" t="s">
        <v>1178</v>
      </c>
      <c r="E10" s="12" t="s">
        <v>29</v>
      </c>
      <c r="F10" s="14" t="s">
        <v>173</v>
      </c>
      <c r="G10" s="14" t="s">
        <v>369</v>
      </c>
      <c r="H10" s="14" t="s">
        <v>18</v>
      </c>
      <c r="I10" s="13"/>
      <c r="J10" s="24" t="str">
        <f>"140,0"</f>
        <v>140,0</v>
      </c>
      <c r="K10" s="25" t="str">
        <f>"174,5240"</f>
        <v>174,5240</v>
      </c>
      <c r="L10" s="12" t="s">
        <v>1036</v>
      </c>
    </row>
    <row r="11" spans="1:12">
      <c r="A11" s="15" t="s">
        <v>1039</v>
      </c>
      <c r="B11" s="15" t="s">
        <v>1040</v>
      </c>
      <c r="C11" s="15" t="s">
        <v>1041</v>
      </c>
      <c r="D11" s="15" t="s">
        <v>1178</v>
      </c>
      <c r="E11" s="15" t="s">
        <v>29</v>
      </c>
      <c r="F11" s="16" t="s">
        <v>200</v>
      </c>
      <c r="G11" s="16" t="s">
        <v>160</v>
      </c>
      <c r="H11" s="17" t="s">
        <v>669</v>
      </c>
      <c r="I11" s="17"/>
      <c r="J11" s="26" t="str">
        <f>"122,5"</f>
        <v>122,5</v>
      </c>
      <c r="K11" s="27" t="str">
        <f>"156,8980"</f>
        <v>156,8980</v>
      </c>
      <c r="L11" s="15" t="s">
        <v>1042</v>
      </c>
    </row>
    <row r="13" spans="1:12" ht="16">
      <c r="A13" s="49" t="s">
        <v>243</v>
      </c>
      <c r="B13" s="49"/>
      <c r="C13" s="49"/>
      <c r="D13" s="49"/>
      <c r="E13" s="49"/>
      <c r="F13" s="49"/>
      <c r="G13" s="49"/>
      <c r="H13" s="49"/>
      <c r="I13" s="49"/>
    </row>
    <row r="14" spans="1:12">
      <c r="A14" s="9" t="s">
        <v>1044</v>
      </c>
      <c r="B14" s="9" t="s">
        <v>1045</v>
      </c>
      <c r="C14" s="9" t="s">
        <v>639</v>
      </c>
      <c r="D14" s="9" t="s">
        <v>1182</v>
      </c>
      <c r="E14" s="9" t="s">
        <v>946</v>
      </c>
      <c r="F14" s="10" t="s">
        <v>275</v>
      </c>
      <c r="G14" s="10" t="s">
        <v>33</v>
      </c>
      <c r="H14" s="11" t="s">
        <v>34</v>
      </c>
      <c r="I14" s="11"/>
      <c r="J14" s="22" t="str">
        <f>"115,0"</f>
        <v>115,0</v>
      </c>
      <c r="K14" s="23" t="str">
        <f>"138,2185"</f>
        <v>138,2185</v>
      </c>
      <c r="L14" s="9" t="s">
        <v>1190</v>
      </c>
    </row>
    <row r="15" spans="1:12">
      <c r="A15" s="15" t="s">
        <v>1047</v>
      </c>
      <c r="B15" s="15" t="s">
        <v>1048</v>
      </c>
      <c r="C15" s="15" t="s">
        <v>1049</v>
      </c>
      <c r="D15" s="15" t="s">
        <v>1178</v>
      </c>
      <c r="E15" s="15" t="s">
        <v>29</v>
      </c>
      <c r="F15" s="16" t="s">
        <v>34</v>
      </c>
      <c r="G15" s="16" t="s">
        <v>190</v>
      </c>
      <c r="H15" s="16" t="s">
        <v>173</v>
      </c>
      <c r="I15" s="17"/>
      <c r="J15" s="26" t="str">
        <f>"130,0"</f>
        <v>130,0</v>
      </c>
      <c r="K15" s="27" t="str">
        <f>"155,3500"</f>
        <v>155,3500</v>
      </c>
      <c r="L15" s="15" t="s">
        <v>1050</v>
      </c>
    </row>
    <row r="17" spans="1:12" ht="16">
      <c r="A17" s="49" t="s">
        <v>251</v>
      </c>
      <c r="B17" s="49"/>
      <c r="C17" s="49"/>
      <c r="D17" s="49"/>
      <c r="E17" s="49"/>
      <c r="F17" s="49"/>
      <c r="G17" s="49"/>
      <c r="H17" s="49"/>
      <c r="I17" s="49"/>
    </row>
    <row r="18" spans="1:12">
      <c r="A18" s="6" t="s">
        <v>1051</v>
      </c>
      <c r="B18" s="6" t="s">
        <v>1052</v>
      </c>
      <c r="C18" s="6" t="s">
        <v>255</v>
      </c>
      <c r="D18" s="6" t="s">
        <v>1178</v>
      </c>
      <c r="E18" s="6" t="s">
        <v>17</v>
      </c>
      <c r="F18" s="8" t="s">
        <v>33</v>
      </c>
      <c r="G18" s="8" t="s">
        <v>34</v>
      </c>
      <c r="H18" s="8"/>
      <c r="I18" s="8"/>
      <c r="J18" s="20" t="str">
        <f>"0.00"</f>
        <v>0.00</v>
      </c>
      <c r="K18" s="21" t="str">
        <f>"0,0000"</f>
        <v>0,0000</v>
      </c>
      <c r="L18" s="6" t="s">
        <v>1053</v>
      </c>
    </row>
    <row r="20" spans="1:12" ht="16">
      <c r="A20" s="49" t="s">
        <v>11</v>
      </c>
      <c r="B20" s="49"/>
      <c r="C20" s="49"/>
      <c r="D20" s="49"/>
      <c r="E20" s="49"/>
      <c r="F20" s="49"/>
      <c r="G20" s="49"/>
      <c r="H20" s="49"/>
      <c r="I20" s="49"/>
    </row>
    <row r="21" spans="1:12">
      <c r="A21" s="9" t="s">
        <v>1055</v>
      </c>
      <c r="B21" s="9" t="s">
        <v>1056</v>
      </c>
      <c r="C21" s="9" t="s">
        <v>1057</v>
      </c>
      <c r="D21" s="9" t="s">
        <v>1178</v>
      </c>
      <c r="E21" s="9" t="s">
        <v>29</v>
      </c>
      <c r="F21" s="10" t="s">
        <v>19</v>
      </c>
      <c r="G21" s="11" t="s">
        <v>20</v>
      </c>
      <c r="H21" s="11" t="s">
        <v>46</v>
      </c>
      <c r="I21" s="11"/>
      <c r="J21" s="22" t="str">
        <f>"150,0"</f>
        <v>150,0</v>
      </c>
      <c r="K21" s="23" t="str">
        <f>"155,0850"</f>
        <v>155,0850</v>
      </c>
      <c r="L21" s="9" t="s">
        <v>1058</v>
      </c>
    </row>
    <row r="22" spans="1:12">
      <c r="A22" s="15" t="s">
        <v>1060</v>
      </c>
      <c r="B22" s="15" t="s">
        <v>1061</v>
      </c>
      <c r="C22" s="15" t="s">
        <v>1062</v>
      </c>
      <c r="D22" s="15" t="s">
        <v>1178</v>
      </c>
      <c r="E22" s="15" t="s">
        <v>1063</v>
      </c>
      <c r="F22" s="16" t="s">
        <v>190</v>
      </c>
      <c r="G22" s="16" t="s">
        <v>117</v>
      </c>
      <c r="H22" s="16" t="s">
        <v>781</v>
      </c>
      <c r="I22" s="17"/>
      <c r="J22" s="26" t="str">
        <f>"142,5"</f>
        <v>142,5</v>
      </c>
      <c r="K22" s="27" t="str">
        <f>"146,3760"</f>
        <v>146,3760</v>
      </c>
      <c r="L22" s="15" t="s">
        <v>1064</v>
      </c>
    </row>
    <row r="24" spans="1:12" ht="16">
      <c r="A24" s="49" t="s">
        <v>11</v>
      </c>
      <c r="B24" s="49"/>
      <c r="C24" s="49"/>
      <c r="D24" s="49"/>
      <c r="E24" s="49"/>
      <c r="F24" s="49"/>
      <c r="G24" s="49"/>
      <c r="H24" s="49"/>
      <c r="I24" s="49"/>
    </row>
    <row r="25" spans="1:12">
      <c r="A25" s="9" t="s">
        <v>1066</v>
      </c>
      <c r="B25" s="9" t="s">
        <v>1067</v>
      </c>
      <c r="C25" s="9" t="s">
        <v>1068</v>
      </c>
      <c r="D25" s="9" t="s">
        <v>1182</v>
      </c>
      <c r="E25" s="9" t="s">
        <v>189</v>
      </c>
      <c r="F25" s="11" t="s">
        <v>369</v>
      </c>
      <c r="G25" s="10" t="s">
        <v>369</v>
      </c>
      <c r="H25" s="11" t="s">
        <v>19</v>
      </c>
      <c r="I25" s="11"/>
      <c r="J25" s="22" t="str">
        <f>"135,0"</f>
        <v>135,0</v>
      </c>
      <c r="K25" s="23" t="str">
        <f>"107,3520"</f>
        <v>107,3520</v>
      </c>
      <c r="L25" s="9" t="s">
        <v>1209</v>
      </c>
    </row>
    <row r="26" spans="1:12">
      <c r="A26" s="12" t="s">
        <v>658</v>
      </c>
      <c r="B26" s="12" t="s">
        <v>659</v>
      </c>
      <c r="C26" s="12" t="s">
        <v>660</v>
      </c>
      <c r="D26" s="12" t="s">
        <v>1179</v>
      </c>
      <c r="E26" s="12" t="s">
        <v>29</v>
      </c>
      <c r="F26" s="14" t="s">
        <v>19</v>
      </c>
      <c r="G26" s="14" t="s">
        <v>55</v>
      </c>
      <c r="H26" s="13"/>
      <c r="I26" s="13"/>
      <c r="J26" s="24" t="str">
        <f>"167,5"</f>
        <v>167,5</v>
      </c>
      <c r="K26" s="25" t="str">
        <f>"131,5210"</f>
        <v>131,5210</v>
      </c>
      <c r="L26" s="12" t="s">
        <v>661</v>
      </c>
    </row>
    <row r="27" spans="1:12">
      <c r="A27" s="15" t="s">
        <v>1070</v>
      </c>
      <c r="B27" s="15" t="s">
        <v>1071</v>
      </c>
      <c r="C27" s="15" t="s">
        <v>1072</v>
      </c>
      <c r="D27" s="15" t="s">
        <v>1178</v>
      </c>
      <c r="E27" s="15" t="s">
        <v>368</v>
      </c>
      <c r="F27" s="16" t="s">
        <v>297</v>
      </c>
      <c r="G27" s="16" t="s">
        <v>199</v>
      </c>
      <c r="H27" s="17" t="s">
        <v>183</v>
      </c>
      <c r="I27" s="17"/>
      <c r="J27" s="26" t="str">
        <f>"205,0"</f>
        <v>205,0</v>
      </c>
      <c r="K27" s="27" t="str">
        <f>"164,7175"</f>
        <v>164,7175</v>
      </c>
      <c r="L27" s="15"/>
    </row>
    <row r="29" spans="1:12" ht="16">
      <c r="A29" s="49" t="s">
        <v>25</v>
      </c>
      <c r="B29" s="49"/>
      <c r="C29" s="49"/>
      <c r="D29" s="49"/>
      <c r="E29" s="49"/>
      <c r="F29" s="49"/>
      <c r="G29" s="49"/>
      <c r="H29" s="49"/>
      <c r="I29" s="49"/>
    </row>
    <row r="30" spans="1:12">
      <c r="A30" s="9" t="s">
        <v>1074</v>
      </c>
      <c r="B30" s="9" t="s">
        <v>1075</v>
      </c>
      <c r="C30" s="9" t="s">
        <v>1076</v>
      </c>
      <c r="D30" s="9" t="s">
        <v>1182</v>
      </c>
      <c r="E30" s="9" t="s">
        <v>1063</v>
      </c>
      <c r="F30" s="10" t="s">
        <v>781</v>
      </c>
      <c r="G30" s="10" t="s">
        <v>334</v>
      </c>
      <c r="H30" s="10" t="s">
        <v>335</v>
      </c>
      <c r="I30" s="11"/>
      <c r="J30" s="22" t="str">
        <f>"162,5"</f>
        <v>162,5</v>
      </c>
      <c r="K30" s="23" t="str">
        <f>"120,2175"</f>
        <v>120,2175</v>
      </c>
      <c r="L30" s="9" t="s">
        <v>1064</v>
      </c>
    </row>
    <row r="31" spans="1:12">
      <c r="A31" s="12" t="s">
        <v>1077</v>
      </c>
      <c r="B31" s="12" t="s">
        <v>1078</v>
      </c>
      <c r="C31" s="12" t="s">
        <v>1079</v>
      </c>
      <c r="D31" s="12" t="s">
        <v>1182</v>
      </c>
      <c r="E31" s="12" t="s">
        <v>1080</v>
      </c>
      <c r="F31" s="14" t="s">
        <v>33</v>
      </c>
      <c r="G31" s="14" t="s">
        <v>190</v>
      </c>
      <c r="H31" s="14" t="s">
        <v>191</v>
      </c>
      <c r="I31" s="13"/>
      <c r="J31" s="24" t="str">
        <f>"132,5"</f>
        <v>132,5</v>
      </c>
      <c r="K31" s="25" t="str">
        <f>"96,6323"</f>
        <v>96,6323</v>
      </c>
      <c r="L31" s="12" t="s">
        <v>1081</v>
      </c>
    </row>
    <row r="32" spans="1:12">
      <c r="A32" s="12" t="s">
        <v>1083</v>
      </c>
      <c r="B32" s="12" t="s">
        <v>1084</v>
      </c>
      <c r="C32" s="12" t="s">
        <v>1085</v>
      </c>
      <c r="D32" s="12" t="s">
        <v>1178</v>
      </c>
      <c r="E32" s="12" t="s">
        <v>1086</v>
      </c>
      <c r="F32" s="13" t="s">
        <v>199</v>
      </c>
      <c r="G32" s="14" t="s">
        <v>199</v>
      </c>
      <c r="H32" s="13" t="s">
        <v>183</v>
      </c>
      <c r="I32" s="13"/>
      <c r="J32" s="24" t="str">
        <f>"205,0"</f>
        <v>205,0</v>
      </c>
      <c r="K32" s="25" t="str">
        <f>"146,9030"</f>
        <v>146,9030</v>
      </c>
      <c r="L32" s="12" t="s">
        <v>1087</v>
      </c>
    </row>
    <row r="33" spans="1:12">
      <c r="A33" s="15" t="s">
        <v>1089</v>
      </c>
      <c r="B33" s="15" t="s">
        <v>1090</v>
      </c>
      <c r="C33" s="15" t="s">
        <v>1091</v>
      </c>
      <c r="D33" s="15" t="s">
        <v>1186</v>
      </c>
      <c r="E33" s="15" t="s">
        <v>29</v>
      </c>
      <c r="F33" s="16" t="s">
        <v>35</v>
      </c>
      <c r="G33" s="16" t="s">
        <v>183</v>
      </c>
      <c r="H33" s="16" t="s">
        <v>129</v>
      </c>
      <c r="I33" s="17"/>
      <c r="J33" s="26" t="str">
        <f>"220,0"</f>
        <v>220,0</v>
      </c>
      <c r="K33" s="27" t="str">
        <f>"165,6962"</f>
        <v>165,6962</v>
      </c>
      <c r="L33" s="15" t="s">
        <v>1092</v>
      </c>
    </row>
    <row r="35" spans="1:12" ht="16">
      <c r="A35" s="49" t="s">
        <v>37</v>
      </c>
      <c r="B35" s="49"/>
      <c r="C35" s="49"/>
      <c r="D35" s="49"/>
      <c r="E35" s="49"/>
      <c r="F35" s="49"/>
      <c r="G35" s="49"/>
      <c r="H35" s="49"/>
      <c r="I35" s="49"/>
    </row>
    <row r="36" spans="1:12">
      <c r="A36" s="9" t="s">
        <v>1094</v>
      </c>
      <c r="B36" s="9" t="s">
        <v>1095</v>
      </c>
      <c r="C36" s="9" t="s">
        <v>1096</v>
      </c>
      <c r="D36" s="9" t="s">
        <v>1179</v>
      </c>
      <c r="E36" s="9" t="s">
        <v>700</v>
      </c>
      <c r="F36" s="10" t="s">
        <v>18</v>
      </c>
      <c r="G36" s="11" t="s">
        <v>182</v>
      </c>
      <c r="H36" s="10" t="s">
        <v>182</v>
      </c>
      <c r="I36" s="11"/>
      <c r="J36" s="22" t="str">
        <f>"155,0"</f>
        <v>155,0</v>
      </c>
      <c r="K36" s="23" t="str">
        <f>"104,1445"</f>
        <v>104,1445</v>
      </c>
      <c r="L36" s="9"/>
    </row>
    <row r="37" spans="1:12">
      <c r="A37" s="12" t="s">
        <v>1098</v>
      </c>
      <c r="B37" s="12" t="s">
        <v>1099</v>
      </c>
      <c r="C37" s="12" t="s">
        <v>1100</v>
      </c>
      <c r="D37" s="12" t="s">
        <v>1178</v>
      </c>
      <c r="E37" s="12" t="s">
        <v>29</v>
      </c>
      <c r="F37" s="14" t="s">
        <v>138</v>
      </c>
      <c r="G37" s="14" t="s">
        <v>129</v>
      </c>
      <c r="H37" s="13" t="s">
        <v>69</v>
      </c>
      <c r="I37" s="13"/>
      <c r="J37" s="24" t="str">
        <f>"220,0"</f>
        <v>220,0</v>
      </c>
      <c r="K37" s="25" t="str">
        <f>"148,9180"</f>
        <v>148,9180</v>
      </c>
      <c r="L37" s="12"/>
    </row>
    <row r="38" spans="1:12">
      <c r="A38" s="12" t="s">
        <v>1102</v>
      </c>
      <c r="B38" s="12" t="s">
        <v>1103</v>
      </c>
      <c r="C38" s="12" t="s">
        <v>1104</v>
      </c>
      <c r="D38" s="12" t="s">
        <v>1192</v>
      </c>
      <c r="E38" s="12" t="s">
        <v>1105</v>
      </c>
      <c r="F38" s="14" t="s">
        <v>201</v>
      </c>
      <c r="G38" s="13" t="s">
        <v>1106</v>
      </c>
      <c r="H38" s="13"/>
      <c r="I38" s="13"/>
      <c r="J38" s="24" t="str">
        <f>"212,5"</f>
        <v>212,5</v>
      </c>
      <c r="K38" s="25" t="str">
        <f>"213,2157"</f>
        <v>213,2157</v>
      </c>
      <c r="L38" s="12" t="s">
        <v>1107</v>
      </c>
    </row>
    <row r="39" spans="1:12">
      <c r="A39" s="15" t="s">
        <v>748</v>
      </c>
      <c r="B39" s="15" t="s">
        <v>749</v>
      </c>
      <c r="C39" s="15" t="s">
        <v>750</v>
      </c>
      <c r="D39" s="15" t="s">
        <v>1185</v>
      </c>
      <c r="E39" s="15" t="s">
        <v>353</v>
      </c>
      <c r="F39" s="16" t="s">
        <v>369</v>
      </c>
      <c r="G39" s="16" t="s">
        <v>18</v>
      </c>
      <c r="H39" s="16" t="s">
        <v>118</v>
      </c>
      <c r="I39" s="17"/>
      <c r="J39" s="26" t="str">
        <f>"145,0"</f>
        <v>145,0</v>
      </c>
      <c r="K39" s="27" t="str">
        <f>"182,0751"</f>
        <v>182,0751</v>
      </c>
      <c r="L39" s="15" t="s">
        <v>751</v>
      </c>
    </row>
    <row r="41" spans="1:12" ht="16">
      <c r="A41" s="49" t="s">
        <v>184</v>
      </c>
      <c r="B41" s="49"/>
      <c r="C41" s="49"/>
      <c r="D41" s="49"/>
      <c r="E41" s="49"/>
      <c r="F41" s="49"/>
      <c r="G41" s="49"/>
      <c r="H41" s="49"/>
      <c r="I41" s="49"/>
    </row>
    <row r="42" spans="1:12">
      <c r="A42" s="9" t="s">
        <v>1109</v>
      </c>
      <c r="B42" s="9" t="s">
        <v>1110</v>
      </c>
      <c r="C42" s="9" t="s">
        <v>770</v>
      </c>
      <c r="D42" s="9" t="s">
        <v>1178</v>
      </c>
      <c r="E42" s="9" t="s">
        <v>29</v>
      </c>
      <c r="F42" s="10" t="s">
        <v>129</v>
      </c>
      <c r="G42" s="10" t="s">
        <v>70</v>
      </c>
      <c r="H42" s="11" t="s">
        <v>1111</v>
      </c>
      <c r="I42" s="11"/>
      <c r="J42" s="22" t="str">
        <f>"230,0"</f>
        <v>230,0</v>
      </c>
      <c r="K42" s="23" t="str">
        <f>"149,4770"</f>
        <v>149,4770</v>
      </c>
      <c r="L42" s="9" t="s">
        <v>1112</v>
      </c>
    </row>
    <row r="43" spans="1:12">
      <c r="A43" s="12" t="s">
        <v>1114</v>
      </c>
      <c r="B43" s="12" t="s">
        <v>1115</v>
      </c>
      <c r="C43" s="12" t="s">
        <v>1116</v>
      </c>
      <c r="D43" s="12" t="s">
        <v>1178</v>
      </c>
      <c r="E43" s="12" t="s">
        <v>29</v>
      </c>
      <c r="F43" s="14" t="s">
        <v>129</v>
      </c>
      <c r="G43" s="14" t="s">
        <v>70</v>
      </c>
      <c r="H43" s="13" t="s">
        <v>1111</v>
      </c>
      <c r="I43" s="13"/>
      <c r="J43" s="24" t="str">
        <f>"230,0"</f>
        <v>230,0</v>
      </c>
      <c r="K43" s="25" t="str">
        <f>"148,9250"</f>
        <v>148,9250</v>
      </c>
      <c r="L43" s="12" t="s">
        <v>1210</v>
      </c>
    </row>
    <row r="44" spans="1:12">
      <c r="A44" s="12" t="s">
        <v>1118</v>
      </c>
      <c r="B44" s="12" t="s">
        <v>1119</v>
      </c>
      <c r="C44" s="12" t="s">
        <v>384</v>
      </c>
      <c r="D44" s="12" t="s">
        <v>1178</v>
      </c>
      <c r="E44" s="12" t="s">
        <v>398</v>
      </c>
      <c r="F44" s="14" t="s">
        <v>56</v>
      </c>
      <c r="G44" s="14" t="s">
        <v>116</v>
      </c>
      <c r="H44" s="13" t="s">
        <v>35</v>
      </c>
      <c r="I44" s="13"/>
      <c r="J44" s="24" t="str">
        <f>"190,0"</f>
        <v>190,0</v>
      </c>
      <c r="K44" s="25" t="str">
        <f>"123,8610"</f>
        <v>123,8610</v>
      </c>
      <c r="L44" s="12"/>
    </row>
    <row r="45" spans="1:12">
      <c r="A45" s="15" t="s">
        <v>202</v>
      </c>
      <c r="B45" s="15" t="s">
        <v>203</v>
      </c>
      <c r="C45" s="15" t="s">
        <v>204</v>
      </c>
      <c r="D45" s="15" t="s">
        <v>1180</v>
      </c>
      <c r="E45" s="15" t="s">
        <v>29</v>
      </c>
      <c r="F45" s="17" t="s">
        <v>44</v>
      </c>
      <c r="G45" s="17"/>
      <c r="H45" s="17"/>
      <c r="I45" s="17"/>
      <c r="J45" s="26" t="str">
        <f>"0.00"</f>
        <v>0.00</v>
      </c>
      <c r="K45" s="27" t="str">
        <f>"0,0000"</f>
        <v>0,0000</v>
      </c>
      <c r="L45" s="15" t="s">
        <v>1196</v>
      </c>
    </row>
    <row r="47" spans="1:12" ht="16">
      <c r="A47" s="49" t="s">
        <v>120</v>
      </c>
      <c r="B47" s="49"/>
      <c r="C47" s="49"/>
      <c r="D47" s="49"/>
      <c r="E47" s="49"/>
      <c r="F47" s="49"/>
      <c r="G47" s="49"/>
      <c r="H47" s="49"/>
      <c r="I47" s="49"/>
    </row>
    <row r="48" spans="1:12">
      <c r="A48" s="9" t="s">
        <v>299</v>
      </c>
      <c r="B48" s="9" t="s">
        <v>300</v>
      </c>
      <c r="C48" s="9" t="s">
        <v>301</v>
      </c>
      <c r="D48" s="9" t="s">
        <v>1182</v>
      </c>
      <c r="E48" s="9" t="s">
        <v>29</v>
      </c>
      <c r="F48" s="10" t="s">
        <v>32</v>
      </c>
      <c r="G48" s="10" t="s">
        <v>34</v>
      </c>
      <c r="H48" s="11" t="s">
        <v>173</v>
      </c>
      <c r="I48" s="11"/>
      <c r="J48" s="22" t="str">
        <f>"120,0"</f>
        <v>120,0</v>
      </c>
      <c r="K48" s="23" t="str">
        <f>"75,6960"</f>
        <v>75,6960</v>
      </c>
      <c r="L48" s="9" t="s">
        <v>1200</v>
      </c>
    </row>
    <row r="49" spans="1:12">
      <c r="A49" s="12" t="s">
        <v>1121</v>
      </c>
      <c r="B49" s="12" t="s">
        <v>1122</v>
      </c>
      <c r="C49" s="12" t="s">
        <v>432</v>
      </c>
      <c r="D49" s="12" t="s">
        <v>1178</v>
      </c>
      <c r="E49" s="12" t="s">
        <v>29</v>
      </c>
      <c r="F49" s="14" t="s">
        <v>70</v>
      </c>
      <c r="G49" s="14" t="s">
        <v>44</v>
      </c>
      <c r="H49" s="13" t="s">
        <v>47</v>
      </c>
      <c r="I49" s="13"/>
      <c r="J49" s="24" t="str">
        <f>"240,0"</f>
        <v>240,0</v>
      </c>
      <c r="K49" s="25" t="str">
        <f>"147,2160"</f>
        <v>147,2160</v>
      </c>
      <c r="L49" s="12" t="s">
        <v>1123</v>
      </c>
    </row>
    <row r="50" spans="1:12">
      <c r="A50" s="12" t="s">
        <v>848</v>
      </c>
      <c r="B50" s="12" t="s">
        <v>1124</v>
      </c>
      <c r="C50" s="12" t="s">
        <v>850</v>
      </c>
      <c r="D50" s="12" t="s">
        <v>1178</v>
      </c>
      <c r="E50" s="12" t="s">
        <v>851</v>
      </c>
      <c r="F50" s="14" t="s">
        <v>183</v>
      </c>
      <c r="G50" s="14" t="s">
        <v>451</v>
      </c>
      <c r="H50" s="14" t="s">
        <v>70</v>
      </c>
      <c r="I50" s="13"/>
      <c r="J50" s="24" t="str">
        <f>"230,0"</f>
        <v>230,0</v>
      </c>
      <c r="K50" s="25" t="str">
        <f>"143,7500"</f>
        <v>143,7500</v>
      </c>
      <c r="L50" s="12"/>
    </row>
    <row r="51" spans="1:12">
      <c r="A51" s="12" t="s">
        <v>1121</v>
      </c>
      <c r="B51" s="12" t="s">
        <v>1125</v>
      </c>
      <c r="C51" s="12" t="s">
        <v>432</v>
      </c>
      <c r="D51" s="12" t="s">
        <v>1180</v>
      </c>
      <c r="E51" s="12" t="s">
        <v>29</v>
      </c>
      <c r="F51" s="14" t="s">
        <v>70</v>
      </c>
      <c r="G51" s="14" t="s">
        <v>44</v>
      </c>
      <c r="H51" s="13" t="s">
        <v>47</v>
      </c>
      <c r="I51" s="13"/>
      <c r="J51" s="24" t="str">
        <f>"240,0"</f>
        <v>240,0</v>
      </c>
      <c r="K51" s="25" t="str">
        <f>"150,1603"</f>
        <v>150,1603</v>
      </c>
      <c r="L51" s="12" t="s">
        <v>1123</v>
      </c>
    </row>
    <row r="52" spans="1:12">
      <c r="A52" s="12" t="s">
        <v>1127</v>
      </c>
      <c r="B52" s="12" t="s">
        <v>1128</v>
      </c>
      <c r="C52" s="12" t="s">
        <v>841</v>
      </c>
      <c r="D52" s="12" t="s">
        <v>1186</v>
      </c>
      <c r="E52" s="12" t="s">
        <v>946</v>
      </c>
      <c r="F52" s="14" t="s">
        <v>183</v>
      </c>
      <c r="G52" s="14" t="s">
        <v>129</v>
      </c>
      <c r="H52" s="13" t="s">
        <v>70</v>
      </c>
      <c r="I52" s="13"/>
      <c r="J52" s="24" t="str">
        <f>"220,0"</f>
        <v>220,0</v>
      </c>
      <c r="K52" s="25" t="str">
        <f>"147,5311"</f>
        <v>147,5311</v>
      </c>
      <c r="L52" s="12" t="s">
        <v>336</v>
      </c>
    </row>
    <row r="53" spans="1:12">
      <c r="A53" s="12" t="s">
        <v>1129</v>
      </c>
      <c r="B53" s="12" t="s">
        <v>849</v>
      </c>
      <c r="C53" s="12" t="s">
        <v>850</v>
      </c>
      <c r="D53" s="12" t="s">
        <v>1183</v>
      </c>
      <c r="E53" s="12" t="s">
        <v>851</v>
      </c>
      <c r="F53" s="14" t="s">
        <v>183</v>
      </c>
      <c r="G53" s="14" t="s">
        <v>451</v>
      </c>
      <c r="H53" s="14" t="s">
        <v>70</v>
      </c>
      <c r="I53" s="13"/>
      <c r="J53" s="24" t="str">
        <f>"230,0"</f>
        <v>230,0</v>
      </c>
      <c r="K53" s="25" t="str">
        <f>"176,0938"</f>
        <v>176,0938</v>
      </c>
      <c r="L53" s="12"/>
    </row>
    <row r="54" spans="1:12">
      <c r="A54" s="12" t="s">
        <v>1131</v>
      </c>
      <c r="B54" s="12" t="s">
        <v>1132</v>
      </c>
      <c r="C54" s="12" t="s">
        <v>1133</v>
      </c>
      <c r="D54" s="12" t="s">
        <v>1192</v>
      </c>
      <c r="E54" s="12" t="s">
        <v>1134</v>
      </c>
      <c r="F54" s="14" t="s">
        <v>116</v>
      </c>
      <c r="G54" s="14" t="s">
        <v>35</v>
      </c>
      <c r="H54" s="13"/>
      <c r="I54" s="13"/>
      <c r="J54" s="24" t="str">
        <f>"200,0"</f>
        <v>200,0</v>
      </c>
      <c r="K54" s="25" t="str">
        <f>"172,3977"</f>
        <v>172,3977</v>
      </c>
      <c r="L54" s="12" t="s">
        <v>1211</v>
      </c>
    </row>
    <row r="55" spans="1:12">
      <c r="A55" s="12" t="s">
        <v>1135</v>
      </c>
      <c r="B55" s="12" t="s">
        <v>1022</v>
      </c>
      <c r="C55" s="12" t="s">
        <v>432</v>
      </c>
      <c r="D55" s="12" t="s">
        <v>1192</v>
      </c>
      <c r="E55" s="12" t="s">
        <v>1023</v>
      </c>
      <c r="F55" s="14" t="s">
        <v>30</v>
      </c>
      <c r="G55" s="14" t="s">
        <v>116</v>
      </c>
      <c r="H55" s="13" t="s">
        <v>129</v>
      </c>
      <c r="I55" s="13"/>
      <c r="J55" s="24" t="str">
        <f>"190,0"</f>
        <v>190,0</v>
      </c>
      <c r="K55" s="25" t="str">
        <f>"162,3486"</f>
        <v>162,3486</v>
      </c>
      <c r="L55" s="12" t="s">
        <v>1024</v>
      </c>
    </row>
    <row r="56" spans="1:12">
      <c r="A56" s="15" t="s">
        <v>1026</v>
      </c>
      <c r="B56" s="15" t="s">
        <v>1027</v>
      </c>
      <c r="C56" s="15" t="s">
        <v>1028</v>
      </c>
      <c r="D56" s="15" t="s">
        <v>1192</v>
      </c>
      <c r="E56" s="15" t="s">
        <v>1023</v>
      </c>
      <c r="F56" s="16" t="s">
        <v>174</v>
      </c>
      <c r="G56" s="17"/>
      <c r="H56" s="17"/>
      <c r="I56" s="17"/>
      <c r="J56" s="26" t="str">
        <f>"185,0"</f>
        <v>185,0</v>
      </c>
      <c r="K56" s="27" t="str">
        <f>"176,1828"</f>
        <v>176,1828</v>
      </c>
      <c r="L56" s="15" t="s">
        <v>1029</v>
      </c>
    </row>
    <row r="58" spans="1:12" ht="16">
      <c r="A58" s="49" t="s">
        <v>61</v>
      </c>
      <c r="B58" s="49"/>
      <c r="C58" s="49"/>
      <c r="D58" s="49"/>
      <c r="E58" s="49"/>
      <c r="F58" s="49"/>
      <c r="G58" s="49"/>
      <c r="H58" s="49"/>
      <c r="I58" s="49"/>
    </row>
    <row r="59" spans="1:12">
      <c r="A59" s="9" t="s">
        <v>1137</v>
      </c>
      <c r="B59" s="9" t="s">
        <v>1138</v>
      </c>
      <c r="C59" s="9" t="s">
        <v>1139</v>
      </c>
      <c r="D59" s="9" t="s">
        <v>1178</v>
      </c>
      <c r="E59" s="9" t="s">
        <v>1012</v>
      </c>
      <c r="F59" s="10" t="s">
        <v>138</v>
      </c>
      <c r="G59" s="10" t="s">
        <v>70</v>
      </c>
      <c r="H59" s="11" t="s">
        <v>43</v>
      </c>
      <c r="I59" s="11"/>
      <c r="J59" s="22" t="str">
        <f>"230,0"</f>
        <v>230,0</v>
      </c>
      <c r="K59" s="23" t="str">
        <f>"138,1380"</f>
        <v>138,1380</v>
      </c>
      <c r="L59" s="9"/>
    </row>
    <row r="60" spans="1:12">
      <c r="A60" s="15" t="s">
        <v>1141</v>
      </c>
      <c r="B60" s="15" t="s">
        <v>1142</v>
      </c>
      <c r="C60" s="15" t="s">
        <v>901</v>
      </c>
      <c r="D60" s="15" t="s">
        <v>1192</v>
      </c>
      <c r="E60" s="15" t="s">
        <v>1143</v>
      </c>
      <c r="F60" s="16" t="s">
        <v>183</v>
      </c>
      <c r="G60" s="16" t="s">
        <v>129</v>
      </c>
      <c r="H60" s="16" t="s">
        <v>69</v>
      </c>
      <c r="I60" s="17"/>
      <c r="J60" s="26" t="str">
        <f>"225,0"</f>
        <v>225,0</v>
      </c>
      <c r="K60" s="27" t="str">
        <f>"193,5315"</f>
        <v>193,5315</v>
      </c>
      <c r="L60" s="15" t="s">
        <v>1212</v>
      </c>
    </row>
    <row r="62" spans="1:12" ht="16">
      <c r="A62" s="49" t="s">
        <v>205</v>
      </c>
      <c r="B62" s="49"/>
      <c r="C62" s="49"/>
      <c r="D62" s="49"/>
      <c r="E62" s="49"/>
      <c r="F62" s="49"/>
      <c r="G62" s="49"/>
      <c r="H62" s="49"/>
      <c r="I62" s="49"/>
    </row>
    <row r="63" spans="1:12">
      <c r="A63" s="9" t="s">
        <v>1145</v>
      </c>
      <c r="B63" s="9" t="s">
        <v>1146</v>
      </c>
      <c r="C63" s="9" t="s">
        <v>1147</v>
      </c>
      <c r="D63" s="9" t="s">
        <v>1178</v>
      </c>
      <c r="E63" s="9" t="s">
        <v>29</v>
      </c>
      <c r="F63" s="10" t="s">
        <v>44</v>
      </c>
      <c r="G63" s="10" t="s">
        <v>48</v>
      </c>
      <c r="H63" s="10" t="s">
        <v>54</v>
      </c>
      <c r="I63" s="11"/>
      <c r="J63" s="22" t="str">
        <f>"265,0"</f>
        <v>265,0</v>
      </c>
      <c r="K63" s="23" t="str">
        <f>"155,8995"</f>
        <v>155,8995</v>
      </c>
      <c r="L63" s="9" t="s">
        <v>1148</v>
      </c>
    </row>
    <row r="64" spans="1:12">
      <c r="A64" s="15" t="s">
        <v>1150</v>
      </c>
      <c r="B64" s="15" t="s">
        <v>1151</v>
      </c>
      <c r="C64" s="15" t="s">
        <v>1152</v>
      </c>
      <c r="D64" s="15" t="s">
        <v>1192</v>
      </c>
      <c r="E64" s="15" t="s">
        <v>1153</v>
      </c>
      <c r="F64" s="16" t="s">
        <v>451</v>
      </c>
      <c r="G64" s="16" t="s">
        <v>180</v>
      </c>
      <c r="H64" s="16" t="s">
        <v>1111</v>
      </c>
      <c r="I64" s="17"/>
      <c r="J64" s="26" t="str">
        <f>"242,5"</f>
        <v>242,5</v>
      </c>
      <c r="K64" s="27" t="str">
        <f>"197,8995"</f>
        <v>197,8995</v>
      </c>
      <c r="L64" s="15" t="s">
        <v>1154</v>
      </c>
    </row>
    <row r="66" spans="1:12" ht="16">
      <c r="A66" s="49" t="s">
        <v>215</v>
      </c>
      <c r="B66" s="49"/>
      <c r="C66" s="49"/>
      <c r="D66" s="49"/>
      <c r="E66" s="49"/>
      <c r="F66" s="49"/>
      <c r="G66" s="49"/>
      <c r="H66" s="49"/>
      <c r="I66" s="49"/>
    </row>
    <row r="67" spans="1:12">
      <c r="A67" s="6" t="s">
        <v>217</v>
      </c>
      <c r="B67" s="6" t="s">
        <v>218</v>
      </c>
      <c r="C67" s="6" t="s">
        <v>219</v>
      </c>
      <c r="D67" s="6" t="s">
        <v>1182</v>
      </c>
      <c r="E67" s="6" t="s">
        <v>29</v>
      </c>
      <c r="F67" s="7" t="s">
        <v>129</v>
      </c>
      <c r="G67" s="7" t="s">
        <v>43</v>
      </c>
      <c r="H67" s="8" t="s">
        <v>220</v>
      </c>
      <c r="I67" s="8"/>
      <c r="J67" s="20" t="str">
        <f>"235,0"</f>
        <v>235,0</v>
      </c>
      <c r="K67" s="21" t="str">
        <f>"127,7930"</f>
        <v>127,7930</v>
      </c>
      <c r="L67" s="6" t="s">
        <v>1197</v>
      </c>
    </row>
    <row r="77" spans="1:12" ht="18">
      <c r="A77" s="28" t="s">
        <v>80</v>
      </c>
      <c r="B77" s="28"/>
    </row>
    <row r="78" spans="1:12" ht="16">
      <c r="A78" s="29" t="s">
        <v>81</v>
      </c>
      <c r="B78" s="29"/>
    </row>
    <row r="79" spans="1:12" ht="14">
      <c r="A79" s="31"/>
      <c r="B79" s="32" t="s">
        <v>318</v>
      </c>
    </row>
    <row r="80" spans="1:12" ht="14">
      <c r="A80" s="33" t="s">
        <v>83</v>
      </c>
      <c r="B80" s="33" t="s">
        <v>84</v>
      </c>
      <c r="C80" s="33" t="s">
        <v>85</v>
      </c>
      <c r="D80" s="33" t="s">
        <v>498</v>
      </c>
    </row>
    <row r="81" spans="1:4">
      <c r="A81" s="30" t="s">
        <v>1032</v>
      </c>
      <c r="B81" s="4" t="s">
        <v>137</v>
      </c>
      <c r="C81" s="4" t="s">
        <v>923</v>
      </c>
      <c r="D81" s="4" t="s">
        <v>18</v>
      </c>
    </row>
    <row r="82" spans="1:4">
      <c r="A82" s="30" t="s">
        <v>1043</v>
      </c>
      <c r="B82" s="4" t="s">
        <v>137</v>
      </c>
      <c r="C82" s="4" t="s">
        <v>319</v>
      </c>
      <c r="D82" s="4" t="s">
        <v>33</v>
      </c>
    </row>
    <row r="84" spans="1:4" ht="14">
      <c r="A84" s="31"/>
      <c r="B84" s="32" t="s">
        <v>96</v>
      </c>
    </row>
    <row r="85" spans="1:4" ht="14">
      <c r="A85" s="33" t="s">
        <v>83</v>
      </c>
      <c r="B85" s="33" t="s">
        <v>84</v>
      </c>
      <c r="C85" s="33" t="s">
        <v>85</v>
      </c>
      <c r="D85" s="33" t="s">
        <v>498</v>
      </c>
    </row>
    <row r="86" spans="1:4">
      <c r="A86" s="30" t="s">
        <v>1032</v>
      </c>
      <c r="B86" s="4" t="s">
        <v>96</v>
      </c>
      <c r="C86" s="4" t="s">
        <v>923</v>
      </c>
      <c r="D86" s="4" t="s">
        <v>18</v>
      </c>
    </row>
    <row r="87" spans="1:4">
      <c r="A87" s="30" t="s">
        <v>1038</v>
      </c>
      <c r="B87" s="4" t="s">
        <v>96</v>
      </c>
      <c r="C87" s="4" t="s">
        <v>923</v>
      </c>
      <c r="D87" s="4" t="s">
        <v>160</v>
      </c>
    </row>
    <row r="88" spans="1:4">
      <c r="A88" s="30" t="s">
        <v>1046</v>
      </c>
      <c r="B88" s="4" t="s">
        <v>96</v>
      </c>
      <c r="C88" s="4" t="s">
        <v>319</v>
      </c>
      <c r="D88" s="4" t="s">
        <v>173</v>
      </c>
    </row>
    <row r="89" spans="1:4">
      <c r="A89" s="30" t="s">
        <v>1054</v>
      </c>
      <c r="B89" s="4" t="s">
        <v>96</v>
      </c>
      <c r="C89" s="4" t="s">
        <v>89</v>
      </c>
      <c r="D89" s="4" t="s">
        <v>19</v>
      </c>
    </row>
    <row r="90" spans="1:4">
      <c r="A90" s="30" t="s">
        <v>556</v>
      </c>
      <c r="B90" s="4" t="s">
        <v>96</v>
      </c>
      <c r="C90" s="4" t="s">
        <v>322</v>
      </c>
      <c r="D90" s="4" t="s">
        <v>32</v>
      </c>
    </row>
    <row r="91" spans="1:4">
      <c r="A91" s="30" t="s">
        <v>1059</v>
      </c>
      <c r="B91" s="4" t="s">
        <v>96</v>
      </c>
      <c r="C91" s="4" t="s">
        <v>89</v>
      </c>
      <c r="D91" s="4" t="s">
        <v>781</v>
      </c>
    </row>
    <row r="94" spans="1:4" ht="16">
      <c r="A94" s="29" t="s">
        <v>91</v>
      </c>
      <c r="B94" s="29"/>
    </row>
    <row r="95" spans="1:4" ht="14">
      <c r="A95" s="31"/>
      <c r="B95" s="32" t="s">
        <v>136</v>
      </c>
    </row>
    <row r="96" spans="1:4" ht="14">
      <c r="A96" s="33" t="s">
        <v>83</v>
      </c>
      <c r="B96" s="33" t="s">
        <v>84</v>
      </c>
      <c r="C96" s="33" t="s">
        <v>85</v>
      </c>
      <c r="D96" s="33" t="s">
        <v>498</v>
      </c>
    </row>
    <row r="97" spans="1:4">
      <c r="A97" s="30" t="s">
        <v>216</v>
      </c>
      <c r="B97" s="4" t="s">
        <v>137</v>
      </c>
      <c r="C97" s="4" t="s">
        <v>224</v>
      </c>
      <c r="D97" s="4" t="s">
        <v>43</v>
      </c>
    </row>
    <row r="98" spans="1:4">
      <c r="A98" s="30" t="s">
        <v>1073</v>
      </c>
      <c r="B98" s="4" t="s">
        <v>137</v>
      </c>
      <c r="C98" s="4" t="s">
        <v>222</v>
      </c>
      <c r="D98" s="4" t="s">
        <v>335</v>
      </c>
    </row>
    <row r="99" spans="1:4">
      <c r="A99" s="30" t="s">
        <v>1065</v>
      </c>
      <c r="B99" s="4" t="s">
        <v>137</v>
      </c>
      <c r="C99" s="4" t="s">
        <v>89</v>
      </c>
      <c r="D99" s="4" t="s">
        <v>369</v>
      </c>
    </row>
    <row r="100" spans="1:4">
      <c r="A100" s="30" t="s">
        <v>354</v>
      </c>
      <c r="B100" s="4" t="s">
        <v>137</v>
      </c>
      <c r="C100" s="4" t="s">
        <v>222</v>
      </c>
      <c r="D100" s="4" t="s">
        <v>191</v>
      </c>
    </row>
    <row r="101" spans="1:4">
      <c r="A101" s="30" t="s">
        <v>298</v>
      </c>
      <c r="B101" s="4" t="s">
        <v>137</v>
      </c>
      <c r="C101" s="4" t="s">
        <v>139</v>
      </c>
      <c r="D101" s="4" t="s">
        <v>34</v>
      </c>
    </row>
    <row r="103" spans="1:4" ht="14">
      <c r="A103" s="31"/>
      <c r="B103" s="32" t="s">
        <v>92</v>
      </c>
    </row>
    <row r="104" spans="1:4" ht="14">
      <c r="A104" s="33" t="s">
        <v>83</v>
      </c>
      <c r="B104" s="33" t="s">
        <v>84</v>
      </c>
      <c r="C104" s="33" t="s">
        <v>85</v>
      </c>
      <c r="D104" s="33" t="s">
        <v>498</v>
      </c>
    </row>
    <row r="105" spans="1:4">
      <c r="A105" s="30" t="s">
        <v>657</v>
      </c>
      <c r="B105" s="4" t="s">
        <v>93</v>
      </c>
      <c r="C105" s="4" t="s">
        <v>89</v>
      </c>
      <c r="D105" s="4" t="s">
        <v>55</v>
      </c>
    </row>
    <row r="106" spans="1:4">
      <c r="A106" s="30" t="s">
        <v>1093</v>
      </c>
      <c r="B106" s="4" t="s">
        <v>93</v>
      </c>
      <c r="C106" s="4" t="s">
        <v>94</v>
      </c>
      <c r="D106" s="4" t="s">
        <v>182</v>
      </c>
    </row>
    <row r="108" spans="1:4" ht="14">
      <c r="A108" s="31"/>
      <c r="B108" s="32" t="s">
        <v>96</v>
      </c>
    </row>
    <row r="109" spans="1:4" ht="14">
      <c r="A109" s="33" t="s">
        <v>83</v>
      </c>
      <c r="B109" s="33" t="s">
        <v>84</v>
      </c>
      <c r="C109" s="33" t="s">
        <v>85</v>
      </c>
      <c r="D109" s="33" t="s">
        <v>498</v>
      </c>
    </row>
    <row r="110" spans="1:4">
      <c r="A110" s="30" t="s">
        <v>1069</v>
      </c>
      <c r="B110" s="4" t="s">
        <v>96</v>
      </c>
      <c r="C110" s="4" t="s">
        <v>89</v>
      </c>
      <c r="D110" s="4" t="s">
        <v>199</v>
      </c>
    </row>
    <row r="111" spans="1:4">
      <c r="A111" s="30" t="s">
        <v>1144</v>
      </c>
      <c r="B111" s="4" t="s">
        <v>96</v>
      </c>
      <c r="C111" s="4" t="s">
        <v>229</v>
      </c>
      <c r="D111" s="4" t="s">
        <v>54</v>
      </c>
    </row>
    <row r="112" spans="1:4">
      <c r="A112" s="30" t="s">
        <v>1108</v>
      </c>
      <c r="B112" s="4" t="s">
        <v>96</v>
      </c>
      <c r="C112" s="4" t="s">
        <v>226</v>
      </c>
      <c r="D112" s="4" t="s">
        <v>70</v>
      </c>
    </row>
    <row r="113" spans="1:4">
      <c r="A113" s="30" t="s">
        <v>1113</v>
      </c>
      <c r="B113" s="4" t="s">
        <v>96</v>
      </c>
      <c r="C113" s="4" t="s">
        <v>226</v>
      </c>
      <c r="D113" s="4" t="s">
        <v>70</v>
      </c>
    </row>
    <row r="114" spans="1:4">
      <c r="A114" s="30" t="s">
        <v>1097</v>
      </c>
      <c r="B114" s="4" t="s">
        <v>96</v>
      </c>
      <c r="C114" s="4" t="s">
        <v>94</v>
      </c>
      <c r="D114" s="4" t="s">
        <v>129</v>
      </c>
    </row>
    <row r="115" spans="1:4">
      <c r="A115" s="30" t="s">
        <v>1120</v>
      </c>
      <c r="B115" s="4" t="s">
        <v>96</v>
      </c>
      <c r="C115" s="4" t="s">
        <v>139</v>
      </c>
      <c r="D115" s="4" t="s">
        <v>44</v>
      </c>
    </row>
    <row r="116" spans="1:4">
      <c r="A116" s="30" t="s">
        <v>1082</v>
      </c>
      <c r="B116" s="4" t="s">
        <v>96</v>
      </c>
      <c r="C116" s="4" t="s">
        <v>222</v>
      </c>
      <c r="D116" s="4" t="s">
        <v>199</v>
      </c>
    </row>
    <row r="117" spans="1:4">
      <c r="A117" s="30" t="s">
        <v>847</v>
      </c>
      <c r="B117" s="4" t="s">
        <v>96</v>
      </c>
      <c r="C117" s="4" t="s">
        <v>139</v>
      </c>
      <c r="D117" s="4" t="s">
        <v>70</v>
      </c>
    </row>
    <row r="118" spans="1:4">
      <c r="A118" s="30" t="s">
        <v>1136</v>
      </c>
      <c r="B118" s="4" t="s">
        <v>96</v>
      </c>
      <c r="C118" s="4" t="s">
        <v>97</v>
      </c>
      <c r="D118" s="4" t="s">
        <v>70</v>
      </c>
    </row>
    <row r="119" spans="1:4">
      <c r="A119" s="30" t="s">
        <v>1117</v>
      </c>
      <c r="B119" s="4" t="s">
        <v>96</v>
      </c>
      <c r="C119" s="4" t="s">
        <v>226</v>
      </c>
      <c r="D119" s="4" t="s">
        <v>116</v>
      </c>
    </row>
    <row r="121" spans="1:4" ht="14">
      <c r="A121" s="31"/>
      <c r="B121" s="32" t="s">
        <v>82</v>
      </c>
    </row>
    <row r="122" spans="1:4" ht="14">
      <c r="A122" s="33" t="s">
        <v>83</v>
      </c>
      <c r="B122" s="33" t="s">
        <v>84</v>
      </c>
      <c r="C122" s="33" t="s">
        <v>85</v>
      </c>
      <c r="D122" s="33" t="s">
        <v>498</v>
      </c>
    </row>
    <row r="123" spans="1:4">
      <c r="A123" s="30" t="s">
        <v>1101</v>
      </c>
      <c r="B123" s="4" t="s">
        <v>500</v>
      </c>
      <c r="C123" s="4" t="s">
        <v>94</v>
      </c>
      <c r="D123" s="4" t="s">
        <v>201</v>
      </c>
    </row>
    <row r="124" spans="1:4">
      <c r="A124" s="30" t="s">
        <v>1149</v>
      </c>
      <c r="B124" s="4" t="s">
        <v>500</v>
      </c>
      <c r="C124" s="4" t="s">
        <v>229</v>
      </c>
      <c r="D124" s="4" t="s">
        <v>1111</v>
      </c>
    </row>
    <row r="125" spans="1:4">
      <c r="A125" s="30" t="s">
        <v>1140</v>
      </c>
      <c r="B125" s="4" t="s">
        <v>500</v>
      </c>
      <c r="C125" s="4" t="s">
        <v>97</v>
      </c>
      <c r="D125" s="4" t="s">
        <v>69</v>
      </c>
    </row>
    <row r="126" spans="1:4">
      <c r="A126" s="30" t="s">
        <v>747</v>
      </c>
      <c r="B126" s="4" t="s">
        <v>501</v>
      </c>
      <c r="C126" s="4" t="s">
        <v>94</v>
      </c>
      <c r="D126" s="4" t="s">
        <v>118</v>
      </c>
    </row>
    <row r="127" spans="1:4">
      <c r="A127" s="30" t="s">
        <v>1025</v>
      </c>
      <c r="B127" s="4" t="s">
        <v>924</v>
      </c>
      <c r="C127" s="4" t="s">
        <v>139</v>
      </c>
      <c r="D127" s="4" t="s">
        <v>174</v>
      </c>
    </row>
    <row r="128" spans="1:4">
      <c r="A128" s="30" t="s">
        <v>847</v>
      </c>
      <c r="B128" s="4" t="s">
        <v>142</v>
      </c>
      <c r="C128" s="4" t="s">
        <v>139</v>
      </c>
      <c r="D128" s="4" t="s">
        <v>70</v>
      </c>
    </row>
    <row r="129" spans="1:4">
      <c r="A129" s="30" t="s">
        <v>1130</v>
      </c>
      <c r="B129" s="4" t="s">
        <v>500</v>
      </c>
      <c r="C129" s="4" t="s">
        <v>139</v>
      </c>
      <c r="D129" s="4" t="s">
        <v>35</v>
      </c>
    </row>
    <row r="130" spans="1:4">
      <c r="A130" s="30" t="s">
        <v>1088</v>
      </c>
      <c r="B130" s="4" t="s">
        <v>329</v>
      </c>
      <c r="C130" s="4" t="s">
        <v>222</v>
      </c>
      <c r="D130" s="4" t="s">
        <v>129</v>
      </c>
    </row>
    <row r="131" spans="1:4">
      <c r="A131" s="30" t="s">
        <v>1020</v>
      </c>
      <c r="B131" s="4" t="s">
        <v>500</v>
      </c>
      <c r="C131" s="4" t="s">
        <v>139</v>
      </c>
      <c r="D131" s="4" t="s">
        <v>116</v>
      </c>
    </row>
    <row r="132" spans="1:4">
      <c r="A132" s="30" t="s">
        <v>1120</v>
      </c>
      <c r="B132" s="4" t="s">
        <v>100</v>
      </c>
      <c r="C132" s="4" t="s">
        <v>139</v>
      </c>
      <c r="D132" s="4" t="s">
        <v>44</v>
      </c>
    </row>
    <row r="133" spans="1:4">
      <c r="A133" s="30" t="s">
        <v>1126</v>
      </c>
      <c r="B133" s="4" t="s">
        <v>329</v>
      </c>
      <c r="C133" s="4" t="s">
        <v>139</v>
      </c>
      <c r="D133" s="4" t="s">
        <v>129</v>
      </c>
    </row>
  </sheetData>
  <mergeCells count="23">
    <mergeCell ref="A66:I66"/>
    <mergeCell ref="A8:I8"/>
    <mergeCell ref="A13:I13"/>
    <mergeCell ref="A17:I17"/>
    <mergeCell ref="A20:I20"/>
    <mergeCell ref="A24:I24"/>
    <mergeCell ref="A29:I29"/>
    <mergeCell ref="A35:I35"/>
    <mergeCell ref="A41:I41"/>
    <mergeCell ref="A47:I47"/>
    <mergeCell ref="A58:I58"/>
    <mergeCell ref="A62:I62"/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1:T48"/>
  <sheetViews>
    <sheetView workbookViewId="0">
      <selection activeCell="E6" sqref="E1:E1048576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31.66406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9" bestFit="1" customWidth="1"/>
    <col min="19" max="19" width="8.5" style="2" bestFit="1" customWidth="1"/>
    <col min="20" max="20" width="13.1640625" style="4" bestFit="1" customWidth="1"/>
    <col min="21" max="16384" width="9.1640625" style="3"/>
  </cols>
  <sheetData>
    <row r="1" spans="1:20" s="2" customFormat="1" ht="29" customHeight="1">
      <c r="A1" s="40" t="s">
        <v>1160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1:20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/>
    </row>
    <row r="3" spans="1:20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8</v>
      </c>
      <c r="G3" s="34"/>
      <c r="H3" s="34"/>
      <c r="I3" s="34"/>
      <c r="J3" s="34" t="s">
        <v>9</v>
      </c>
      <c r="K3" s="34"/>
      <c r="L3" s="34"/>
      <c r="M3" s="34"/>
      <c r="N3" s="34" t="s">
        <v>10</v>
      </c>
      <c r="O3" s="34"/>
      <c r="P3" s="34"/>
      <c r="Q3" s="34"/>
      <c r="R3" s="34" t="s">
        <v>1</v>
      </c>
      <c r="S3" s="34" t="s">
        <v>3</v>
      </c>
      <c r="T3" s="36" t="s">
        <v>2</v>
      </c>
    </row>
    <row r="4" spans="1:20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5">
        <v>1</v>
      </c>
      <c r="K4" s="5">
        <v>2</v>
      </c>
      <c r="L4" s="5">
        <v>3</v>
      </c>
      <c r="M4" s="5" t="s">
        <v>5</v>
      </c>
      <c r="N4" s="5">
        <v>1</v>
      </c>
      <c r="O4" s="5">
        <v>2</v>
      </c>
      <c r="P4" s="5">
        <v>3</v>
      </c>
      <c r="Q4" s="5" t="s">
        <v>5</v>
      </c>
      <c r="R4" s="35"/>
      <c r="S4" s="35"/>
      <c r="T4" s="37"/>
    </row>
    <row r="5" spans="1:20" ht="16">
      <c r="A5" s="38" t="s">
        <v>11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0">
      <c r="A6" s="6" t="s">
        <v>13</v>
      </c>
      <c r="B6" s="6" t="s">
        <v>14</v>
      </c>
      <c r="C6" s="6" t="s">
        <v>15</v>
      </c>
      <c r="D6" s="6" t="s">
        <v>1177</v>
      </c>
      <c r="E6" s="6" t="s">
        <v>17</v>
      </c>
      <c r="F6" s="7" t="s">
        <v>18</v>
      </c>
      <c r="G6" s="7" t="s">
        <v>19</v>
      </c>
      <c r="H6" s="8" t="s">
        <v>20</v>
      </c>
      <c r="I6" s="8"/>
      <c r="J6" s="7" t="s">
        <v>21</v>
      </c>
      <c r="K6" s="7" t="s">
        <v>22</v>
      </c>
      <c r="L6" s="7" t="s">
        <v>23</v>
      </c>
      <c r="M6" s="8"/>
      <c r="N6" s="7" t="s">
        <v>18</v>
      </c>
      <c r="O6" s="7" t="s">
        <v>19</v>
      </c>
      <c r="P6" s="7" t="s">
        <v>20</v>
      </c>
      <c r="Q6" s="8"/>
      <c r="R6" s="20" t="str">
        <f>"410,0"</f>
        <v>410,0</v>
      </c>
      <c r="S6" s="21" t="str">
        <f>"485,1776"</f>
        <v>485,1776</v>
      </c>
      <c r="T6" s="6"/>
    </row>
    <row r="8" spans="1:20" ht="16">
      <c r="A8" s="49" t="s">
        <v>25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0">
      <c r="A9" s="6" t="s">
        <v>26</v>
      </c>
      <c r="B9" s="6" t="s">
        <v>27</v>
      </c>
      <c r="C9" s="6" t="s">
        <v>28</v>
      </c>
      <c r="D9" s="6" t="s">
        <v>1178</v>
      </c>
      <c r="E9" s="6" t="s">
        <v>29</v>
      </c>
      <c r="F9" s="7" t="s">
        <v>30</v>
      </c>
      <c r="G9" s="8" t="s">
        <v>31</v>
      </c>
      <c r="H9" s="8" t="s">
        <v>31</v>
      </c>
      <c r="I9" s="8"/>
      <c r="J9" s="7" t="s">
        <v>32</v>
      </c>
      <c r="K9" s="7" t="s">
        <v>33</v>
      </c>
      <c r="L9" s="8" t="s">
        <v>34</v>
      </c>
      <c r="M9" s="8"/>
      <c r="N9" s="8" t="s">
        <v>35</v>
      </c>
      <c r="O9" s="8" t="s">
        <v>35</v>
      </c>
      <c r="P9" s="8" t="s">
        <v>35</v>
      </c>
      <c r="Q9" s="8"/>
      <c r="R9" s="20" t="str">
        <f>"0.00"</f>
        <v>0.00</v>
      </c>
      <c r="S9" s="21" t="str">
        <f>"0,0000"</f>
        <v>0,0000</v>
      </c>
      <c r="T9" s="6" t="s">
        <v>36</v>
      </c>
    </row>
    <row r="11" spans="1:20" ht="16">
      <c r="A11" s="49" t="s">
        <v>37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20">
      <c r="A12" s="9" t="s">
        <v>39</v>
      </c>
      <c r="B12" s="9" t="s">
        <v>40</v>
      </c>
      <c r="C12" s="9" t="s">
        <v>41</v>
      </c>
      <c r="D12" s="9" t="s">
        <v>1179</v>
      </c>
      <c r="E12" s="9" t="s">
        <v>42</v>
      </c>
      <c r="F12" s="10" t="s">
        <v>43</v>
      </c>
      <c r="G12" s="10" t="s">
        <v>44</v>
      </c>
      <c r="H12" s="10" t="s">
        <v>45</v>
      </c>
      <c r="I12" s="11"/>
      <c r="J12" s="10" t="s">
        <v>46</v>
      </c>
      <c r="K12" s="11" t="s">
        <v>30</v>
      </c>
      <c r="L12" s="11" t="s">
        <v>30</v>
      </c>
      <c r="M12" s="11"/>
      <c r="N12" s="10" t="s">
        <v>47</v>
      </c>
      <c r="O12" s="10" t="s">
        <v>48</v>
      </c>
      <c r="P12" s="11"/>
      <c r="Q12" s="11"/>
      <c r="R12" s="22" t="str">
        <f>"670,0"</f>
        <v>670,0</v>
      </c>
      <c r="S12" s="23" t="str">
        <f>"454,1930"</f>
        <v>454,1930</v>
      </c>
      <c r="T12" s="9" t="s">
        <v>1181</v>
      </c>
    </row>
    <row r="13" spans="1:20">
      <c r="A13" s="12" t="s">
        <v>50</v>
      </c>
      <c r="B13" s="12" t="s">
        <v>51</v>
      </c>
      <c r="C13" s="12" t="s">
        <v>52</v>
      </c>
      <c r="D13" s="12" t="s">
        <v>1178</v>
      </c>
      <c r="E13" s="12" t="s">
        <v>53</v>
      </c>
      <c r="F13" s="13" t="s">
        <v>45</v>
      </c>
      <c r="G13" s="14" t="s">
        <v>45</v>
      </c>
      <c r="H13" s="14" t="s">
        <v>54</v>
      </c>
      <c r="I13" s="13"/>
      <c r="J13" s="13" t="s">
        <v>55</v>
      </c>
      <c r="K13" s="14" t="s">
        <v>55</v>
      </c>
      <c r="L13" s="13" t="s">
        <v>56</v>
      </c>
      <c r="M13" s="13"/>
      <c r="N13" s="13" t="s">
        <v>47</v>
      </c>
      <c r="O13" s="14" t="s">
        <v>48</v>
      </c>
      <c r="P13" s="14" t="s">
        <v>57</v>
      </c>
      <c r="Q13" s="13"/>
      <c r="R13" s="24" t="str">
        <f>"692,5"</f>
        <v>692,5</v>
      </c>
      <c r="S13" s="25" t="str">
        <f>"468,4070"</f>
        <v>468,4070</v>
      </c>
      <c r="T13" s="12" t="s">
        <v>58</v>
      </c>
    </row>
    <row r="14" spans="1:20">
      <c r="A14" s="15" t="s">
        <v>59</v>
      </c>
      <c r="B14" s="15" t="s">
        <v>60</v>
      </c>
      <c r="C14" s="15" t="s">
        <v>41</v>
      </c>
      <c r="D14" s="15" t="s">
        <v>1178</v>
      </c>
      <c r="E14" s="15" t="s">
        <v>42</v>
      </c>
      <c r="F14" s="16" t="s">
        <v>43</v>
      </c>
      <c r="G14" s="16" t="s">
        <v>44</v>
      </c>
      <c r="H14" s="16" t="s">
        <v>45</v>
      </c>
      <c r="I14" s="17"/>
      <c r="J14" s="16" t="s">
        <v>46</v>
      </c>
      <c r="K14" s="17" t="s">
        <v>30</v>
      </c>
      <c r="L14" s="17" t="s">
        <v>30</v>
      </c>
      <c r="M14" s="17"/>
      <c r="N14" s="16" t="s">
        <v>47</v>
      </c>
      <c r="O14" s="16" t="s">
        <v>48</v>
      </c>
      <c r="P14" s="17"/>
      <c r="Q14" s="17"/>
      <c r="R14" s="26" t="str">
        <f>"670,0"</f>
        <v>670,0</v>
      </c>
      <c r="S14" s="27" t="str">
        <f>"454,1930"</f>
        <v>454,1930</v>
      </c>
      <c r="T14" s="15" t="s">
        <v>1181</v>
      </c>
    </row>
    <row r="16" spans="1:20" ht="16">
      <c r="A16" s="49" t="s">
        <v>61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</row>
    <row r="17" spans="1:20">
      <c r="A17" s="9" t="s">
        <v>63</v>
      </c>
      <c r="B17" s="9" t="s">
        <v>64</v>
      </c>
      <c r="C17" s="9" t="s">
        <v>65</v>
      </c>
      <c r="D17" s="9" t="s">
        <v>1178</v>
      </c>
      <c r="E17" s="9" t="s">
        <v>29</v>
      </c>
      <c r="F17" s="10" t="s">
        <v>66</v>
      </c>
      <c r="G17" s="11" t="s">
        <v>67</v>
      </c>
      <c r="H17" s="10" t="s">
        <v>67</v>
      </c>
      <c r="I17" s="11"/>
      <c r="J17" s="10" t="s">
        <v>68</v>
      </c>
      <c r="K17" s="10" t="s">
        <v>69</v>
      </c>
      <c r="L17" s="10" t="s">
        <v>70</v>
      </c>
      <c r="M17" s="11"/>
      <c r="N17" s="10" t="s">
        <v>71</v>
      </c>
      <c r="O17" s="10" t="s">
        <v>72</v>
      </c>
      <c r="P17" s="11" t="s">
        <v>73</v>
      </c>
      <c r="Q17" s="11"/>
      <c r="R17" s="22" t="str">
        <f>"820,0"</f>
        <v>820,0</v>
      </c>
      <c r="S17" s="23" t="str">
        <f>"484,7840"</f>
        <v>484,7840</v>
      </c>
      <c r="T17" s="9"/>
    </row>
    <row r="18" spans="1:20">
      <c r="A18" s="15" t="s">
        <v>63</v>
      </c>
      <c r="B18" s="15" t="s">
        <v>74</v>
      </c>
      <c r="C18" s="15" t="s">
        <v>65</v>
      </c>
      <c r="D18" s="15" t="s">
        <v>1180</v>
      </c>
      <c r="E18" s="15" t="s">
        <v>29</v>
      </c>
      <c r="F18" s="16" t="s">
        <v>66</v>
      </c>
      <c r="G18" s="17" t="s">
        <v>67</v>
      </c>
      <c r="H18" s="16" t="s">
        <v>67</v>
      </c>
      <c r="I18" s="17"/>
      <c r="J18" s="16" t="s">
        <v>68</v>
      </c>
      <c r="K18" s="16" t="s">
        <v>69</v>
      </c>
      <c r="L18" s="16" t="s">
        <v>70</v>
      </c>
      <c r="M18" s="17"/>
      <c r="N18" s="16" t="s">
        <v>71</v>
      </c>
      <c r="O18" s="16" t="s">
        <v>72</v>
      </c>
      <c r="P18" s="17" t="s">
        <v>73</v>
      </c>
      <c r="Q18" s="17"/>
      <c r="R18" s="26" t="str">
        <f>"820,0"</f>
        <v>820,0</v>
      </c>
      <c r="S18" s="27" t="str">
        <f>"489,6318"</f>
        <v>489,6318</v>
      </c>
      <c r="T18" s="15"/>
    </row>
    <row r="28" spans="1:20" ht="18">
      <c r="A28" s="28" t="s">
        <v>80</v>
      </c>
      <c r="B28" s="28"/>
    </row>
    <row r="29" spans="1:20" ht="16">
      <c r="A29" s="29" t="s">
        <v>81</v>
      </c>
      <c r="B29" s="29"/>
    </row>
    <row r="30" spans="1:20" ht="14">
      <c r="A30" s="31"/>
      <c r="B30" s="32" t="s">
        <v>82</v>
      </c>
    </row>
    <row r="31" spans="1:20" ht="14">
      <c r="A31" s="33" t="s">
        <v>83</v>
      </c>
      <c r="B31" s="33" t="s">
        <v>84</v>
      </c>
      <c r="C31" s="33" t="s">
        <v>85</v>
      </c>
      <c r="D31" s="33" t="s">
        <v>86</v>
      </c>
    </row>
    <row r="32" spans="1:20">
      <c r="A32" s="30" t="s">
        <v>12</v>
      </c>
      <c r="B32" s="4" t="s">
        <v>88</v>
      </c>
      <c r="C32" s="4" t="s">
        <v>89</v>
      </c>
      <c r="D32" s="4" t="s">
        <v>90</v>
      </c>
    </row>
    <row r="35" spans="1:4" ht="16">
      <c r="A35" s="29" t="s">
        <v>91</v>
      </c>
      <c r="B35" s="29"/>
    </row>
    <row r="36" spans="1:4" ht="14">
      <c r="A36" s="31"/>
      <c r="B36" s="32" t="s">
        <v>92</v>
      </c>
    </row>
    <row r="37" spans="1:4" ht="14">
      <c r="A37" s="33" t="s">
        <v>83</v>
      </c>
      <c r="B37" s="33" t="s">
        <v>84</v>
      </c>
      <c r="C37" s="33" t="s">
        <v>85</v>
      </c>
      <c r="D37" s="33" t="s">
        <v>86</v>
      </c>
    </row>
    <row r="38" spans="1:4">
      <c r="A38" s="30" t="s">
        <v>38</v>
      </c>
      <c r="B38" s="4" t="s">
        <v>93</v>
      </c>
      <c r="C38" s="4" t="s">
        <v>94</v>
      </c>
      <c r="D38" s="4" t="s">
        <v>95</v>
      </c>
    </row>
    <row r="40" spans="1:4" ht="14">
      <c r="A40" s="31"/>
      <c r="B40" s="32" t="s">
        <v>96</v>
      </c>
    </row>
    <row r="41" spans="1:4" ht="14">
      <c r="A41" s="33" t="s">
        <v>83</v>
      </c>
      <c r="B41" s="33" t="s">
        <v>84</v>
      </c>
      <c r="C41" s="33" t="s">
        <v>85</v>
      </c>
      <c r="D41" s="33" t="s">
        <v>86</v>
      </c>
    </row>
    <row r="42" spans="1:4">
      <c r="A42" s="30" t="s">
        <v>62</v>
      </c>
      <c r="B42" s="4" t="s">
        <v>96</v>
      </c>
      <c r="C42" s="4" t="s">
        <v>97</v>
      </c>
      <c r="D42" s="4" t="s">
        <v>98</v>
      </c>
    </row>
    <row r="43" spans="1:4">
      <c r="A43" s="30" t="s">
        <v>49</v>
      </c>
      <c r="B43" s="4" t="s">
        <v>96</v>
      </c>
      <c r="C43" s="4" t="s">
        <v>94</v>
      </c>
      <c r="D43" s="4" t="s">
        <v>99</v>
      </c>
    </row>
    <row r="44" spans="1:4">
      <c r="A44" s="30" t="s">
        <v>38</v>
      </c>
      <c r="B44" s="4" t="s">
        <v>96</v>
      </c>
      <c r="C44" s="4" t="s">
        <v>94</v>
      </c>
      <c r="D44" s="4" t="s">
        <v>95</v>
      </c>
    </row>
    <row r="46" spans="1:4" ht="14">
      <c r="A46" s="31"/>
      <c r="B46" s="32" t="s">
        <v>82</v>
      </c>
    </row>
    <row r="47" spans="1:4" ht="14">
      <c r="A47" s="33" t="s">
        <v>83</v>
      </c>
      <c r="B47" s="33" t="s">
        <v>84</v>
      </c>
      <c r="C47" s="33" t="s">
        <v>85</v>
      </c>
      <c r="D47" s="33" t="s">
        <v>86</v>
      </c>
    </row>
    <row r="48" spans="1:4">
      <c r="A48" s="30" t="s">
        <v>62</v>
      </c>
      <c r="B48" s="4" t="s">
        <v>100</v>
      </c>
      <c r="C48" s="4" t="s">
        <v>97</v>
      </c>
      <c r="D48" s="4" t="s">
        <v>98</v>
      </c>
    </row>
  </sheetData>
  <mergeCells count="16">
    <mergeCell ref="A5:Q5"/>
    <mergeCell ref="A8:Q8"/>
    <mergeCell ref="A11:Q11"/>
    <mergeCell ref="A16:Q16"/>
    <mergeCell ref="D3:D4"/>
    <mergeCell ref="R3:R4"/>
    <mergeCell ref="S3:S4"/>
    <mergeCell ref="A1:T2"/>
    <mergeCell ref="F3:I3"/>
    <mergeCell ref="J3:M3"/>
    <mergeCell ref="N3:Q3"/>
    <mergeCell ref="A3:A4"/>
    <mergeCell ref="B3:B4"/>
    <mergeCell ref="C3:C4"/>
    <mergeCell ref="T3:T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7"/>
  <sheetViews>
    <sheetView workbookViewId="0">
      <selection sqref="A1:T2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17.332031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9" bestFit="1" customWidth="1"/>
    <col min="19" max="19" width="8.5" style="2" bestFit="1" customWidth="1"/>
    <col min="20" max="20" width="33" style="4" bestFit="1" customWidth="1"/>
    <col min="21" max="16384" width="9.1640625" style="3"/>
  </cols>
  <sheetData>
    <row r="1" spans="1:20" s="2" customFormat="1" ht="29" customHeight="1">
      <c r="A1" s="40" t="s">
        <v>1161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1:20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/>
    </row>
    <row r="3" spans="1:20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8</v>
      </c>
      <c r="G3" s="34"/>
      <c r="H3" s="34"/>
      <c r="I3" s="34"/>
      <c r="J3" s="34" t="s">
        <v>9</v>
      </c>
      <c r="K3" s="34"/>
      <c r="L3" s="34"/>
      <c r="M3" s="34"/>
      <c r="N3" s="34" t="s">
        <v>10</v>
      </c>
      <c r="O3" s="34"/>
      <c r="P3" s="34"/>
      <c r="Q3" s="34"/>
      <c r="R3" s="34" t="s">
        <v>1</v>
      </c>
      <c r="S3" s="34" t="s">
        <v>3</v>
      </c>
      <c r="T3" s="36" t="s">
        <v>2</v>
      </c>
    </row>
    <row r="4" spans="1:20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5">
        <v>1</v>
      </c>
      <c r="K4" s="5">
        <v>2</v>
      </c>
      <c r="L4" s="5">
        <v>3</v>
      </c>
      <c r="M4" s="5" t="s">
        <v>5</v>
      </c>
      <c r="N4" s="5">
        <v>1</v>
      </c>
      <c r="O4" s="5">
        <v>2</v>
      </c>
      <c r="P4" s="5">
        <v>3</v>
      </c>
      <c r="Q4" s="5" t="s">
        <v>5</v>
      </c>
      <c r="R4" s="35"/>
      <c r="S4" s="35"/>
      <c r="T4" s="37"/>
    </row>
    <row r="5" spans="1:20" ht="16">
      <c r="A5" s="38" t="s">
        <v>37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0">
      <c r="A6" s="9" t="s">
        <v>102</v>
      </c>
      <c r="B6" s="9" t="s">
        <v>103</v>
      </c>
      <c r="C6" s="9" t="s">
        <v>104</v>
      </c>
      <c r="D6" s="9" t="s">
        <v>1182</v>
      </c>
      <c r="E6" s="9" t="s">
        <v>29</v>
      </c>
      <c r="F6" s="10" t="s">
        <v>105</v>
      </c>
      <c r="G6" s="10" t="s">
        <v>106</v>
      </c>
      <c r="H6" s="10" t="s">
        <v>107</v>
      </c>
      <c r="I6" s="11"/>
      <c r="J6" s="10" t="s">
        <v>108</v>
      </c>
      <c r="K6" s="10" t="s">
        <v>109</v>
      </c>
      <c r="L6" s="11" t="s">
        <v>110</v>
      </c>
      <c r="M6" s="11"/>
      <c r="N6" s="10" t="s">
        <v>107</v>
      </c>
      <c r="O6" s="10" t="s">
        <v>22</v>
      </c>
      <c r="P6" s="10" t="s">
        <v>23</v>
      </c>
      <c r="Q6" s="11"/>
      <c r="R6" s="22" t="str">
        <f>"215,0"</f>
        <v>215,0</v>
      </c>
      <c r="S6" s="23" t="str">
        <f>"152,4995"</f>
        <v>152,4995</v>
      </c>
      <c r="T6" s="9" t="s">
        <v>111</v>
      </c>
    </row>
    <row r="7" spans="1:20">
      <c r="A7" s="15" t="s">
        <v>113</v>
      </c>
      <c r="B7" s="15" t="s">
        <v>114</v>
      </c>
      <c r="C7" s="15" t="s">
        <v>115</v>
      </c>
      <c r="D7" s="15" t="s">
        <v>1183</v>
      </c>
      <c r="E7" s="15" t="s">
        <v>29</v>
      </c>
      <c r="F7" s="16" t="s">
        <v>56</v>
      </c>
      <c r="G7" s="16" t="s">
        <v>116</v>
      </c>
      <c r="H7" s="17" t="s">
        <v>35</v>
      </c>
      <c r="I7" s="17"/>
      <c r="J7" s="16" t="s">
        <v>117</v>
      </c>
      <c r="K7" s="16" t="s">
        <v>118</v>
      </c>
      <c r="L7" s="17" t="s">
        <v>19</v>
      </c>
      <c r="M7" s="17"/>
      <c r="N7" s="16" t="s">
        <v>35</v>
      </c>
      <c r="O7" s="16" t="s">
        <v>68</v>
      </c>
      <c r="P7" s="16" t="s">
        <v>69</v>
      </c>
      <c r="Q7" s="17"/>
      <c r="R7" s="26" t="str">
        <f>"560,0"</f>
        <v>560,0</v>
      </c>
      <c r="S7" s="27" t="str">
        <f>"486,4798"</f>
        <v>486,4798</v>
      </c>
      <c r="T7" s="15" t="s">
        <v>119</v>
      </c>
    </row>
    <row r="9" spans="1:20" ht="16">
      <c r="A9" s="49" t="s">
        <v>120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20">
      <c r="A10" s="6" t="s">
        <v>122</v>
      </c>
      <c r="B10" s="6" t="s">
        <v>123</v>
      </c>
      <c r="C10" s="6" t="s">
        <v>124</v>
      </c>
      <c r="D10" s="6" t="s">
        <v>1178</v>
      </c>
      <c r="E10" s="6" t="s">
        <v>29</v>
      </c>
      <c r="F10" s="7" t="s">
        <v>70</v>
      </c>
      <c r="G10" s="7" t="s">
        <v>44</v>
      </c>
      <c r="H10" s="7" t="s">
        <v>45</v>
      </c>
      <c r="I10" s="8"/>
      <c r="J10" s="7" t="s">
        <v>20</v>
      </c>
      <c r="K10" s="8" t="s">
        <v>30</v>
      </c>
      <c r="L10" s="8" t="s">
        <v>30</v>
      </c>
      <c r="M10" s="8"/>
      <c r="N10" s="7" t="s">
        <v>45</v>
      </c>
      <c r="O10" s="7" t="s">
        <v>48</v>
      </c>
      <c r="P10" s="8"/>
      <c r="Q10" s="8"/>
      <c r="R10" s="20" t="str">
        <f>"665,0"</f>
        <v>665,0</v>
      </c>
      <c r="S10" s="21" t="str">
        <f>"410,5710"</f>
        <v>410,5710</v>
      </c>
      <c r="T10" s="6" t="s">
        <v>1184</v>
      </c>
    </row>
    <row r="12" spans="1:20" ht="16">
      <c r="A12" s="49" t="s">
        <v>61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20">
      <c r="A13" s="9" t="s">
        <v>126</v>
      </c>
      <c r="B13" s="9" t="s">
        <v>127</v>
      </c>
      <c r="C13" s="9" t="s">
        <v>128</v>
      </c>
      <c r="D13" s="9" t="s">
        <v>1178</v>
      </c>
      <c r="E13" s="9" t="s">
        <v>29</v>
      </c>
      <c r="F13" s="10" t="s">
        <v>129</v>
      </c>
      <c r="G13" s="10" t="s">
        <v>43</v>
      </c>
      <c r="H13" s="11"/>
      <c r="I13" s="11"/>
      <c r="J13" s="10" t="s">
        <v>19</v>
      </c>
      <c r="K13" s="10" t="s">
        <v>20</v>
      </c>
      <c r="L13" s="10" t="s">
        <v>30</v>
      </c>
      <c r="M13" s="11"/>
      <c r="N13" s="10" t="s">
        <v>66</v>
      </c>
      <c r="O13" s="10" t="s">
        <v>67</v>
      </c>
      <c r="P13" s="11" t="s">
        <v>72</v>
      </c>
      <c r="Q13" s="11"/>
      <c r="R13" s="22" t="str">
        <f>"695,0"</f>
        <v>695,0</v>
      </c>
      <c r="S13" s="23" t="str">
        <f>"409,5635"</f>
        <v>409,5635</v>
      </c>
      <c r="T13" s="9" t="s">
        <v>130</v>
      </c>
    </row>
    <row r="14" spans="1:20">
      <c r="A14" s="15" t="s">
        <v>131</v>
      </c>
      <c r="B14" s="15" t="s">
        <v>132</v>
      </c>
      <c r="C14" s="15" t="s">
        <v>133</v>
      </c>
      <c r="D14" s="15" t="s">
        <v>1178</v>
      </c>
      <c r="E14" s="15" t="s">
        <v>29</v>
      </c>
      <c r="F14" s="17" t="s">
        <v>66</v>
      </c>
      <c r="G14" s="17"/>
      <c r="H14" s="17"/>
      <c r="I14" s="17"/>
      <c r="J14" s="17" t="s">
        <v>56</v>
      </c>
      <c r="K14" s="17"/>
      <c r="L14" s="17"/>
      <c r="M14" s="17"/>
      <c r="N14" s="17" t="s">
        <v>134</v>
      </c>
      <c r="O14" s="17"/>
      <c r="P14" s="17"/>
      <c r="Q14" s="17"/>
      <c r="R14" s="26" t="str">
        <f>"0.00"</f>
        <v>0.00</v>
      </c>
      <c r="S14" s="27" t="str">
        <f>"0,0000"</f>
        <v>0,0000</v>
      </c>
      <c r="T14" s="15" t="s">
        <v>135</v>
      </c>
    </row>
    <row r="24" spans="1:4" ht="18">
      <c r="A24" s="28" t="s">
        <v>80</v>
      </c>
      <c r="B24" s="28"/>
    </row>
    <row r="25" spans="1:4" ht="16">
      <c r="A25" s="29" t="s">
        <v>91</v>
      </c>
      <c r="B25" s="29"/>
    </row>
    <row r="26" spans="1:4" ht="14">
      <c r="A26" s="31"/>
      <c r="B26" s="32" t="s">
        <v>136</v>
      </c>
    </row>
    <row r="27" spans="1:4" ht="14">
      <c r="A27" s="33" t="s">
        <v>83</v>
      </c>
      <c r="B27" s="33" t="s">
        <v>84</v>
      </c>
      <c r="C27" s="33" t="s">
        <v>85</v>
      </c>
      <c r="D27" s="33" t="s">
        <v>86</v>
      </c>
    </row>
    <row r="28" spans="1:4">
      <c r="A28" s="30" t="s">
        <v>101</v>
      </c>
      <c r="B28" s="4" t="s">
        <v>137</v>
      </c>
      <c r="C28" s="4" t="s">
        <v>94</v>
      </c>
      <c r="D28" s="4" t="s">
        <v>138</v>
      </c>
    </row>
    <row r="30" spans="1:4" ht="14">
      <c r="A30" s="31"/>
      <c r="B30" s="32" t="s">
        <v>96</v>
      </c>
    </row>
    <row r="31" spans="1:4" ht="14">
      <c r="A31" s="33" t="s">
        <v>83</v>
      </c>
      <c r="B31" s="33" t="s">
        <v>84</v>
      </c>
      <c r="C31" s="33" t="s">
        <v>85</v>
      </c>
      <c r="D31" s="33" t="s">
        <v>86</v>
      </c>
    </row>
    <row r="32" spans="1:4">
      <c r="A32" s="30" t="s">
        <v>121</v>
      </c>
      <c r="B32" s="4" t="s">
        <v>96</v>
      </c>
      <c r="C32" s="4" t="s">
        <v>139</v>
      </c>
      <c r="D32" s="4" t="s">
        <v>140</v>
      </c>
    </row>
    <row r="33" spans="1:4">
      <c r="A33" s="30" t="s">
        <v>125</v>
      </c>
      <c r="B33" s="4" t="s">
        <v>96</v>
      </c>
      <c r="C33" s="4" t="s">
        <v>97</v>
      </c>
      <c r="D33" s="4" t="s">
        <v>141</v>
      </c>
    </row>
    <row r="35" spans="1:4" ht="14">
      <c r="A35" s="31"/>
      <c r="B35" s="32" t="s">
        <v>82</v>
      </c>
    </row>
    <row r="36" spans="1:4" ht="14">
      <c r="A36" s="33" t="s">
        <v>83</v>
      </c>
      <c r="B36" s="33" t="s">
        <v>84</v>
      </c>
      <c r="C36" s="33" t="s">
        <v>85</v>
      </c>
      <c r="D36" s="33" t="s">
        <v>86</v>
      </c>
    </row>
    <row r="37" spans="1:4">
      <c r="A37" s="30" t="s">
        <v>112</v>
      </c>
      <c r="B37" s="4" t="s">
        <v>142</v>
      </c>
      <c r="C37" s="4" t="s">
        <v>94</v>
      </c>
      <c r="D37" s="4" t="s">
        <v>143</v>
      </c>
    </row>
  </sheetData>
  <mergeCells count="15">
    <mergeCell ref="A9:Q9"/>
    <mergeCell ref="A12:Q12"/>
    <mergeCell ref="R3:R4"/>
    <mergeCell ref="S3:S4"/>
    <mergeCell ref="T3:T4"/>
    <mergeCell ref="A5:Q5"/>
    <mergeCell ref="A1:T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selection activeCell="E6" sqref="E1:E1048576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9.1640625" style="4" bestFit="1" customWidth="1"/>
    <col min="6" max="8" width="5.5" style="3" customWidth="1"/>
    <col min="9" max="9" width="4.83203125" style="3" customWidth="1"/>
    <col min="10" max="10" width="11.83203125" style="19" customWidth="1"/>
    <col min="11" max="11" width="8.5" style="2" bestFit="1" customWidth="1"/>
    <col min="12" max="12" width="12.33203125" style="4" bestFit="1" customWidth="1"/>
    <col min="13" max="16384" width="9.1640625" style="3"/>
  </cols>
  <sheetData>
    <row r="1" spans="1:12" s="2" customFormat="1" ht="29" customHeight="1">
      <c r="A1" s="40" t="s">
        <v>1162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9</v>
      </c>
      <c r="G3" s="34"/>
      <c r="H3" s="34"/>
      <c r="I3" s="34"/>
      <c r="J3" s="34" t="s">
        <v>503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35"/>
      <c r="K4" s="35"/>
      <c r="L4" s="37"/>
    </row>
    <row r="5" spans="1:12" ht="16">
      <c r="A5" s="38" t="s">
        <v>61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539</v>
      </c>
      <c r="B6" s="6" t="s">
        <v>540</v>
      </c>
      <c r="C6" s="6" t="s">
        <v>541</v>
      </c>
      <c r="D6" s="6" t="s">
        <v>1176</v>
      </c>
      <c r="E6" s="6" t="s">
        <v>274</v>
      </c>
      <c r="F6" s="7" t="s">
        <v>542</v>
      </c>
      <c r="G6" s="7" t="s">
        <v>543</v>
      </c>
      <c r="H6" s="8" t="s">
        <v>321</v>
      </c>
      <c r="I6" s="8"/>
      <c r="J6" s="20" t="str">
        <f>"292,5"</f>
        <v>292,5</v>
      </c>
      <c r="K6" s="21" t="str">
        <f>"172,1363"</f>
        <v>172,1363</v>
      </c>
      <c r="L6" s="6" t="s">
        <v>544</v>
      </c>
    </row>
    <row r="16" spans="1:12" ht="18">
      <c r="A16" s="28" t="s">
        <v>80</v>
      </c>
      <c r="B16" s="28"/>
    </row>
    <row r="17" spans="1:4" ht="16">
      <c r="A17" s="29" t="s">
        <v>91</v>
      </c>
      <c r="B17" s="29"/>
    </row>
    <row r="18" spans="1:4" ht="14">
      <c r="A18" s="31"/>
      <c r="B18" s="32" t="s">
        <v>96</v>
      </c>
    </row>
    <row r="19" spans="1:4" ht="14">
      <c r="A19" s="33" t="s">
        <v>83</v>
      </c>
      <c r="B19" s="33" t="s">
        <v>84</v>
      </c>
      <c r="C19" s="33" t="s">
        <v>85</v>
      </c>
      <c r="D19" s="33" t="s">
        <v>498</v>
      </c>
    </row>
    <row r="20" spans="1:4">
      <c r="A20" s="30" t="s">
        <v>538</v>
      </c>
      <c r="B20" s="4" t="s">
        <v>96</v>
      </c>
      <c r="C20" s="4" t="s">
        <v>97</v>
      </c>
      <c r="D20" s="4" t="s">
        <v>543</v>
      </c>
    </row>
  </sheetData>
  <mergeCells count="11"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5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0.33203125" style="4" bestFit="1" customWidth="1"/>
    <col min="6" max="8" width="5.5" style="3" customWidth="1"/>
    <col min="9" max="9" width="4.83203125" style="3" customWidth="1"/>
    <col min="10" max="10" width="11.5" style="19" customWidth="1"/>
    <col min="11" max="11" width="8.5" style="2" bestFit="1" customWidth="1"/>
    <col min="12" max="12" width="15.83203125" style="4" bestFit="1" customWidth="1"/>
    <col min="13" max="16384" width="9.1640625" style="3"/>
  </cols>
  <sheetData>
    <row r="1" spans="1:12" s="2" customFormat="1" ht="29" customHeight="1">
      <c r="A1" s="40" t="s">
        <v>1163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9</v>
      </c>
      <c r="G3" s="34"/>
      <c r="H3" s="34"/>
      <c r="I3" s="34"/>
      <c r="J3" s="34" t="s">
        <v>503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35"/>
      <c r="K4" s="35"/>
      <c r="L4" s="37"/>
    </row>
    <row r="5" spans="1:12" ht="16">
      <c r="A5" s="38" t="s">
        <v>37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505</v>
      </c>
      <c r="B6" s="6" t="s">
        <v>506</v>
      </c>
      <c r="C6" s="6" t="s">
        <v>367</v>
      </c>
      <c r="D6" s="6" t="s">
        <v>1180</v>
      </c>
      <c r="E6" s="6" t="s">
        <v>29</v>
      </c>
      <c r="F6" s="7" t="s">
        <v>110</v>
      </c>
      <c r="G6" s="8" t="s">
        <v>240</v>
      </c>
      <c r="H6" s="7" t="s">
        <v>240</v>
      </c>
      <c r="I6" s="8"/>
      <c r="J6" s="20" t="str">
        <f>"47,5"</f>
        <v>47,5</v>
      </c>
      <c r="K6" s="21" t="str">
        <f>"45,0242"</f>
        <v>45,0242</v>
      </c>
      <c r="L6" s="6" t="s">
        <v>111</v>
      </c>
    </row>
    <row r="8" spans="1:12" ht="16">
      <c r="A8" s="49" t="s">
        <v>25</v>
      </c>
      <c r="B8" s="49"/>
      <c r="C8" s="49"/>
      <c r="D8" s="49"/>
      <c r="E8" s="49"/>
      <c r="F8" s="49"/>
      <c r="G8" s="49"/>
      <c r="H8" s="49"/>
      <c r="I8" s="49"/>
    </row>
    <row r="9" spans="1:12">
      <c r="A9" s="6" t="s">
        <v>350</v>
      </c>
      <c r="B9" s="6" t="s">
        <v>351</v>
      </c>
      <c r="C9" s="6" t="s">
        <v>352</v>
      </c>
      <c r="D9" s="6" t="s">
        <v>1185</v>
      </c>
      <c r="E9" s="6" t="s">
        <v>353</v>
      </c>
      <c r="F9" s="7" t="s">
        <v>238</v>
      </c>
      <c r="G9" s="7" t="s">
        <v>21</v>
      </c>
      <c r="H9" s="8" t="s">
        <v>507</v>
      </c>
      <c r="I9" s="8"/>
      <c r="J9" s="20" t="str">
        <f>"80,0"</f>
        <v>80,0</v>
      </c>
      <c r="K9" s="21" t="str">
        <f>"122,7339"</f>
        <v>122,7339</v>
      </c>
      <c r="L9" s="6"/>
    </row>
    <row r="11" spans="1:12" ht="16">
      <c r="A11" s="49" t="s">
        <v>184</v>
      </c>
      <c r="B11" s="49"/>
      <c r="C11" s="49"/>
      <c r="D11" s="49"/>
      <c r="E11" s="49"/>
      <c r="F11" s="49"/>
      <c r="G11" s="49"/>
      <c r="H11" s="49"/>
      <c r="I11" s="49"/>
    </row>
    <row r="12" spans="1:12">
      <c r="A12" s="9" t="s">
        <v>509</v>
      </c>
      <c r="B12" s="9" t="s">
        <v>510</v>
      </c>
      <c r="C12" s="9" t="s">
        <v>204</v>
      </c>
      <c r="D12" s="9" t="s">
        <v>1179</v>
      </c>
      <c r="E12" s="9" t="s">
        <v>511</v>
      </c>
      <c r="F12" s="10" t="s">
        <v>56</v>
      </c>
      <c r="G12" s="11" t="s">
        <v>358</v>
      </c>
      <c r="H12" s="10" t="s">
        <v>358</v>
      </c>
      <c r="I12" s="11"/>
      <c r="J12" s="22" t="str">
        <f>"187,5"</f>
        <v>187,5</v>
      </c>
      <c r="K12" s="23" t="str">
        <f>"121,3312"</f>
        <v>121,3312</v>
      </c>
      <c r="L12" s="9" t="s">
        <v>512</v>
      </c>
    </row>
    <row r="13" spans="1:12">
      <c r="A13" s="15" t="s">
        <v>514</v>
      </c>
      <c r="B13" s="15" t="s">
        <v>515</v>
      </c>
      <c r="C13" s="15" t="s">
        <v>204</v>
      </c>
      <c r="D13" s="15" t="s">
        <v>1178</v>
      </c>
      <c r="E13" s="15" t="s">
        <v>511</v>
      </c>
      <c r="F13" s="16" t="s">
        <v>181</v>
      </c>
      <c r="G13" s="16" t="s">
        <v>45</v>
      </c>
      <c r="H13" s="17" t="s">
        <v>57</v>
      </c>
      <c r="I13" s="17"/>
      <c r="J13" s="26" t="str">
        <f>"250,0"</f>
        <v>250,0</v>
      </c>
      <c r="K13" s="27" t="str">
        <f>"161,7750"</f>
        <v>161,7750</v>
      </c>
      <c r="L13" s="15" t="s">
        <v>512</v>
      </c>
    </row>
    <row r="15" spans="1:12" ht="16">
      <c r="A15" s="49" t="s">
        <v>120</v>
      </c>
      <c r="B15" s="49"/>
      <c r="C15" s="49"/>
      <c r="D15" s="49"/>
      <c r="E15" s="49"/>
      <c r="F15" s="49"/>
      <c r="G15" s="49"/>
      <c r="H15" s="49"/>
      <c r="I15" s="49"/>
    </row>
    <row r="16" spans="1:12">
      <c r="A16" s="9" t="s">
        <v>517</v>
      </c>
      <c r="B16" s="9" t="s">
        <v>518</v>
      </c>
      <c r="C16" s="9" t="s">
        <v>519</v>
      </c>
      <c r="D16" s="9" t="s">
        <v>1178</v>
      </c>
      <c r="E16" s="9" t="s">
        <v>29</v>
      </c>
      <c r="F16" s="10" t="s">
        <v>71</v>
      </c>
      <c r="G16" s="10" t="s">
        <v>211</v>
      </c>
      <c r="H16" s="11" t="s">
        <v>149</v>
      </c>
      <c r="I16" s="11"/>
      <c r="J16" s="22" t="str">
        <f>"295,0"</f>
        <v>295,0</v>
      </c>
      <c r="K16" s="23" t="str">
        <f>"181,2480"</f>
        <v>181,2480</v>
      </c>
      <c r="L16" s="9" t="s">
        <v>520</v>
      </c>
    </row>
    <row r="17" spans="1:12">
      <c r="A17" s="12" t="s">
        <v>522</v>
      </c>
      <c r="B17" s="12" t="s">
        <v>523</v>
      </c>
      <c r="C17" s="12" t="s">
        <v>524</v>
      </c>
      <c r="D17" s="12" t="s">
        <v>1178</v>
      </c>
      <c r="E17" s="12" t="s">
        <v>525</v>
      </c>
      <c r="F17" s="14" t="s">
        <v>198</v>
      </c>
      <c r="G17" s="14" t="s">
        <v>183</v>
      </c>
      <c r="H17" s="13" t="s">
        <v>129</v>
      </c>
      <c r="I17" s="13"/>
      <c r="J17" s="24" t="str">
        <f>"210,0"</f>
        <v>210,0</v>
      </c>
      <c r="K17" s="25" t="str">
        <f>"128,3310"</f>
        <v>128,3310</v>
      </c>
      <c r="L17" s="12" t="s">
        <v>526</v>
      </c>
    </row>
    <row r="18" spans="1:12">
      <c r="A18" s="12" t="s">
        <v>527</v>
      </c>
      <c r="B18" s="12" t="s">
        <v>528</v>
      </c>
      <c r="C18" s="12" t="s">
        <v>529</v>
      </c>
      <c r="D18" s="12" t="s">
        <v>1178</v>
      </c>
      <c r="E18" s="12" t="s">
        <v>530</v>
      </c>
      <c r="F18" s="13" t="s">
        <v>57</v>
      </c>
      <c r="G18" s="13" t="s">
        <v>57</v>
      </c>
      <c r="H18" s="13" t="s">
        <v>57</v>
      </c>
      <c r="I18" s="13"/>
      <c r="J18" s="24" t="str">
        <f>"0.00"</f>
        <v>0.00</v>
      </c>
      <c r="K18" s="25" t="str">
        <f>"0,0000"</f>
        <v>0,0000</v>
      </c>
      <c r="L18" s="12"/>
    </row>
    <row r="19" spans="1:12">
      <c r="A19" s="12" t="s">
        <v>531</v>
      </c>
      <c r="B19" s="12" t="s">
        <v>532</v>
      </c>
      <c r="C19" s="12" t="s">
        <v>524</v>
      </c>
      <c r="D19" s="12" t="s">
        <v>1180</v>
      </c>
      <c r="E19" s="12" t="s">
        <v>525</v>
      </c>
      <c r="F19" s="14" t="s">
        <v>198</v>
      </c>
      <c r="G19" s="14" t="s">
        <v>183</v>
      </c>
      <c r="H19" s="13" t="s">
        <v>129</v>
      </c>
      <c r="I19" s="13"/>
      <c r="J19" s="24" t="str">
        <f>"210,0"</f>
        <v>210,0</v>
      </c>
      <c r="K19" s="25" t="str">
        <f>"129,6143"</f>
        <v>129,6143</v>
      </c>
      <c r="L19" s="12" t="s">
        <v>526</v>
      </c>
    </row>
    <row r="20" spans="1:12">
      <c r="A20" s="15" t="s">
        <v>517</v>
      </c>
      <c r="B20" s="15" t="s">
        <v>533</v>
      </c>
      <c r="C20" s="15" t="s">
        <v>519</v>
      </c>
      <c r="D20" s="15" t="s">
        <v>1186</v>
      </c>
      <c r="E20" s="15" t="s">
        <v>29</v>
      </c>
      <c r="F20" s="16" t="s">
        <v>71</v>
      </c>
      <c r="G20" s="16" t="s">
        <v>211</v>
      </c>
      <c r="H20" s="17" t="s">
        <v>149</v>
      </c>
      <c r="I20" s="17"/>
      <c r="J20" s="26" t="str">
        <f>"295,0"</f>
        <v>295,0</v>
      </c>
      <c r="K20" s="27" t="str">
        <f>"196,1103"</f>
        <v>196,1103</v>
      </c>
      <c r="L20" s="15" t="s">
        <v>520</v>
      </c>
    </row>
    <row r="22" spans="1:12" ht="16">
      <c r="A22" s="49" t="s">
        <v>205</v>
      </c>
      <c r="B22" s="49"/>
      <c r="C22" s="49"/>
      <c r="D22" s="49"/>
      <c r="E22" s="49"/>
      <c r="F22" s="49"/>
      <c r="G22" s="49"/>
      <c r="H22" s="49"/>
      <c r="I22" s="49"/>
    </row>
    <row r="23" spans="1:12">
      <c r="A23" s="6" t="s">
        <v>534</v>
      </c>
      <c r="B23" s="6" t="s">
        <v>535</v>
      </c>
      <c r="C23" s="6" t="s">
        <v>536</v>
      </c>
      <c r="D23" s="6" t="s">
        <v>1178</v>
      </c>
      <c r="E23" s="6" t="s">
        <v>537</v>
      </c>
      <c r="F23" s="8" t="s">
        <v>66</v>
      </c>
      <c r="G23" s="8" t="s">
        <v>66</v>
      </c>
      <c r="H23" s="8" t="s">
        <v>66</v>
      </c>
      <c r="I23" s="8"/>
      <c r="J23" s="20" t="str">
        <f>"0.00"</f>
        <v>0.00</v>
      </c>
      <c r="K23" s="21" t="str">
        <f>"0,0000"</f>
        <v>0,0000</v>
      </c>
      <c r="L23" s="6"/>
    </row>
    <row r="33" spans="1:4" ht="18">
      <c r="A33" s="28" t="s">
        <v>80</v>
      </c>
      <c r="B33" s="28"/>
    </row>
    <row r="34" spans="1:4" ht="16">
      <c r="A34" s="29" t="s">
        <v>81</v>
      </c>
      <c r="B34" s="29"/>
    </row>
    <row r="35" spans="1:4" ht="14">
      <c r="A35" s="31"/>
      <c r="B35" s="32" t="s">
        <v>82</v>
      </c>
    </row>
    <row r="36" spans="1:4" ht="14">
      <c r="A36" s="33" t="s">
        <v>83</v>
      </c>
      <c r="B36" s="33" t="s">
        <v>84</v>
      </c>
      <c r="C36" s="33" t="s">
        <v>85</v>
      </c>
      <c r="D36" s="33" t="s">
        <v>498</v>
      </c>
    </row>
    <row r="37" spans="1:4">
      <c r="A37" s="30" t="s">
        <v>504</v>
      </c>
      <c r="B37" s="4" t="s">
        <v>100</v>
      </c>
      <c r="C37" s="4" t="s">
        <v>94</v>
      </c>
      <c r="D37" s="4" t="s">
        <v>240</v>
      </c>
    </row>
    <row r="40" spans="1:4" ht="16">
      <c r="A40" s="29" t="s">
        <v>91</v>
      </c>
      <c r="B40" s="29"/>
    </row>
    <row r="41" spans="1:4" ht="14">
      <c r="A41" s="31"/>
      <c r="B41" s="32" t="s">
        <v>92</v>
      </c>
    </row>
    <row r="42" spans="1:4" ht="14">
      <c r="A42" s="33" t="s">
        <v>83</v>
      </c>
      <c r="B42" s="33" t="s">
        <v>84</v>
      </c>
      <c r="C42" s="33" t="s">
        <v>85</v>
      </c>
      <c r="D42" s="33" t="s">
        <v>498</v>
      </c>
    </row>
    <row r="43" spans="1:4">
      <c r="A43" s="30" t="s">
        <v>508</v>
      </c>
      <c r="B43" s="4" t="s">
        <v>93</v>
      </c>
      <c r="C43" s="4" t="s">
        <v>226</v>
      </c>
      <c r="D43" s="4" t="s">
        <v>358</v>
      </c>
    </row>
    <row r="45" spans="1:4" ht="14">
      <c r="A45" s="31"/>
      <c r="B45" s="32" t="s">
        <v>96</v>
      </c>
    </row>
    <row r="46" spans="1:4" ht="14">
      <c r="A46" s="33" t="s">
        <v>83</v>
      </c>
      <c r="B46" s="33" t="s">
        <v>84</v>
      </c>
      <c r="C46" s="33" t="s">
        <v>85</v>
      </c>
      <c r="D46" s="33" t="s">
        <v>498</v>
      </c>
    </row>
    <row r="47" spans="1:4">
      <c r="A47" s="30" t="s">
        <v>516</v>
      </c>
      <c r="B47" s="4" t="s">
        <v>96</v>
      </c>
      <c r="C47" s="4" t="s">
        <v>139</v>
      </c>
      <c r="D47" s="4" t="s">
        <v>211</v>
      </c>
    </row>
    <row r="48" spans="1:4">
      <c r="A48" s="30" t="s">
        <v>513</v>
      </c>
      <c r="B48" s="4" t="s">
        <v>96</v>
      </c>
      <c r="C48" s="4" t="s">
        <v>226</v>
      </c>
      <c r="D48" s="4" t="s">
        <v>45</v>
      </c>
    </row>
    <row r="49" spans="1:4">
      <c r="A49" s="30" t="s">
        <v>521</v>
      </c>
      <c r="B49" s="4" t="s">
        <v>96</v>
      </c>
      <c r="C49" s="4" t="s">
        <v>139</v>
      </c>
      <c r="D49" s="4" t="s">
        <v>183</v>
      </c>
    </row>
    <row r="51" spans="1:4" ht="14">
      <c r="A51" s="31"/>
      <c r="B51" s="32" t="s">
        <v>82</v>
      </c>
    </row>
    <row r="52" spans="1:4" ht="14">
      <c r="A52" s="33" t="s">
        <v>83</v>
      </c>
      <c r="B52" s="33" t="s">
        <v>84</v>
      </c>
      <c r="C52" s="33" t="s">
        <v>85</v>
      </c>
      <c r="D52" s="33" t="s">
        <v>498</v>
      </c>
    </row>
    <row r="53" spans="1:4">
      <c r="A53" s="30" t="s">
        <v>516</v>
      </c>
      <c r="B53" s="4" t="s">
        <v>329</v>
      </c>
      <c r="C53" s="4" t="s">
        <v>139</v>
      </c>
      <c r="D53" s="4" t="s">
        <v>211</v>
      </c>
    </row>
    <row r="54" spans="1:4">
      <c r="A54" s="30" t="s">
        <v>521</v>
      </c>
      <c r="B54" s="4" t="s">
        <v>100</v>
      </c>
      <c r="C54" s="4" t="s">
        <v>139</v>
      </c>
      <c r="D54" s="4" t="s">
        <v>183</v>
      </c>
    </row>
    <row r="55" spans="1:4">
      <c r="A55" s="30" t="s">
        <v>349</v>
      </c>
      <c r="B55" s="4" t="s">
        <v>501</v>
      </c>
      <c r="C55" s="4" t="s">
        <v>222</v>
      </c>
      <c r="D55" s="4" t="s">
        <v>21</v>
      </c>
    </row>
  </sheetData>
  <mergeCells count="15">
    <mergeCell ref="A8:I8"/>
    <mergeCell ref="A11:I11"/>
    <mergeCell ref="A15:I15"/>
    <mergeCell ref="A22:I22"/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8"/>
  <sheetViews>
    <sheetView workbookViewId="0">
      <selection activeCell="D54" sqref="D54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3.5" style="4" bestFit="1" customWidth="1"/>
    <col min="6" max="9" width="5.5" style="3" customWidth="1"/>
    <col min="10" max="10" width="13" style="19" customWidth="1"/>
    <col min="11" max="11" width="8.5" style="2" bestFit="1" customWidth="1"/>
    <col min="12" max="12" width="17.6640625" style="4" bestFit="1" customWidth="1"/>
    <col min="13" max="16384" width="9.1640625" style="3"/>
  </cols>
  <sheetData>
    <row r="1" spans="1:12" s="2" customFormat="1" ht="29" customHeight="1">
      <c r="A1" s="40" t="s">
        <v>1164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9</v>
      </c>
      <c r="G3" s="34"/>
      <c r="H3" s="34"/>
      <c r="I3" s="34"/>
      <c r="J3" s="34" t="s">
        <v>503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35"/>
      <c r="K4" s="35"/>
      <c r="L4" s="37"/>
    </row>
    <row r="5" spans="1:12" ht="16">
      <c r="A5" s="38" t="s">
        <v>11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339</v>
      </c>
      <c r="B6" s="6" t="s">
        <v>340</v>
      </c>
      <c r="C6" s="6" t="s">
        <v>341</v>
      </c>
      <c r="D6" s="6" t="s">
        <v>1182</v>
      </c>
      <c r="E6" s="6" t="s">
        <v>342</v>
      </c>
      <c r="F6" s="7" t="s">
        <v>262</v>
      </c>
      <c r="G6" s="7" t="s">
        <v>22</v>
      </c>
      <c r="H6" s="8" t="s">
        <v>248</v>
      </c>
      <c r="I6" s="8"/>
      <c r="J6" s="20" t="str">
        <f>"90,0"</f>
        <v>90,0</v>
      </c>
      <c r="K6" s="21" t="str">
        <f>"75,4020"</f>
        <v>75,4020</v>
      </c>
      <c r="L6" s="6" t="s">
        <v>343</v>
      </c>
    </row>
    <row r="8" spans="1:12" ht="16">
      <c r="A8" s="49" t="s">
        <v>25</v>
      </c>
      <c r="B8" s="49"/>
      <c r="C8" s="49"/>
      <c r="D8" s="49"/>
      <c r="E8" s="49"/>
      <c r="F8" s="49"/>
      <c r="G8" s="49"/>
      <c r="H8" s="49"/>
      <c r="I8" s="49"/>
    </row>
    <row r="9" spans="1:12">
      <c r="A9" s="9" t="s">
        <v>345</v>
      </c>
      <c r="B9" s="9" t="s">
        <v>346</v>
      </c>
      <c r="C9" s="9" t="s">
        <v>347</v>
      </c>
      <c r="D9" s="9" t="s">
        <v>1191</v>
      </c>
      <c r="E9" s="9" t="s">
        <v>29</v>
      </c>
      <c r="F9" s="10" t="s">
        <v>21</v>
      </c>
      <c r="G9" s="10" t="s">
        <v>22</v>
      </c>
      <c r="H9" s="11" t="s">
        <v>23</v>
      </c>
      <c r="I9" s="11"/>
      <c r="J9" s="22" t="str">
        <f>"90,0"</f>
        <v>90,0</v>
      </c>
      <c r="K9" s="23" t="str">
        <f>"113,2557"</f>
        <v>113,2557</v>
      </c>
      <c r="L9" s="9" t="s">
        <v>348</v>
      </c>
    </row>
    <row r="10" spans="1:12">
      <c r="A10" s="15" t="s">
        <v>350</v>
      </c>
      <c r="B10" s="15" t="s">
        <v>351</v>
      </c>
      <c r="C10" s="15" t="s">
        <v>352</v>
      </c>
      <c r="D10" s="15" t="s">
        <v>1185</v>
      </c>
      <c r="E10" s="15" t="s">
        <v>353</v>
      </c>
      <c r="F10" s="16" t="s">
        <v>107</v>
      </c>
      <c r="G10" s="16" t="s">
        <v>238</v>
      </c>
      <c r="H10" s="17" t="s">
        <v>21</v>
      </c>
      <c r="I10" s="17"/>
      <c r="J10" s="26" t="str">
        <f>"77,5"</f>
        <v>77,5</v>
      </c>
      <c r="K10" s="27" t="str">
        <f>"118,8985"</f>
        <v>118,8985</v>
      </c>
      <c r="L10" s="15"/>
    </row>
    <row r="12" spans="1:12" ht="16">
      <c r="A12" s="49" t="s">
        <v>37</v>
      </c>
      <c r="B12" s="49"/>
      <c r="C12" s="49"/>
      <c r="D12" s="49"/>
      <c r="E12" s="49"/>
      <c r="F12" s="49"/>
      <c r="G12" s="49"/>
      <c r="H12" s="49"/>
      <c r="I12" s="49"/>
    </row>
    <row r="13" spans="1:12">
      <c r="A13" s="9" t="s">
        <v>355</v>
      </c>
      <c r="B13" s="9" t="s">
        <v>356</v>
      </c>
      <c r="C13" s="9" t="s">
        <v>279</v>
      </c>
      <c r="D13" s="9" t="s">
        <v>1178</v>
      </c>
      <c r="E13" s="9" t="s">
        <v>357</v>
      </c>
      <c r="F13" s="10" t="s">
        <v>174</v>
      </c>
      <c r="G13" s="10" t="s">
        <v>358</v>
      </c>
      <c r="H13" s="11" t="s">
        <v>297</v>
      </c>
      <c r="I13" s="11"/>
      <c r="J13" s="22" t="str">
        <f>"187,5"</f>
        <v>187,5</v>
      </c>
      <c r="K13" s="23" t="str">
        <f>"128,9250"</f>
        <v>128,9250</v>
      </c>
      <c r="L13" s="9" t="s">
        <v>359</v>
      </c>
    </row>
    <row r="14" spans="1:12">
      <c r="A14" s="12" t="s">
        <v>361</v>
      </c>
      <c r="B14" s="12" t="s">
        <v>362</v>
      </c>
      <c r="C14" s="12" t="s">
        <v>363</v>
      </c>
      <c r="D14" s="12" t="s">
        <v>1178</v>
      </c>
      <c r="E14" s="12" t="s">
        <v>29</v>
      </c>
      <c r="F14" s="14" t="s">
        <v>20</v>
      </c>
      <c r="G14" s="14" t="s">
        <v>335</v>
      </c>
      <c r="H14" s="14" t="s">
        <v>46</v>
      </c>
      <c r="I14" s="13" t="s">
        <v>55</v>
      </c>
      <c r="J14" s="24" t="str">
        <f>"165,0"</f>
        <v>165,0</v>
      </c>
      <c r="K14" s="25" t="str">
        <f>"111,1935"</f>
        <v>111,1935</v>
      </c>
      <c r="L14" s="12"/>
    </row>
    <row r="15" spans="1:12">
      <c r="A15" s="12" t="s">
        <v>365</v>
      </c>
      <c r="B15" s="12" t="s">
        <v>366</v>
      </c>
      <c r="C15" s="12" t="s">
        <v>367</v>
      </c>
      <c r="D15" s="12" t="s">
        <v>1178</v>
      </c>
      <c r="E15" s="12" t="s">
        <v>368</v>
      </c>
      <c r="F15" s="14" t="s">
        <v>369</v>
      </c>
      <c r="G15" s="14" t="s">
        <v>18</v>
      </c>
      <c r="H15" s="13" t="s">
        <v>118</v>
      </c>
      <c r="I15" s="13"/>
      <c r="J15" s="24" t="str">
        <f>"140,0"</f>
        <v>140,0</v>
      </c>
      <c r="K15" s="25" t="str">
        <f>"94,8360"</f>
        <v>94,8360</v>
      </c>
      <c r="L15" s="12" t="s">
        <v>1187</v>
      </c>
    </row>
    <row r="16" spans="1:12">
      <c r="A16" s="12" t="s">
        <v>370</v>
      </c>
      <c r="B16" s="12" t="s">
        <v>371</v>
      </c>
      <c r="C16" s="12" t="s">
        <v>363</v>
      </c>
      <c r="D16" s="12" t="s">
        <v>1177</v>
      </c>
      <c r="E16" s="12" t="s">
        <v>29</v>
      </c>
      <c r="F16" s="14" t="s">
        <v>20</v>
      </c>
      <c r="G16" s="14" t="s">
        <v>335</v>
      </c>
      <c r="H16" s="14" t="s">
        <v>46</v>
      </c>
      <c r="I16" s="13" t="s">
        <v>55</v>
      </c>
      <c r="J16" s="24" t="str">
        <f>"165,0"</f>
        <v>165,0</v>
      </c>
      <c r="K16" s="25" t="str">
        <f>"125,6487"</f>
        <v>125,6487</v>
      </c>
      <c r="L16" s="12"/>
    </row>
    <row r="17" spans="1:12">
      <c r="A17" s="15" t="s">
        <v>373</v>
      </c>
      <c r="B17" s="15" t="s">
        <v>374</v>
      </c>
      <c r="C17" s="15" t="s">
        <v>375</v>
      </c>
      <c r="D17" s="15" t="s">
        <v>1183</v>
      </c>
      <c r="E17" s="15" t="s">
        <v>29</v>
      </c>
      <c r="F17" s="16" t="s">
        <v>23</v>
      </c>
      <c r="G17" s="16" t="s">
        <v>32</v>
      </c>
      <c r="H17" s="17" t="s">
        <v>33</v>
      </c>
      <c r="I17" s="17"/>
      <c r="J17" s="26" t="str">
        <f>"110,0"</f>
        <v>110,0</v>
      </c>
      <c r="K17" s="27" t="str">
        <f>"94,7069"</f>
        <v>94,7069</v>
      </c>
      <c r="L17" s="15"/>
    </row>
    <row r="19" spans="1:12" ht="16">
      <c r="A19" s="49" t="s">
        <v>184</v>
      </c>
      <c r="B19" s="49"/>
      <c r="C19" s="49"/>
      <c r="D19" s="49"/>
      <c r="E19" s="49"/>
      <c r="F19" s="49"/>
      <c r="G19" s="49"/>
      <c r="H19" s="49"/>
      <c r="I19" s="49"/>
    </row>
    <row r="20" spans="1:12">
      <c r="A20" s="9" t="s">
        <v>377</v>
      </c>
      <c r="B20" s="9" t="s">
        <v>378</v>
      </c>
      <c r="C20" s="9" t="s">
        <v>379</v>
      </c>
      <c r="D20" s="9" t="s">
        <v>1178</v>
      </c>
      <c r="E20" s="9" t="s">
        <v>380</v>
      </c>
      <c r="F20" s="10" t="s">
        <v>46</v>
      </c>
      <c r="G20" s="10" t="s">
        <v>286</v>
      </c>
      <c r="H20" s="10" t="s">
        <v>56</v>
      </c>
      <c r="I20" s="11"/>
      <c r="J20" s="22" t="str">
        <f>"180,0"</f>
        <v>180,0</v>
      </c>
      <c r="K20" s="23" t="str">
        <f>"120,0600"</f>
        <v>120,0600</v>
      </c>
      <c r="L20" s="9"/>
    </row>
    <row r="21" spans="1:12">
      <c r="A21" s="12" t="s">
        <v>382</v>
      </c>
      <c r="B21" s="12" t="s">
        <v>383</v>
      </c>
      <c r="C21" s="12" t="s">
        <v>384</v>
      </c>
      <c r="D21" s="12" t="s">
        <v>1180</v>
      </c>
      <c r="E21" s="12" t="s">
        <v>29</v>
      </c>
      <c r="F21" s="13" t="s">
        <v>385</v>
      </c>
      <c r="G21" s="14" t="s">
        <v>32</v>
      </c>
      <c r="H21" s="13" t="s">
        <v>33</v>
      </c>
      <c r="I21" s="13"/>
      <c r="J21" s="24" t="str">
        <f>"110,0"</f>
        <v>110,0</v>
      </c>
      <c r="K21" s="25" t="str">
        <f>"72,4261"</f>
        <v>72,4261</v>
      </c>
      <c r="L21" s="12"/>
    </row>
    <row r="22" spans="1:12">
      <c r="A22" s="12" t="s">
        <v>387</v>
      </c>
      <c r="B22" s="12" t="s">
        <v>388</v>
      </c>
      <c r="C22" s="12" t="s">
        <v>389</v>
      </c>
      <c r="D22" s="12" t="s">
        <v>1177</v>
      </c>
      <c r="E22" s="12" t="s">
        <v>29</v>
      </c>
      <c r="F22" s="14" t="s">
        <v>19</v>
      </c>
      <c r="G22" s="14" t="s">
        <v>182</v>
      </c>
      <c r="H22" s="14" t="s">
        <v>20</v>
      </c>
      <c r="I22" s="13"/>
      <c r="J22" s="24" t="str">
        <f>"160,0"</f>
        <v>160,0</v>
      </c>
      <c r="K22" s="25" t="str">
        <f>"118,1869"</f>
        <v>118,1869</v>
      </c>
      <c r="L22" s="12"/>
    </row>
    <row r="23" spans="1:12">
      <c r="A23" s="12" t="s">
        <v>391</v>
      </c>
      <c r="B23" s="12" t="s">
        <v>392</v>
      </c>
      <c r="C23" s="12" t="s">
        <v>393</v>
      </c>
      <c r="D23" s="12" t="s">
        <v>1177</v>
      </c>
      <c r="E23" s="12" t="s">
        <v>29</v>
      </c>
      <c r="F23" s="14" t="s">
        <v>167</v>
      </c>
      <c r="G23" s="13" t="s">
        <v>19</v>
      </c>
      <c r="H23" s="14" t="s">
        <v>19</v>
      </c>
      <c r="I23" s="13"/>
      <c r="J23" s="24" t="str">
        <f>"150,0"</f>
        <v>150,0</v>
      </c>
      <c r="K23" s="25" t="str">
        <f>"115,5479"</f>
        <v>115,5479</v>
      </c>
      <c r="L23" s="12"/>
    </row>
    <row r="24" spans="1:12">
      <c r="A24" s="12" t="s">
        <v>395</v>
      </c>
      <c r="B24" s="12" t="s">
        <v>396</v>
      </c>
      <c r="C24" s="12" t="s">
        <v>397</v>
      </c>
      <c r="D24" s="12" t="s">
        <v>1183</v>
      </c>
      <c r="E24" s="12" t="s">
        <v>398</v>
      </c>
      <c r="F24" s="14" t="s">
        <v>399</v>
      </c>
      <c r="G24" s="14" t="s">
        <v>31</v>
      </c>
      <c r="H24" s="13" t="s">
        <v>174</v>
      </c>
      <c r="I24" s="13"/>
      <c r="J24" s="24" t="str">
        <f>"182,5"</f>
        <v>182,5</v>
      </c>
      <c r="K24" s="25" t="str">
        <f>"153,0271"</f>
        <v>153,0271</v>
      </c>
      <c r="L24" s="12"/>
    </row>
    <row r="25" spans="1:12">
      <c r="A25" s="12" t="s">
        <v>401</v>
      </c>
      <c r="B25" s="12" t="s">
        <v>402</v>
      </c>
      <c r="C25" s="12" t="s">
        <v>403</v>
      </c>
      <c r="D25" s="12" t="s">
        <v>1192</v>
      </c>
      <c r="E25" s="12" t="s">
        <v>380</v>
      </c>
      <c r="F25" s="14" t="s">
        <v>118</v>
      </c>
      <c r="G25" s="14" t="s">
        <v>182</v>
      </c>
      <c r="H25" s="14" t="s">
        <v>20</v>
      </c>
      <c r="I25" s="13"/>
      <c r="J25" s="24" t="str">
        <f>"160,0"</f>
        <v>160,0</v>
      </c>
      <c r="K25" s="25" t="str">
        <f>"140,4963"</f>
        <v>140,4963</v>
      </c>
      <c r="L25" s="12"/>
    </row>
    <row r="26" spans="1:12">
      <c r="A26" s="15" t="s">
        <v>405</v>
      </c>
      <c r="B26" s="15" t="s">
        <v>406</v>
      </c>
      <c r="C26" s="15" t="s">
        <v>407</v>
      </c>
      <c r="D26" s="15" t="s">
        <v>1191</v>
      </c>
      <c r="E26" s="15" t="s">
        <v>29</v>
      </c>
      <c r="F26" s="16" t="s">
        <v>34</v>
      </c>
      <c r="G26" s="16" t="s">
        <v>173</v>
      </c>
      <c r="H26" s="16" t="s">
        <v>18</v>
      </c>
      <c r="I26" s="17"/>
      <c r="J26" s="26" t="str">
        <f>"140,0"</f>
        <v>140,0</v>
      </c>
      <c r="K26" s="27" t="str">
        <f>"156,0253"</f>
        <v>156,0253</v>
      </c>
      <c r="L26" s="15" t="s">
        <v>348</v>
      </c>
    </row>
    <row r="28" spans="1:12" ht="16">
      <c r="A28" s="49" t="s">
        <v>120</v>
      </c>
      <c r="B28" s="49"/>
      <c r="C28" s="49"/>
      <c r="D28" s="49"/>
      <c r="E28" s="49"/>
      <c r="F28" s="49"/>
      <c r="G28" s="49"/>
      <c r="H28" s="49"/>
      <c r="I28" s="49"/>
    </row>
    <row r="29" spans="1:12">
      <c r="A29" s="9" t="s">
        <v>409</v>
      </c>
      <c r="B29" s="9" t="s">
        <v>410</v>
      </c>
      <c r="C29" s="9" t="s">
        <v>411</v>
      </c>
      <c r="D29" s="9" t="s">
        <v>1179</v>
      </c>
      <c r="E29" s="9" t="s">
        <v>29</v>
      </c>
      <c r="F29" s="10" t="s">
        <v>118</v>
      </c>
      <c r="G29" s="10" t="s">
        <v>182</v>
      </c>
      <c r="H29" s="10" t="s">
        <v>20</v>
      </c>
      <c r="I29" s="11"/>
      <c r="J29" s="22" t="str">
        <f>"160,0"</f>
        <v>160,0</v>
      </c>
      <c r="K29" s="23" t="str">
        <f>"97,6160"</f>
        <v>97,6160</v>
      </c>
      <c r="L29" s="9" t="s">
        <v>412</v>
      </c>
    </row>
    <row r="30" spans="1:12">
      <c r="A30" s="12" t="s">
        <v>414</v>
      </c>
      <c r="B30" s="12" t="s">
        <v>415</v>
      </c>
      <c r="C30" s="12" t="s">
        <v>416</v>
      </c>
      <c r="D30" s="12" t="s">
        <v>1178</v>
      </c>
      <c r="E30" s="12" t="s">
        <v>29</v>
      </c>
      <c r="F30" s="14" t="s">
        <v>417</v>
      </c>
      <c r="G30" s="14" t="s">
        <v>35</v>
      </c>
      <c r="H30" s="13" t="s">
        <v>199</v>
      </c>
      <c r="I30" s="13"/>
      <c r="J30" s="24" t="str">
        <f>"200,0"</f>
        <v>200,0</v>
      </c>
      <c r="K30" s="25" t="str">
        <f>"122,5200"</f>
        <v>122,5200</v>
      </c>
      <c r="L30" s="12"/>
    </row>
    <row r="31" spans="1:12">
      <c r="A31" s="12" t="s">
        <v>419</v>
      </c>
      <c r="B31" s="12" t="s">
        <v>420</v>
      </c>
      <c r="C31" s="12" t="s">
        <v>421</v>
      </c>
      <c r="D31" s="12" t="s">
        <v>1178</v>
      </c>
      <c r="E31" s="12" t="s">
        <v>29</v>
      </c>
      <c r="F31" s="14" t="s">
        <v>20</v>
      </c>
      <c r="G31" s="13" t="s">
        <v>55</v>
      </c>
      <c r="H31" s="14" t="s">
        <v>55</v>
      </c>
      <c r="I31" s="13"/>
      <c r="J31" s="24" t="str">
        <f>"167,5"</f>
        <v>167,5</v>
      </c>
      <c r="K31" s="25" t="str">
        <f>"102,5602"</f>
        <v>102,5602</v>
      </c>
      <c r="L31" s="12"/>
    </row>
    <row r="32" spans="1:12">
      <c r="A32" s="12" t="s">
        <v>423</v>
      </c>
      <c r="B32" s="12" t="s">
        <v>424</v>
      </c>
      <c r="C32" s="12" t="s">
        <v>425</v>
      </c>
      <c r="D32" s="12" t="s">
        <v>1178</v>
      </c>
      <c r="E32" s="12" t="s">
        <v>29</v>
      </c>
      <c r="F32" s="14" t="s">
        <v>55</v>
      </c>
      <c r="G32" s="13" t="s">
        <v>286</v>
      </c>
      <c r="H32" s="13" t="s">
        <v>286</v>
      </c>
      <c r="I32" s="13"/>
      <c r="J32" s="24" t="str">
        <f>"167,5"</f>
        <v>167,5</v>
      </c>
      <c r="K32" s="25" t="str">
        <f>"102,4430"</f>
        <v>102,4430</v>
      </c>
      <c r="L32" s="12"/>
    </row>
    <row r="33" spans="1:12">
      <c r="A33" s="12" t="s">
        <v>426</v>
      </c>
      <c r="B33" s="12" t="s">
        <v>427</v>
      </c>
      <c r="C33" s="12" t="s">
        <v>416</v>
      </c>
      <c r="D33" s="12" t="s">
        <v>1178</v>
      </c>
      <c r="E33" s="12" t="s">
        <v>53</v>
      </c>
      <c r="F33" s="13" t="s">
        <v>18</v>
      </c>
      <c r="G33" s="13" t="s">
        <v>18</v>
      </c>
      <c r="H33" s="13" t="s">
        <v>18</v>
      </c>
      <c r="I33" s="13"/>
      <c r="J33" s="24" t="str">
        <f>"0.00"</f>
        <v>0.00</v>
      </c>
      <c r="K33" s="25" t="str">
        <f>"0,0000"</f>
        <v>0,0000</v>
      </c>
      <c r="L33" s="12" t="s">
        <v>428</v>
      </c>
    </row>
    <row r="34" spans="1:12">
      <c r="A34" s="12" t="s">
        <v>430</v>
      </c>
      <c r="B34" s="12" t="s">
        <v>431</v>
      </c>
      <c r="C34" s="12" t="s">
        <v>432</v>
      </c>
      <c r="D34" s="12" t="s">
        <v>1177</v>
      </c>
      <c r="E34" s="12" t="s">
        <v>29</v>
      </c>
      <c r="F34" s="14" t="s">
        <v>286</v>
      </c>
      <c r="G34" s="14" t="s">
        <v>399</v>
      </c>
      <c r="H34" s="13" t="s">
        <v>56</v>
      </c>
      <c r="I34" s="13"/>
      <c r="J34" s="24" t="str">
        <f>"177,5"</f>
        <v>177,5</v>
      </c>
      <c r="K34" s="25" t="str">
        <f>"123,0327"</f>
        <v>123,0327</v>
      </c>
      <c r="L34" s="12" t="s">
        <v>1188</v>
      </c>
    </row>
    <row r="35" spans="1:12">
      <c r="A35" s="15" t="s">
        <v>434</v>
      </c>
      <c r="B35" s="15" t="s">
        <v>435</v>
      </c>
      <c r="C35" s="15" t="s">
        <v>436</v>
      </c>
      <c r="D35" s="15" t="s">
        <v>1183</v>
      </c>
      <c r="E35" s="15" t="s">
        <v>437</v>
      </c>
      <c r="F35" s="16" t="s">
        <v>18</v>
      </c>
      <c r="G35" s="16" t="s">
        <v>19</v>
      </c>
      <c r="H35" s="17" t="s">
        <v>334</v>
      </c>
      <c r="I35" s="17"/>
      <c r="J35" s="26" t="str">
        <f>"150,0"</f>
        <v>150,0</v>
      </c>
      <c r="K35" s="27" t="str">
        <f>"113,5575"</f>
        <v>113,5575</v>
      </c>
      <c r="L35" s="15" t="s">
        <v>135</v>
      </c>
    </row>
    <row r="37" spans="1:12" ht="16">
      <c r="A37" s="49" t="s">
        <v>61</v>
      </c>
      <c r="B37" s="49"/>
      <c r="C37" s="49"/>
      <c r="D37" s="49"/>
      <c r="E37" s="49"/>
      <c r="F37" s="49"/>
      <c r="G37" s="49"/>
      <c r="H37" s="49"/>
      <c r="I37" s="49"/>
    </row>
    <row r="38" spans="1:12">
      <c r="A38" s="9" t="s">
        <v>439</v>
      </c>
      <c r="B38" s="9" t="s">
        <v>440</v>
      </c>
      <c r="C38" s="9" t="s">
        <v>441</v>
      </c>
      <c r="D38" s="9" t="s">
        <v>1178</v>
      </c>
      <c r="E38" s="9" t="s">
        <v>29</v>
      </c>
      <c r="F38" s="10" t="s">
        <v>69</v>
      </c>
      <c r="G38" s="10" t="s">
        <v>43</v>
      </c>
      <c r="H38" s="11" t="s">
        <v>47</v>
      </c>
      <c r="I38" s="11"/>
      <c r="J38" s="22" t="str">
        <f>"235,0"</f>
        <v>235,0</v>
      </c>
      <c r="K38" s="23" t="str">
        <f>"141,0940"</f>
        <v>141,0940</v>
      </c>
      <c r="L38" s="9" t="s">
        <v>442</v>
      </c>
    </row>
    <row r="39" spans="1:12">
      <c r="A39" s="12" t="s">
        <v>444</v>
      </c>
      <c r="B39" s="12" t="s">
        <v>445</v>
      </c>
      <c r="C39" s="12" t="s">
        <v>446</v>
      </c>
      <c r="D39" s="12" t="s">
        <v>1178</v>
      </c>
      <c r="E39" s="12" t="s">
        <v>29</v>
      </c>
      <c r="F39" s="14" t="s">
        <v>129</v>
      </c>
      <c r="G39" s="14" t="s">
        <v>70</v>
      </c>
      <c r="H39" s="13" t="s">
        <v>44</v>
      </c>
      <c r="I39" s="13"/>
      <c r="J39" s="24" t="str">
        <f>"230,0"</f>
        <v>230,0</v>
      </c>
      <c r="K39" s="25" t="str">
        <f>"139,1040"</f>
        <v>139,1040</v>
      </c>
      <c r="L39" s="12" t="s">
        <v>1189</v>
      </c>
    </row>
    <row r="40" spans="1:12">
      <c r="A40" s="12" t="s">
        <v>448</v>
      </c>
      <c r="B40" s="12" t="s">
        <v>449</v>
      </c>
      <c r="C40" s="12" t="s">
        <v>450</v>
      </c>
      <c r="D40" s="12" t="s">
        <v>1180</v>
      </c>
      <c r="E40" s="12" t="s">
        <v>29</v>
      </c>
      <c r="F40" s="14" t="s">
        <v>183</v>
      </c>
      <c r="G40" s="14" t="s">
        <v>68</v>
      </c>
      <c r="H40" s="13" t="s">
        <v>451</v>
      </c>
      <c r="I40" s="13"/>
      <c r="J40" s="24" t="str">
        <f>"217,5"</f>
        <v>217,5</v>
      </c>
      <c r="K40" s="25" t="str">
        <f>"130,9581"</f>
        <v>130,9581</v>
      </c>
      <c r="L40" s="12" t="s">
        <v>452</v>
      </c>
    </row>
    <row r="41" spans="1:12">
      <c r="A41" s="12" t="s">
        <v>454</v>
      </c>
      <c r="B41" s="12" t="s">
        <v>455</v>
      </c>
      <c r="C41" s="12" t="s">
        <v>450</v>
      </c>
      <c r="D41" s="12" t="s">
        <v>1180</v>
      </c>
      <c r="E41" s="12" t="s">
        <v>29</v>
      </c>
      <c r="F41" s="14" t="s">
        <v>56</v>
      </c>
      <c r="G41" s="14" t="s">
        <v>358</v>
      </c>
      <c r="H41" s="13" t="s">
        <v>116</v>
      </c>
      <c r="I41" s="13"/>
      <c r="J41" s="24" t="str">
        <f>"187,5"</f>
        <v>187,5</v>
      </c>
      <c r="K41" s="25" t="str">
        <f>"111,7881"</f>
        <v>111,7881</v>
      </c>
      <c r="L41" s="12" t="s">
        <v>456</v>
      </c>
    </row>
    <row r="42" spans="1:12">
      <c r="A42" s="12" t="s">
        <v>458</v>
      </c>
      <c r="B42" s="12" t="s">
        <v>459</v>
      </c>
      <c r="C42" s="12" t="s">
        <v>460</v>
      </c>
      <c r="D42" s="12" t="s">
        <v>1186</v>
      </c>
      <c r="E42" s="12" t="s">
        <v>29</v>
      </c>
      <c r="F42" s="14" t="s">
        <v>56</v>
      </c>
      <c r="G42" s="14" t="s">
        <v>116</v>
      </c>
      <c r="H42" s="14" t="s">
        <v>417</v>
      </c>
      <c r="I42" s="13"/>
      <c r="J42" s="24" t="str">
        <f>"192,5"</f>
        <v>192,5</v>
      </c>
      <c r="K42" s="25" t="str">
        <f>"120,2887"</f>
        <v>120,2887</v>
      </c>
      <c r="L42" s="12" t="s">
        <v>461</v>
      </c>
    </row>
    <row r="43" spans="1:12">
      <c r="A43" s="15" t="s">
        <v>463</v>
      </c>
      <c r="B43" s="15" t="s">
        <v>464</v>
      </c>
      <c r="C43" s="15" t="s">
        <v>465</v>
      </c>
      <c r="D43" s="15" t="s">
        <v>1177</v>
      </c>
      <c r="E43" s="15" t="s">
        <v>466</v>
      </c>
      <c r="F43" s="16" t="s">
        <v>46</v>
      </c>
      <c r="G43" s="16" t="s">
        <v>291</v>
      </c>
      <c r="H43" s="16" t="s">
        <v>286</v>
      </c>
      <c r="I43" s="17"/>
      <c r="J43" s="26" t="str">
        <f>"175,0"</f>
        <v>175,0</v>
      </c>
      <c r="K43" s="27" t="str">
        <f>"119,3912"</f>
        <v>119,3912</v>
      </c>
      <c r="L43" s="15" t="s">
        <v>467</v>
      </c>
    </row>
    <row r="45" spans="1:12" ht="16">
      <c r="A45" s="49" t="s">
        <v>205</v>
      </c>
      <c r="B45" s="49"/>
      <c r="C45" s="49"/>
      <c r="D45" s="49"/>
      <c r="E45" s="49"/>
      <c r="F45" s="49"/>
      <c r="G45" s="49"/>
      <c r="H45" s="49"/>
      <c r="I45" s="49"/>
    </row>
    <row r="46" spans="1:12">
      <c r="A46" s="9" t="s">
        <v>469</v>
      </c>
      <c r="B46" s="9" t="s">
        <v>470</v>
      </c>
      <c r="C46" s="9" t="s">
        <v>471</v>
      </c>
      <c r="D46" s="9" t="s">
        <v>1178</v>
      </c>
      <c r="E46" s="9" t="s">
        <v>280</v>
      </c>
      <c r="F46" s="11" t="s">
        <v>138</v>
      </c>
      <c r="G46" s="10" t="s">
        <v>68</v>
      </c>
      <c r="H46" s="10" t="s">
        <v>129</v>
      </c>
      <c r="I46" s="11"/>
      <c r="J46" s="22" t="str">
        <f>"220,0"</f>
        <v>220,0</v>
      </c>
      <c r="K46" s="23" t="str">
        <f>"127,6660"</f>
        <v>127,6660</v>
      </c>
      <c r="L46" s="9" t="s">
        <v>472</v>
      </c>
    </row>
    <row r="47" spans="1:12">
      <c r="A47" s="12" t="s">
        <v>474</v>
      </c>
      <c r="B47" s="12" t="s">
        <v>475</v>
      </c>
      <c r="C47" s="12" t="s">
        <v>476</v>
      </c>
      <c r="D47" s="12" t="s">
        <v>1178</v>
      </c>
      <c r="E47" s="12" t="s">
        <v>29</v>
      </c>
      <c r="F47" s="14" t="s">
        <v>477</v>
      </c>
      <c r="G47" s="14" t="s">
        <v>198</v>
      </c>
      <c r="H47" s="13" t="s">
        <v>478</v>
      </c>
      <c r="I47" s="13"/>
      <c r="J47" s="24" t="str">
        <f>"202,5"</f>
        <v>202,5</v>
      </c>
      <c r="K47" s="25" t="str">
        <f>"116,3160"</f>
        <v>116,3160</v>
      </c>
      <c r="L47" s="12" t="s">
        <v>135</v>
      </c>
    </row>
    <row r="48" spans="1:12">
      <c r="A48" s="12" t="s">
        <v>480</v>
      </c>
      <c r="B48" s="12" t="s">
        <v>481</v>
      </c>
      <c r="C48" s="12" t="s">
        <v>482</v>
      </c>
      <c r="D48" s="12" t="s">
        <v>1178</v>
      </c>
      <c r="E48" s="12" t="s">
        <v>483</v>
      </c>
      <c r="F48" s="14" t="s">
        <v>174</v>
      </c>
      <c r="G48" s="13" t="s">
        <v>417</v>
      </c>
      <c r="H48" s="13"/>
      <c r="I48" s="13"/>
      <c r="J48" s="24" t="str">
        <f>"185,0"</f>
        <v>185,0</v>
      </c>
      <c r="K48" s="25" t="str">
        <f>"107,2815"</f>
        <v>107,2815</v>
      </c>
      <c r="L48" s="12" t="s">
        <v>1190</v>
      </c>
    </row>
    <row r="49" spans="1:12">
      <c r="A49" s="12" t="s">
        <v>485</v>
      </c>
      <c r="B49" s="12" t="s">
        <v>486</v>
      </c>
      <c r="C49" s="12" t="s">
        <v>487</v>
      </c>
      <c r="D49" s="12" t="s">
        <v>1178</v>
      </c>
      <c r="E49" s="12" t="s">
        <v>29</v>
      </c>
      <c r="F49" s="13" t="s">
        <v>18</v>
      </c>
      <c r="G49" s="14" t="s">
        <v>118</v>
      </c>
      <c r="H49" s="13" t="s">
        <v>182</v>
      </c>
      <c r="I49" s="13"/>
      <c r="J49" s="24" t="str">
        <f>"145,0"</f>
        <v>145,0</v>
      </c>
      <c r="K49" s="25" t="str">
        <f>"84,3175"</f>
        <v>84,3175</v>
      </c>
      <c r="L49" s="12"/>
    </row>
    <row r="50" spans="1:12">
      <c r="A50" s="15" t="s">
        <v>489</v>
      </c>
      <c r="B50" s="15" t="s">
        <v>490</v>
      </c>
      <c r="C50" s="15" t="s">
        <v>491</v>
      </c>
      <c r="D50" s="15" t="s">
        <v>1192</v>
      </c>
      <c r="E50" s="15" t="s">
        <v>29</v>
      </c>
      <c r="F50" s="16" t="s">
        <v>30</v>
      </c>
      <c r="G50" s="16" t="s">
        <v>286</v>
      </c>
      <c r="H50" s="17" t="s">
        <v>56</v>
      </c>
      <c r="I50" s="17"/>
      <c r="J50" s="26" t="str">
        <f>"175,0"</f>
        <v>175,0</v>
      </c>
      <c r="K50" s="27" t="str">
        <f>"137,1430"</f>
        <v>137,1430</v>
      </c>
      <c r="L50" s="15" t="s">
        <v>492</v>
      </c>
    </row>
    <row r="52" spans="1:12" ht="16">
      <c r="A52" s="49" t="s">
        <v>493</v>
      </c>
      <c r="B52" s="49"/>
      <c r="C52" s="49"/>
      <c r="D52" s="49"/>
      <c r="E52" s="49"/>
      <c r="F52" s="49"/>
      <c r="G52" s="49"/>
      <c r="H52" s="49"/>
      <c r="I52" s="49"/>
    </row>
    <row r="53" spans="1:12">
      <c r="A53" s="6" t="s">
        <v>495</v>
      </c>
      <c r="B53" s="6" t="s">
        <v>496</v>
      </c>
      <c r="C53" s="6" t="s">
        <v>497</v>
      </c>
      <c r="D53" s="6" t="s">
        <v>1186</v>
      </c>
      <c r="E53" s="6" t="s">
        <v>398</v>
      </c>
      <c r="F53" s="7" t="s">
        <v>56</v>
      </c>
      <c r="G53" s="8" t="s">
        <v>116</v>
      </c>
      <c r="H53" s="8"/>
      <c r="I53" s="8"/>
      <c r="J53" s="20" t="str">
        <f>"180,0"</f>
        <v>180,0</v>
      </c>
      <c r="K53" s="21" t="str">
        <f>"112,0502"</f>
        <v>112,0502</v>
      </c>
      <c r="L53" s="6"/>
    </row>
    <row r="63" spans="1:12" ht="18">
      <c r="A63" s="28" t="s">
        <v>80</v>
      </c>
      <c r="B63" s="28"/>
    </row>
    <row r="64" spans="1:12" ht="16">
      <c r="A64" s="29" t="s">
        <v>91</v>
      </c>
      <c r="B64" s="29"/>
    </row>
    <row r="65" spans="1:4" ht="14">
      <c r="A65" s="31"/>
      <c r="B65" s="32" t="s">
        <v>136</v>
      </c>
    </row>
    <row r="66" spans="1:4" ht="14">
      <c r="A66" s="33" t="s">
        <v>83</v>
      </c>
      <c r="B66" s="33" t="s">
        <v>84</v>
      </c>
      <c r="C66" s="33" t="s">
        <v>85</v>
      </c>
      <c r="D66" s="33" t="s">
        <v>498</v>
      </c>
    </row>
    <row r="67" spans="1:4">
      <c r="A67" s="30" t="s">
        <v>338</v>
      </c>
      <c r="B67" s="4" t="s">
        <v>137</v>
      </c>
      <c r="C67" s="4" t="s">
        <v>89</v>
      </c>
      <c r="D67" s="4" t="s">
        <v>22</v>
      </c>
    </row>
    <row r="69" spans="1:4" ht="14">
      <c r="A69" s="31"/>
      <c r="B69" s="32" t="s">
        <v>92</v>
      </c>
    </row>
    <row r="70" spans="1:4" ht="14">
      <c r="A70" s="33" t="s">
        <v>83</v>
      </c>
      <c r="B70" s="33" t="s">
        <v>84</v>
      </c>
      <c r="C70" s="33" t="s">
        <v>85</v>
      </c>
      <c r="D70" s="33" t="s">
        <v>498</v>
      </c>
    </row>
    <row r="71" spans="1:4">
      <c r="A71" s="30" t="s">
        <v>408</v>
      </c>
      <c r="B71" s="4" t="s">
        <v>93</v>
      </c>
      <c r="C71" s="4" t="s">
        <v>139</v>
      </c>
      <c r="D71" s="4" t="s">
        <v>20</v>
      </c>
    </row>
    <row r="73" spans="1:4" ht="14">
      <c r="A73" s="31"/>
      <c r="B73" s="32" t="s">
        <v>96</v>
      </c>
    </row>
    <row r="74" spans="1:4" ht="14">
      <c r="A74" s="33" t="s">
        <v>83</v>
      </c>
      <c r="B74" s="33" t="s">
        <v>84</v>
      </c>
      <c r="C74" s="33" t="s">
        <v>85</v>
      </c>
      <c r="D74" s="33" t="s">
        <v>498</v>
      </c>
    </row>
    <row r="75" spans="1:4">
      <c r="A75" s="30" t="s">
        <v>438</v>
      </c>
      <c r="B75" s="4" t="s">
        <v>96</v>
      </c>
      <c r="C75" s="4" t="s">
        <v>97</v>
      </c>
      <c r="D75" s="4" t="s">
        <v>43</v>
      </c>
    </row>
    <row r="76" spans="1:4">
      <c r="A76" s="30" t="s">
        <v>443</v>
      </c>
      <c r="B76" s="4" t="s">
        <v>96</v>
      </c>
      <c r="C76" s="4" t="s">
        <v>97</v>
      </c>
      <c r="D76" s="4" t="s">
        <v>70</v>
      </c>
    </row>
    <row r="77" spans="1:4">
      <c r="A77" s="30" t="s">
        <v>354</v>
      </c>
      <c r="B77" s="4" t="s">
        <v>96</v>
      </c>
      <c r="C77" s="4" t="s">
        <v>94</v>
      </c>
      <c r="D77" s="4" t="s">
        <v>358</v>
      </c>
    </row>
    <row r="78" spans="1:4">
      <c r="A78" s="30" t="s">
        <v>468</v>
      </c>
      <c r="B78" s="4" t="s">
        <v>96</v>
      </c>
      <c r="C78" s="4" t="s">
        <v>229</v>
      </c>
      <c r="D78" s="4" t="s">
        <v>129</v>
      </c>
    </row>
    <row r="79" spans="1:4">
      <c r="A79" s="30" t="s">
        <v>413</v>
      </c>
      <c r="B79" s="4" t="s">
        <v>96</v>
      </c>
      <c r="C79" s="4" t="s">
        <v>139</v>
      </c>
      <c r="D79" s="4" t="s">
        <v>35</v>
      </c>
    </row>
    <row r="80" spans="1:4">
      <c r="A80" s="30" t="s">
        <v>376</v>
      </c>
      <c r="B80" s="4" t="s">
        <v>96</v>
      </c>
      <c r="C80" s="4" t="s">
        <v>226</v>
      </c>
      <c r="D80" s="4" t="s">
        <v>56</v>
      </c>
    </row>
    <row r="81" spans="1:4">
      <c r="A81" s="30" t="s">
        <v>473</v>
      </c>
      <c r="B81" s="4" t="s">
        <v>96</v>
      </c>
      <c r="C81" s="4" t="s">
        <v>229</v>
      </c>
      <c r="D81" s="4" t="s">
        <v>198</v>
      </c>
    </row>
    <row r="82" spans="1:4">
      <c r="A82" s="30" t="s">
        <v>360</v>
      </c>
      <c r="B82" s="4" t="s">
        <v>96</v>
      </c>
      <c r="C82" s="4" t="s">
        <v>94</v>
      </c>
      <c r="D82" s="4" t="s">
        <v>46</v>
      </c>
    </row>
    <row r="83" spans="1:4">
      <c r="A83" s="30" t="s">
        <v>479</v>
      </c>
      <c r="B83" s="4" t="s">
        <v>96</v>
      </c>
      <c r="C83" s="4" t="s">
        <v>229</v>
      </c>
      <c r="D83" s="4" t="s">
        <v>174</v>
      </c>
    </row>
    <row r="84" spans="1:4">
      <c r="A84" s="30" t="s">
        <v>418</v>
      </c>
      <c r="B84" s="4" t="s">
        <v>96</v>
      </c>
      <c r="C84" s="4" t="s">
        <v>139</v>
      </c>
      <c r="D84" s="4" t="s">
        <v>55</v>
      </c>
    </row>
    <row r="85" spans="1:4">
      <c r="A85" s="30" t="s">
        <v>422</v>
      </c>
      <c r="B85" s="4" t="s">
        <v>96</v>
      </c>
      <c r="C85" s="4" t="s">
        <v>139</v>
      </c>
      <c r="D85" s="4" t="s">
        <v>55</v>
      </c>
    </row>
    <row r="86" spans="1:4">
      <c r="A86" s="30" t="s">
        <v>364</v>
      </c>
      <c r="B86" s="4" t="s">
        <v>96</v>
      </c>
      <c r="C86" s="4" t="s">
        <v>94</v>
      </c>
      <c r="D86" s="4" t="s">
        <v>18</v>
      </c>
    </row>
    <row r="87" spans="1:4">
      <c r="A87" s="30" t="s">
        <v>484</v>
      </c>
      <c r="B87" s="4" t="s">
        <v>96</v>
      </c>
      <c r="C87" s="4" t="s">
        <v>229</v>
      </c>
      <c r="D87" s="4" t="s">
        <v>118</v>
      </c>
    </row>
    <row r="89" spans="1:4" ht="14">
      <c r="A89" s="31"/>
      <c r="B89" s="32" t="s">
        <v>82</v>
      </c>
    </row>
    <row r="90" spans="1:4" ht="14">
      <c r="A90" s="33" t="s">
        <v>83</v>
      </c>
      <c r="B90" s="33" t="s">
        <v>84</v>
      </c>
      <c r="C90" s="33" t="s">
        <v>85</v>
      </c>
      <c r="D90" s="33" t="s">
        <v>498</v>
      </c>
    </row>
    <row r="91" spans="1:4">
      <c r="A91" s="30" t="s">
        <v>404</v>
      </c>
      <c r="B91" s="4" t="s">
        <v>499</v>
      </c>
      <c r="C91" s="4" t="s">
        <v>226</v>
      </c>
      <c r="D91" s="4" t="s">
        <v>18</v>
      </c>
    </row>
    <row r="92" spans="1:4">
      <c r="A92" s="30" t="s">
        <v>394</v>
      </c>
      <c r="B92" s="4" t="s">
        <v>142</v>
      </c>
      <c r="C92" s="4" t="s">
        <v>226</v>
      </c>
      <c r="D92" s="4" t="s">
        <v>31</v>
      </c>
    </row>
    <row r="93" spans="1:4">
      <c r="A93" s="30" t="s">
        <v>400</v>
      </c>
      <c r="B93" s="4" t="s">
        <v>500</v>
      </c>
      <c r="C93" s="4" t="s">
        <v>226</v>
      </c>
      <c r="D93" s="4" t="s">
        <v>20</v>
      </c>
    </row>
    <row r="94" spans="1:4">
      <c r="A94" s="30" t="s">
        <v>488</v>
      </c>
      <c r="B94" s="4" t="s">
        <v>500</v>
      </c>
      <c r="C94" s="4" t="s">
        <v>229</v>
      </c>
      <c r="D94" s="4" t="s">
        <v>286</v>
      </c>
    </row>
    <row r="95" spans="1:4">
      <c r="A95" s="30" t="s">
        <v>447</v>
      </c>
      <c r="B95" s="4" t="s">
        <v>100</v>
      </c>
      <c r="C95" s="4" t="s">
        <v>97</v>
      </c>
      <c r="D95" s="4" t="s">
        <v>68</v>
      </c>
    </row>
    <row r="96" spans="1:4">
      <c r="A96" s="30" t="s">
        <v>360</v>
      </c>
      <c r="B96" s="4" t="s">
        <v>88</v>
      </c>
      <c r="C96" s="4" t="s">
        <v>94</v>
      </c>
      <c r="D96" s="4" t="s">
        <v>46</v>
      </c>
    </row>
    <row r="97" spans="1:4">
      <c r="A97" s="30" t="s">
        <v>429</v>
      </c>
      <c r="B97" s="4" t="s">
        <v>88</v>
      </c>
      <c r="C97" s="4" t="s">
        <v>139</v>
      </c>
      <c r="D97" s="4" t="s">
        <v>399</v>
      </c>
    </row>
    <row r="98" spans="1:4">
      <c r="A98" s="30" t="s">
        <v>457</v>
      </c>
      <c r="B98" s="4" t="s">
        <v>329</v>
      </c>
      <c r="C98" s="4" t="s">
        <v>97</v>
      </c>
      <c r="D98" s="4" t="s">
        <v>417</v>
      </c>
    </row>
    <row r="99" spans="1:4">
      <c r="A99" s="30" t="s">
        <v>462</v>
      </c>
      <c r="B99" s="4" t="s">
        <v>88</v>
      </c>
      <c r="C99" s="4" t="s">
        <v>97</v>
      </c>
      <c r="D99" s="4" t="s">
        <v>286</v>
      </c>
    </row>
    <row r="100" spans="1:4">
      <c r="A100" s="30" t="s">
        <v>349</v>
      </c>
      <c r="B100" s="4" t="s">
        <v>501</v>
      </c>
      <c r="C100" s="4" t="s">
        <v>222</v>
      </c>
      <c r="D100" s="4" t="s">
        <v>238</v>
      </c>
    </row>
    <row r="101" spans="1:4">
      <c r="A101" s="30" t="s">
        <v>386</v>
      </c>
      <c r="B101" s="4" t="s">
        <v>88</v>
      </c>
      <c r="C101" s="4" t="s">
        <v>226</v>
      </c>
      <c r="D101" s="4" t="s">
        <v>20</v>
      </c>
    </row>
    <row r="102" spans="1:4">
      <c r="A102" s="30" t="s">
        <v>390</v>
      </c>
      <c r="B102" s="4" t="s">
        <v>88</v>
      </c>
      <c r="C102" s="4" t="s">
        <v>226</v>
      </c>
      <c r="D102" s="4" t="s">
        <v>19</v>
      </c>
    </row>
    <row r="103" spans="1:4">
      <c r="A103" s="30" t="s">
        <v>433</v>
      </c>
      <c r="B103" s="4" t="s">
        <v>142</v>
      </c>
      <c r="C103" s="4" t="s">
        <v>139</v>
      </c>
      <c r="D103" s="4" t="s">
        <v>19</v>
      </c>
    </row>
    <row r="104" spans="1:4">
      <c r="A104" s="30" t="s">
        <v>344</v>
      </c>
      <c r="B104" s="4" t="s">
        <v>499</v>
      </c>
      <c r="C104" s="4" t="s">
        <v>222</v>
      </c>
      <c r="D104" s="4" t="s">
        <v>22</v>
      </c>
    </row>
    <row r="105" spans="1:4">
      <c r="A105" s="30" t="s">
        <v>494</v>
      </c>
      <c r="B105" s="4" t="s">
        <v>329</v>
      </c>
      <c r="C105" s="4" t="s">
        <v>502</v>
      </c>
      <c r="D105" s="4" t="s">
        <v>56</v>
      </c>
    </row>
    <row r="106" spans="1:4">
      <c r="A106" s="30" t="s">
        <v>453</v>
      </c>
      <c r="B106" s="4" t="s">
        <v>100</v>
      </c>
      <c r="C106" s="4" t="s">
        <v>97</v>
      </c>
      <c r="D106" s="4" t="s">
        <v>358</v>
      </c>
    </row>
    <row r="107" spans="1:4">
      <c r="A107" s="30" t="s">
        <v>372</v>
      </c>
      <c r="B107" s="4" t="s">
        <v>142</v>
      </c>
      <c r="C107" s="4" t="s">
        <v>94</v>
      </c>
      <c r="D107" s="4" t="s">
        <v>32</v>
      </c>
    </row>
    <row r="108" spans="1:4">
      <c r="A108" s="30" t="s">
        <v>381</v>
      </c>
      <c r="B108" s="4" t="s">
        <v>100</v>
      </c>
      <c r="C108" s="4" t="s">
        <v>226</v>
      </c>
      <c r="D108" s="4" t="s">
        <v>32</v>
      </c>
    </row>
  </sheetData>
  <mergeCells count="18">
    <mergeCell ref="A52:I52"/>
    <mergeCell ref="A8:I8"/>
    <mergeCell ref="A12:I12"/>
    <mergeCell ref="A19:I19"/>
    <mergeCell ref="A28:I28"/>
    <mergeCell ref="A37:I37"/>
    <mergeCell ref="A45:I45"/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2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17.33203125" style="4" bestFit="1" customWidth="1"/>
    <col min="7" max="9" width="5.5" style="3" customWidth="1"/>
    <col min="10" max="10" width="4.83203125" style="3" customWidth="1"/>
    <col min="11" max="11" width="12.1640625" style="19" customWidth="1"/>
    <col min="12" max="12" width="8.5" style="2" bestFit="1" customWidth="1"/>
    <col min="13" max="13" width="13.6640625" style="4" bestFit="1" customWidth="1"/>
    <col min="14" max="16384" width="9.1640625" style="3"/>
  </cols>
  <sheetData>
    <row r="1" spans="1:13" s="2" customFormat="1" ht="29" customHeight="1">
      <c r="A1" s="40" t="s">
        <v>1165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4</v>
      </c>
      <c r="F3" s="34" t="s">
        <v>6</v>
      </c>
      <c r="G3" s="34" t="s">
        <v>10</v>
      </c>
      <c r="H3" s="34"/>
      <c r="I3" s="34"/>
      <c r="J3" s="34"/>
      <c r="K3" s="34" t="s">
        <v>503</v>
      </c>
      <c r="L3" s="34" t="s">
        <v>3</v>
      </c>
      <c r="M3" s="36" t="s">
        <v>2</v>
      </c>
    </row>
    <row r="4" spans="1:13" s="1" customFormat="1" ht="21" customHeight="1" thickBot="1">
      <c r="A4" s="47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35"/>
      <c r="L4" s="35"/>
      <c r="M4" s="37"/>
    </row>
    <row r="5" spans="1:13" ht="16">
      <c r="A5" s="38" t="s">
        <v>120</v>
      </c>
      <c r="B5" s="39"/>
      <c r="C5" s="39"/>
      <c r="D5" s="39"/>
      <c r="E5" s="39"/>
      <c r="F5" s="39"/>
      <c r="G5" s="39"/>
      <c r="H5" s="39"/>
      <c r="I5" s="39"/>
      <c r="J5" s="39"/>
    </row>
    <row r="6" spans="1:13">
      <c r="A6" s="9" t="s">
        <v>1021</v>
      </c>
      <c r="B6" s="9" t="s">
        <v>1022</v>
      </c>
      <c r="C6" s="9" t="s">
        <v>432</v>
      </c>
      <c r="D6" s="9" t="s">
        <v>1192</v>
      </c>
      <c r="E6" s="9" t="s">
        <v>16</v>
      </c>
      <c r="F6" s="9" t="s">
        <v>1023</v>
      </c>
      <c r="G6" s="10" t="s">
        <v>30</v>
      </c>
      <c r="H6" s="11"/>
      <c r="I6" s="11"/>
      <c r="J6" s="11"/>
      <c r="K6" s="22" t="str">
        <f>"170,0"</f>
        <v>170,0</v>
      </c>
      <c r="L6" s="23" t="str">
        <f>"145,2592"</f>
        <v>145,2592</v>
      </c>
      <c r="M6" s="9" t="s">
        <v>1024</v>
      </c>
    </row>
    <row r="7" spans="1:13">
      <c r="A7" s="15" t="s">
        <v>1026</v>
      </c>
      <c r="B7" s="15" t="s">
        <v>1027</v>
      </c>
      <c r="C7" s="15" t="s">
        <v>1028</v>
      </c>
      <c r="D7" s="15" t="s">
        <v>1193</v>
      </c>
      <c r="E7" s="15" t="s">
        <v>16</v>
      </c>
      <c r="F7" s="15" t="s">
        <v>1023</v>
      </c>
      <c r="G7" s="16" t="s">
        <v>174</v>
      </c>
      <c r="H7" s="16" t="s">
        <v>35</v>
      </c>
      <c r="I7" s="17" t="s">
        <v>183</v>
      </c>
      <c r="J7" s="17"/>
      <c r="K7" s="26" t="str">
        <f>"200,0"</f>
        <v>200,0</v>
      </c>
      <c r="L7" s="27" t="str">
        <f>"190,4679"</f>
        <v>190,4679</v>
      </c>
      <c r="M7" s="15" t="s">
        <v>1029</v>
      </c>
    </row>
    <row r="9" spans="1:13" ht="16">
      <c r="E9" s="18" t="s">
        <v>75</v>
      </c>
    </row>
    <row r="10" spans="1:13" ht="16">
      <c r="E10" s="18" t="s">
        <v>76</v>
      </c>
    </row>
    <row r="11" spans="1:13" ht="16">
      <c r="E11" s="18" t="s">
        <v>77</v>
      </c>
    </row>
    <row r="12" spans="1:13" ht="16">
      <c r="E12" s="18" t="s">
        <v>78</v>
      </c>
    </row>
    <row r="13" spans="1:13" ht="16">
      <c r="E13" s="18" t="s">
        <v>78</v>
      </c>
    </row>
    <row r="14" spans="1:13" ht="16">
      <c r="E14" s="18" t="s">
        <v>79</v>
      </c>
    </row>
    <row r="15" spans="1:13" ht="16">
      <c r="E15" s="18"/>
    </row>
    <row r="17" spans="1:5" ht="18">
      <c r="A17" s="28" t="s">
        <v>80</v>
      </c>
      <c r="B17" s="28"/>
    </row>
    <row r="18" spans="1:5" ht="16">
      <c r="A18" s="29" t="s">
        <v>91</v>
      </c>
      <c r="B18" s="29"/>
    </row>
    <row r="19" spans="1:5" ht="14">
      <c r="A19" s="31"/>
      <c r="B19" s="32" t="s">
        <v>82</v>
      </c>
    </row>
    <row r="20" spans="1:5" ht="14">
      <c r="A20" s="33" t="s">
        <v>83</v>
      </c>
      <c r="B20" s="33" t="s">
        <v>84</v>
      </c>
      <c r="C20" s="33" t="s">
        <v>85</v>
      </c>
      <c r="D20" s="33" t="s">
        <v>498</v>
      </c>
      <c r="E20" s="33" t="s">
        <v>87</v>
      </c>
    </row>
    <row r="21" spans="1:5">
      <c r="A21" s="30" t="s">
        <v>1025</v>
      </c>
      <c r="B21" s="4" t="s">
        <v>924</v>
      </c>
      <c r="C21" s="4" t="s">
        <v>139</v>
      </c>
      <c r="D21" s="4" t="s">
        <v>35</v>
      </c>
      <c r="E21" s="19" t="s">
        <v>1030</v>
      </c>
    </row>
    <row r="22" spans="1:5">
      <c r="A22" s="30" t="s">
        <v>1020</v>
      </c>
      <c r="B22" s="4" t="s">
        <v>500</v>
      </c>
      <c r="C22" s="4" t="s">
        <v>139</v>
      </c>
      <c r="D22" s="4" t="s">
        <v>30</v>
      </c>
      <c r="E22" s="19" t="s">
        <v>1031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2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3.33203125" style="4" bestFit="1" customWidth="1"/>
    <col min="6" max="8" width="5.5" style="3" customWidth="1"/>
    <col min="9" max="9" width="4.83203125" style="3" customWidth="1"/>
    <col min="10" max="10" width="12.83203125" style="19" customWidth="1"/>
    <col min="11" max="11" width="8.5" style="2" bestFit="1" customWidth="1"/>
    <col min="12" max="12" width="30.5" style="4" bestFit="1" customWidth="1"/>
    <col min="13" max="16384" width="9.1640625" style="3"/>
  </cols>
  <sheetData>
    <row r="1" spans="1:12" s="2" customFormat="1" ht="29" customHeight="1">
      <c r="A1" s="40" t="s">
        <v>1166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10</v>
      </c>
      <c r="G3" s="34"/>
      <c r="H3" s="34"/>
      <c r="I3" s="34"/>
      <c r="J3" s="34" t="s">
        <v>503</v>
      </c>
      <c r="K3" s="34" t="s">
        <v>3</v>
      </c>
      <c r="L3" s="36" t="s">
        <v>2</v>
      </c>
    </row>
    <row r="4" spans="1:12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35"/>
      <c r="K4" s="35"/>
      <c r="L4" s="37"/>
    </row>
    <row r="5" spans="1:12" ht="16">
      <c r="A5" s="38" t="s">
        <v>25</v>
      </c>
      <c r="B5" s="39"/>
      <c r="C5" s="39"/>
      <c r="D5" s="39"/>
      <c r="E5" s="39"/>
      <c r="F5" s="39"/>
      <c r="G5" s="39"/>
      <c r="H5" s="39"/>
      <c r="I5" s="39"/>
    </row>
    <row r="6" spans="1:12">
      <c r="A6" s="6" t="s">
        <v>948</v>
      </c>
      <c r="B6" s="6" t="s">
        <v>949</v>
      </c>
      <c r="C6" s="6" t="s">
        <v>950</v>
      </c>
      <c r="D6" s="6" t="s">
        <v>1178</v>
      </c>
      <c r="E6" s="6" t="s">
        <v>398</v>
      </c>
      <c r="F6" s="7" t="s">
        <v>199</v>
      </c>
      <c r="G6" s="7" t="s">
        <v>138</v>
      </c>
      <c r="H6" s="8" t="s">
        <v>69</v>
      </c>
      <c r="I6" s="8"/>
      <c r="J6" s="20" t="str">
        <f>"215,0"</f>
        <v>215,0</v>
      </c>
      <c r="K6" s="21" t="str">
        <f>"158,0680"</f>
        <v>158,0680</v>
      </c>
      <c r="L6" s="6" t="s">
        <v>951</v>
      </c>
    </row>
    <row r="8" spans="1:12" ht="16">
      <c r="A8" s="49" t="s">
        <v>37</v>
      </c>
      <c r="B8" s="49"/>
      <c r="C8" s="49"/>
      <c r="D8" s="49"/>
      <c r="E8" s="49"/>
      <c r="F8" s="49"/>
      <c r="G8" s="49"/>
      <c r="H8" s="49"/>
      <c r="I8" s="49"/>
    </row>
    <row r="9" spans="1:12">
      <c r="A9" s="9" t="s">
        <v>953</v>
      </c>
      <c r="B9" s="9" t="s">
        <v>954</v>
      </c>
      <c r="C9" s="9" t="s">
        <v>115</v>
      </c>
      <c r="D9" s="9" t="s">
        <v>1178</v>
      </c>
      <c r="E9" s="9" t="s">
        <v>483</v>
      </c>
      <c r="F9" s="10" t="s">
        <v>57</v>
      </c>
      <c r="G9" s="10" t="s">
        <v>312</v>
      </c>
      <c r="H9" s="10" t="s">
        <v>955</v>
      </c>
      <c r="I9" s="11"/>
      <c r="J9" s="22" t="str">
        <f>"285,0"</f>
        <v>285,0</v>
      </c>
      <c r="K9" s="23" t="str">
        <f>"191,7765"</f>
        <v>191,7765</v>
      </c>
      <c r="L9" s="9"/>
    </row>
    <row r="10" spans="1:12">
      <c r="A10" s="12" t="s">
        <v>957</v>
      </c>
      <c r="B10" s="12" t="s">
        <v>809</v>
      </c>
      <c r="C10" s="12" t="s">
        <v>958</v>
      </c>
      <c r="D10" s="12" t="s">
        <v>1178</v>
      </c>
      <c r="E10" s="12" t="s">
        <v>29</v>
      </c>
      <c r="F10" s="14" t="s">
        <v>57</v>
      </c>
      <c r="G10" s="14" t="s">
        <v>71</v>
      </c>
      <c r="H10" s="13" t="s">
        <v>67</v>
      </c>
      <c r="I10" s="13"/>
      <c r="J10" s="24" t="str">
        <f>"280,0"</f>
        <v>280,0</v>
      </c>
      <c r="K10" s="25" t="str">
        <f>"192,2200"</f>
        <v>192,2200</v>
      </c>
      <c r="L10" s="12" t="s">
        <v>135</v>
      </c>
    </row>
    <row r="11" spans="1:12">
      <c r="A11" s="12" t="s">
        <v>960</v>
      </c>
      <c r="B11" s="12" t="s">
        <v>961</v>
      </c>
      <c r="C11" s="12" t="s">
        <v>363</v>
      </c>
      <c r="D11" s="12" t="s">
        <v>1178</v>
      </c>
      <c r="E11" s="12" t="s">
        <v>962</v>
      </c>
      <c r="F11" s="14" t="s">
        <v>44</v>
      </c>
      <c r="G11" s="14" t="s">
        <v>963</v>
      </c>
      <c r="H11" s="13" t="s">
        <v>54</v>
      </c>
      <c r="I11" s="13"/>
      <c r="J11" s="24" t="str">
        <f>"252,5"</f>
        <v>252,5</v>
      </c>
      <c r="K11" s="25" t="str">
        <f>"170,1598"</f>
        <v>170,1598</v>
      </c>
      <c r="L11" s="12" t="s">
        <v>964</v>
      </c>
    </row>
    <row r="12" spans="1:12">
      <c r="A12" s="15" t="s">
        <v>965</v>
      </c>
      <c r="B12" s="15" t="s">
        <v>366</v>
      </c>
      <c r="C12" s="15" t="s">
        <v>367</v>
      </c>
      <c r="D12" s="15" t="s">
        <v>1178</v>
      </c>
      <c r="E12" s="15" t="s">
        <v>368</v>
      </c>
      <c r="F12" s="17" t="s">
        <v>35</v>
      </c>
      <c r="G12" s="16" t="s">
        <v>183</v>
      </c>
      <c r="H12" s="16" t="s">
        <v>129</v>
      </c>
      <c r="I12" s="17"/>
      <c r="J12" s="26" t="str">
        <f>"220,0"</f>
        <v>220,0</v>
      </c>
      <c r="K12" s="27" t="str">
        <f>"149,0280"</f>
        <v>149,0280</v>
      </c>
      <c r="L12" s="15" t="s">
        <v>1187</v>
      </c>
    </row>
    <row r="14" spans="1:12" ht="16">
      <c r="A14" s="49" t="s">
        <v>184</v>
      </c>
      <c r="B14" s="49"/>
      <c r="C14" s="49"/>
      <c r="D14" s="49"/>
      <c r="E14" s="49"/>
      <c r="F14" s="49"/>
      <c r="G14" s="49"/>
      <c r="H14" s="49"/>
      <c r="I14" s="49"/>
    </row>
    <row r="15" spans="1:12">
      <c r="A15" s="6" t="s">
        <v>967</v>
      </c>
      <c r="B15" s="6" t="s">
        <v>968</v>
      </c>
      <c r="C15" s="6" t="s">
        <v>969</v>
      </c>
      <c r="D15" s="6" t="s">
        <v>1192</v>
      </c>
      <c r="E15" s="6" t="s">
        <v>970</v>
      </c>
      <c r="F15" s="7" t="s">
        <v>183</v>
      </c>
      <c r="G15" s="7" t="s">
        <v>69</v>
      </c>
      <c r="H15" s="7" t="s">
        <v>181</v>
      </c>
      <c r="I15" s="8"/>
      <c r="J15" s="20" t="str">
        <f>"237,5"</f>
        <v>237,5</v>
      </c>
      <c r="K15" s="21" t="str">
        <f>"207,0853"</f>
        <v>207,0853</v>
      </c>
      <c r="L15" s="6" t="s">
        <v>1194</v>
      </c>
    </row>
    <row r="17" spans="1:12" ht="16">
      <c r="A17" s="49" t="s">
        <v>120</v>
      </c>
      <c r="B17" s="49"/>
      <c r="C17" s="49"/>
      <c r="D17" s="49"/>
      <c r="E17" s="49"/>
      <c r="F17" s="49"/>
      <c r="G17" s="49"/>
      <c r="H17" s="49"/>
      <c r="I17" s="49"/>
    </row>
    <row r="18" spans="1:12">
      <c r="A18" s="9" t="s">
        <v>972</v>
      </c>
      <c r="B18" s="9" t="s">
        <v>973</v>
      </c>
      <c r="C18" s="9" t="s">
        <v>974</v>
      </c>
      <c r="D18" s="9" t="s">
        <v>1179</v>
      </c>
      <c r="E18" s="9" t="s">
        <v>368</v>
      </c>
      <c r="F18" s="10" t="s">
        <v>138</v>
      </c>
      <c r="G18" s="10" t="s">
        <v>69</v>
      </c>
      <c r="H18" s="10" t="s">
        <v>180</v>
      </c>
      <c r="I18" s="11"/>
      <c r="J18" s="22" t="str">
        <f>"232,5"</f>
        <v>232,5</v>
      </c>
      <c r="K18" s="23" t="str">
        <f>"144,0105"</f>
        <v>144,0105</v>
      </c>
      <c r="L18" s="9" t="s">
        <v>975</v>
      </c>
    </row>
    <row r="19" spans="1:12">
      <c r="A19" s="12" t="s">
        <v>977</v>
      </c>
      <c r="B19" s="12" t="s">
        <v>978</v>
      </c>
      <c r="C19" s="12" t="s">
        <v>436</v>
      </c>
      <c r="D19" s="12" t="s">
        <v>1178</v>
      </c>
      <c r="E19" s="12" t="s">
        <v>29</v>
      </c>
      <c r="F19" s="14" t="s">
        <v>979</v>
      </c>
      <c r="G19" s="14" t="s">
        <v>980</v>
      </c>
      <c r="H19" s="13" t="s">
        <v>981</v>
      </c>
      <c r="I19" s="13"/>
      <c r="J19" s="24" t="str">
        <f>"370,0"</f>
        <v>370,0</v>
      </c>
      <c r="K19" s="25" t="str">
        <f>"228,6600"</f>
        <v>228,6600</v>
      </c>
      <c r="L19" s="12" t="s">
        <v>982</v>
      </c>
    </row>
    <row r="20" spans="1:12">
      <c r="A20" s="12" t="s">
        <v>984</v>
      </c>
      <c r="B20" s="12" t="s">
        <v>985</v>
      </c>
      <c r="C20" s="12" t="s">
        <v>986</v>
      </c>
      <c r="D20" s="12" t="s">
        <v>1178</v>
      </c>
      <c r="E20" s="12" t="s">
        <v>29</v>
      </c>
      <c r="F20" s="13" t="s">
        <v>987</v>
      </c>
      <c r="G20" s="13" t="s">
        <v>988</v>
      </c>
      <c r="H20" s="14" t="s">
        <v>988</v>
      </c>
      <c r="I20" s="13"/>
      <c r="J20" s="24" t="str">
        <f>"357,5"</f>
        <v>357,5</v>
      </c>
      <c r="K20" s="25" t="str">
        <f>"218,0035"</f>
        <v>218,0035</v>
      </c>
      <c r="L20" s="12" t="s">
        <v>135</v>
      </c>
    </row>
    <row r="21" spans="1:12">
      <c r="A21" s="12" t="s">
        <v>990</v>
      </c>
      <c r="B21" s="12" t="s">
        <v>991</v>
      </c>
      <c r="C21" s="12" t="s">
        <v>800</v>
      </c>
      <c r="D21" s="12" t="s">
        <v>1178</v>
      </c>
      <c r="E21" s="12" t="s">
        <v>368</v>
      </c>
      <c r="F21" s="13" t="s">
        <v>73</v>
      </c>
      <c r="G21" s="14" t="s">
        <v>992</v>
      </c>
      <c r="H21" s="13" t="s">
        <v>134</v>
      </c>
      <c r="I21" s="13"/>
      <c r="J21" s="24" t="str">
        <f>"315,0"</f>
        <v>315,0</v>
      </c>
      <c r="K21" s="25" t="str">
        <f>"193,8825"</f>
        <v>193,8825</v>
      </c>
      <c r="L21" s="12"/>
    </row>
    <row r="22" spans="1:12">
      <c r="A22" s="12" t="s">
        <v>994</v>
      </c>
      <c r="B22" s="12" t="s">
        <v>995</v>
      </c>
      <c r="C22" s="12" t="s">
        <v>996</v>
      </c>
      <c r="D22" s="12" t="s">
        <v>1178</v>
      </c>
      <c r="E22" s="12" t="s">
        <v>398</v>
      </c>
      <c r="F22" s="14" t="s">
        <v>45</v>
      </c>
      <c r="G22" s="13" t="s">
        <v>66</v>
      </c>
      <c r="H22" s="14" t="s">
        <v>66</v>
      </c>
      <c r="I22" s="13"/>
      <c r="J22" s="24" t="str">
        <f>"270,0"</f>
        <v>270,0</v>
      </c>
      <c r="K22" s="25" t="str">
        <f>"167,9400"</f>
        <v>167,9400</v>
      </c>
      <c r="L22" s="12" t="s">
        <v>661</v>
      </c>
    </row>
    <row r="23" spans="1:12">
      <c r="A23" s="15" t="s">
        <v>998</v>
      </c>
      <c r="B23" s="15" t="s">
        <v>999</v>
      </c>
      <c r="C23" s="15" t="s">
        <v>1000</v>
      </c>
      <c r="D23" s="15" t="s">
        <v>1177</v>
      </c>
      <c r="E23" s="15" t="s">
        <v>1001</v>
      </c>
      <c r="F23" s="16" t="s">
        <v>45</v>
      </c>
      <c r="G23" s="16" t="s">
        <v>54</v>
      </c>
      <c r="H23" s="17" t="s">
        <v>66</v>
      </c>
      <c r="I23" s="17"/>
      <c r="J23" s="26" t="str">
        <f>"265,0"</f>
        <v>265,0</v>
      </c>
      <c r="K23" s="27" t="str">
        <f>"187,4186"</f>
        <v>187,4186</v>
      </c>
      <c r="L23" s="15" t="s">
        <v>1195</v>
      </c>
    </row>
    <row r="25" spans="1:12" ht="16">
      <c r="A25" s="49" t="s">
        <v>61</v>
      </c>
      <c r="B25" s="49"/>
      <c r="C25" s="49"/>
      <c r="D25" s="49"/>
      <c r="E25" s="49"/>
      <c r="F25" s="49"/>
      <c r="G25" s="49"/>
      <c r="H25" s="49"/>
      <c r="I25" s="49"/>
    </row>
    <row r="26" spans="1:12">
      <c r="A26" s="9" t="s">
        <v>1003</v>
      </c>
      <c r="B26" s="9" t="s">
        <v>1004</v>
      </c>
      <c r="C26" s="9" t="s">
        <v>1005</v>
      </c>
      <c r="D26" s="9" t="s">
        <v>1178</v>
      </c>
      <c r="E26" s="9" t="s">
        <v>1006</v>
      </c>
      <c r="F26" s="10" t="s">
        <v>1007</v>
      </c>
      <c r="G26" s="11"/>
      <c r="H26" s="11"/>
      <c r="I26" s="11"/>
      <c r="J26" s="22" t="str">
        <f>"445,0"</f>
        <v>445,0</v>
      </c>
      <c r="K26" s="23" t="str">
        <f>"267,7565"</f>
        <v>267,7565</v>
      </c>
      <c r="L26" s="9" t="s">
        <v>135</v>
      </c>
    </row>
    <row r="27" spans="1:12">
      <c r="A27" s="12" t="s">
        <v>1009</v>
      </c>
      <c r="B27" s="12" t="s">
        <v>1010</v>
      </c>
      <c r="C27" s="12" t="s">
        <v>1011</v>
      </c>
      <c r="D27" s="12" t="s">
        <v>1178</v>
      </c>
      <c r="E27" s="12" t="s">
        <v>1012</v>
      </c>
      <c r="F27" s="14" t="s">
        <v>149</v>
      </c>
      <c r="G27" s="14" t="s">
        <v>1013</v>
      </c>
      <c r="H27" s="13" t="s">
        <v>150</v>
      </c>
      <c r="I27" s="13"/>
      <c r="J27" s="24" t="str">
        <f>"325,0"</f>
        <v>325,0</v>
      </c>
      <c r="K27" s="25" t="str">
        <f>"194,2200"</f>
        <v>194,2200</v>
      </c>
      <c r="L27" s="12" t="s">
        <v>135</v>
      </c>
    </row>
    <row r="28" spans="1:12">
      <c r="A28" s="15" t="s">
        <v>1015</v>
      </c>
      <c r="B28" s="15" t="s">
        <v>1016</v>
      </c>
      <c r="C28" s="15" t="s">
        <v>1017</v>
      </c>
      <c r="D28" s="15" t="s">
        <v>1177</v>
      </c>
      <c r="E28" s="15" t="s">
        <v>189</v>
      </c>
      <c r="F28" s="16" t="s">
        <v>57</v>
      </c>
      <c r="G28" s="16" t="s">
        <v>542</v>
      </c>
      <c r="H28" s="17" t="s">
        <v>1018</v>
      </c>
      <c r="I28" s="17"/>
      <c r="J28" s="26" t="str">
        <f>"282,5"</f>
        <v>282,5</v>
      </c>
      <c r="K28" s="27" t="str">
        <f>"189,6516"</f>
        <v>189,6516</v>
      </c>
      <c r="L28" s="15" t="s">
        <v>1019</v>
      </c>
    </row>
    <row r="38" spans="1:4" ht="18">
      <c r="A38" s="28" t="s">
        <v>80</v>
      </c>
      <c r="B38" s="28"/>
    </row>
    <row r="39" spans="1:4" ht="16">
      <c r="A39" s="29" t="s">
        <v>91</v>
      </c>
      <c r="B39" s="29"/>
    </row>
    <row r="40" spans="1:4" ht="14">
      <c r="A40" s="31"/>
      <c r="B40" s="32" t="s">
        <v>92</v>
      </c>
    </row>
    <row r="41" spans="1:4" ht="14">
      <c r="A41" s="33" t="s">
        <v>83</v>
      </c>
      <c r="B41" s="33" t="s">
        <v>84</v>
      </c>
      <c r="C41" s="33" t="s">
        <v>85</v>
      </c>
      <c r="D41" s="33" t="s">
        <v>498</v>
      </c>
    </row>
    <row r="42" spans="1:4">
      <c r="A42" s="30" t="s">
        <v>971</v>
      </c>
      <c r="B42" s="4" t="s">
        <v>93</v>
      </c>
      <c r="C42" s="4" t="s">
        <v>139</v>
      </c>
      <c r="D42" s="4" t="s">
        <v>180</v>
      </c>
    </row>
    <row r="44" spans="1:4" ht="14">
      <c r="A44" s="31"/>
      <c r="B44" s="32" t="s">
        <v>96</v>
      </c>
    </row>
    <row r="45" spans="1:4" ht="14">
      <c r="A45" s="33" t="s">
        <v>83</v>
      </c>
      <c r="B45" s="33" t="s">
        <v>84</v>
      </c>
      <c r="C45" s="33" t="s">
        <v>85</v>
      </c>
      <c r="D45" s="33" t="s">
        <v>498</v>
      </c>
    </row>
    <row r="46" spans="1:4">
      <c r="A46" s="30" t="s">
        <v>1002</v>
      </c>
      <c r="B46" s="4" t="s">
        <v>96</v>
      </c>
      <c r="C46" s="4" t="s">
        <v>97</v>
      </c>
      <c r="D46" s="4" t="s">
        <v>1007</v>
      </c>
    </row>
    <row r="47" spans="1:4">
      <c r="A47" s="30" t="s">
        <v>976</v>
      </c>
      <c r="B47" s="4" t="s">
        <v>96</v>
      </c>
      <c r="C47" s="4" t="s">
        <v>139</v>
      </c>
      <c r="D47" s="4" t="s">
        <v>980</v>
      </c>
    </row>
    <row r="48" spans="1:4">
      <c r="A48" s="30" t="s">
        <v>983</v>
      </c>
      <c r="B48" s="4" t="s">
        <v>96</v>
      </c>
      <c r="C48" s="4" t="s">
        <v>139</v>
      </c>
      <c r="D48" s="4" t="s">
        <v>988</v>
      </c>
    </row>
    <row r="49" spans="1:4">
      <c r="A49" s="30" t="s">
        <v>1008</v>
      </c>
      <c r="B49" s="4" t="s">
        <v>96</v>
      </c>
      <c r="C49" s="4" t="s">
        <v>97</v>
      </c>
      <c r="D49" s="4" t="s">
        <v>1013</v>
      </c>
    </row>
    <row r="50" spans="1:4">
      <c r="A50" s="30" t="s">
        <v>989</v>
      </c>
      <c r="B50" s="4" t="s">
        <v>96</v>
      </c>
      <c r="C50" s="4" t="s">
        <v>139</v>
      </c>
      <c r="D50" s="4" t="s">
        <v>992</v>
      </c>
    </row>
    <row r="51" spans="1:4">
      <c r="A51" s="30" t="s">
        <v>956</v>
      </c>
      <c r="B51" s="4" t="s">
        <v>96</v>
      </c>
      <c r="C51" s="4" t="s">
        <v>94</v>
      </c>
      <c r="D51" s="4" t="s">
        <v>71</v>
      </c>
    </row>
    <row r="52" spans="1:4">
      <c r="A52" s="30" t="s">
        <v>952</v>
      </c>
      <c r="B52" s="4" t="s">
        <v>96</v>
      </c>
      <c r="C52" s="4" t="s">
        <v>94</v>
      </c>
      <c r="D52" s="4" t="s">
        <v>955</v>
      </c>
    </row>
    <row r="53" spans="1:4">
      <c r="A53" s="30" t="s">
        <v>959</v>
      </c>
      <c r="B53" s="4" t="s">
        <v>96</v>
      </c>
      <c r="C53" s="4" t="s">
        <v>94</v>
      </c>
      <c r="D53" s="4" t="s">
        <v>963</v>
      </c>
    </row>
    <row r="54" spans="1:4">
      <c r="A54" s="30" t="s">
        <v>993</v>
      </c>
      <c r="B54" s="4" t="s">
        <v>96</v>
      </c>
      <c r="C54" s="4" t="s">
        <v>139</v>
      </c>
      <c r="D54" s="4" t="s">
        <v>66</v>
      </c>
    </row>
    <row r="55" spans="1:4">
      <c r="A55" s="30" t="s">
        <v>947</v>
      </c>
      <c r="B55" s="4" t="s">
        <v>96</v>
      </c>
      <c r="C55" s="4" t="s">
        <v>222</v>
      </c>
      <c r="D55" s="4" t="s">
        <v>138</v>
      </c>
    </row>
    <row r="56" spans="1:4">
      <c r="A56" s="30" t="s">
        <v>364</v>
      </c>
      <c r="B56" s="4" t="s">
        <v>96</v>
      </c>
      <c r="C56" s="4" t="s">
        <v>94</v>
      </c>
      <c r="D56" s="4" t="s">
        <v>129</v>
      </c>
    </row>
    <row r="58" spans="1:4" ht="14">
      <c r="A58" s="31"/>
      <c r="B58" s="32" t="s">
        <v>82</v>
      </c>
    </row>
    <row r="59" spans="1:4" ht="14">
      <c r="A59" s="33" t="s">
        <v>83</v>
      </c>
      <c r="B59" s="33" t="s">
        <v>84</v>
      </c>
      <c r="C59" s="33" t="s">
        <v>85</v>
      </c>
      <c r="D59" s="33" t="s">
        <v>498</v>
      </c>
    </row>
    <row r="60" spans="1:4">
      <c r="A60" s="30" t="s">
        <v>966</v>
      </c>
      <c r="B60" s="4" t="s">
        <v>500</v>
      </c>
      <c r="C60" s="4" t="s">
        <v>226</v>
      </c>
      <c r="D60" s="4" t="s">
        <v>181</v>
      </c>
    </row>
    <row r="61" spans="1:4">
      <c r="A61" s="30" t="s">
        <v>1014</v>
      </c>
      <c r="B61" s="4" t="s">
        <v>88</v>
      </c>
      <c r="C61" s="4" t="s">
        <v>97</v>
      </c>
      <c r="D61" s="4" t="s">
        <v>542</v>
      </c>
    </row>
    <row r="62" spans="1:4">
      <c r="A62" s="30" t="s">
        <v>997</v>
      </c>
      <c r="B62" s="4" t="s">
        <v>88</v>
      </c>
      <c r="C62" s="4" t="s">
        <v>139</v>
      </c>
      <c r="D62" s="4" t="s">
        <v>54</v>
      </c>
    </row>
  </sheetData>
  <mergeCells count="15">
    <mergeCell ref="A8:I8"/>
    <mergeCell ref="A14:I14"/>
    <mergeCell ref="A17:I17"/>
    <mergeCell ref="A25:I25"/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0"/>
  <sheetViews>
    <sheetView workbookViewId="0">
      <selection activeCell="E6" sqref="E1:E1048576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8.5" style="4" bestFit="1" customWidth="1"/>
    <col min="5" max="5" width="17.332031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9" bestFit="1" customWidth="1"/>
    <col min="19" max="19" width="8.5" style="2" bestFit="1" customWidth="1"/>
    <col min="20" max="20" width="11.5" style="4" bestFit="1" customWidth="1"/>
    <col min="21" max="16384" width="9.1640625" style="3"/>
  </cols>
  <sheetData>
    <row r="1" spans="1:20" s="2" customFormat="1" ht="29" customHeight="1">
      <c r="A1" s="40" t="s">
        <v>1158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1:20" s="2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/>
    </row>
    <row r="3" spans="1:20" s="1" customFormat="1" ht="12.75" customHeight="1">
      <c r="A3" s="46" t="s">
        <v>0</v>
      </c>
      <c r="B3" s="48" t="s">
        <v>1174</v>
      </c>
      <c r="C3" s="48" t="s">
        <v>7</v>
      </c>
      <c r="D3" s="34" t="s">
        <v>1175</v>
      </c>
      <c r="E3" s="34" t="s">
        <v>6</v>
      </c>
      <c r="F3" s="34" t="s">
        <v>8</v>
      </c>
      <c r="G3" s="34"/>
      <c r="H3" s="34"/>
      <c r="I3" s="34"/>
      <c r="J3" s="34" t="s">
        <v>9</v>
      </c>
      <c r="K3" s="34"/>
      <c r="L3" s="34"/>
      <c r="M3" s="34"/>
      <c r="N3" s="34" t="s">
        <v>10</v>
      </c>
      <c r="O3" s="34"/>
      <c r="P3" s="34"/>
      <c r="Q3" s="34"/>
      <c r="R3" s="34" t="s">
        <v>1</v>
      </c>
      <c r="S3" s="34" t="s">
        <v>3</v>
      </c>
      <c r="T3" s="36" t="s">
        <v>2</v>
      </c>
    </row>
    <row r="4" spans="1:20" s="1" customFormat="1" ht="21" customHeight="1" thickBot="1">
      <c r="A4" s="47"/>
      <c r="B4" s="35"/>
      <c r="C4" s="35"/>
      <c r="D4" s="35"/>
      <c r="E4" s="35"/>
      <c r="F4" s="5">
        <v>1</v>
      </c>
      <c r="G4" s="5">
        <v>2</v>
      </c>
      <c r="H4" s="5">
        <v>3</v>
      </c>
      <c r="I4" s="5" t="s">
        <v>5</v>
      </c>
      <c r="J4" s="5">
        <v>1</v>
      </c>
      <c r="K4" s="5">
        <v>2</v>
      </c>
      <c r="L4" s="5">
        <v>3</v>
      </c>
      <c r="M4" s="5" t="s">
        <v>5</v>
      </c>
      <c r="N4" s="5">
        <v>1</v>
      </c>
      <c r="O4" s="5">
        <v>2</v>
      </c>
      <c r="P4" s="5">
        <v>3</v>
      </c>
      <c r="Q4" s="5" t="s">
        <v>5</v>
      </c>
      <c r="R4" s="35"/>
      <c r="S4" s="35"/>
      <c r="T4" s="37"/>
    </row>
    <row r="5" spans="1:20" ht="16">
      <c r="A5" s="38" t="s">
        <v>184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0">
      <c r="A6" s="6" t="s">
        <v>331</v>
      </c>
      <c r="B6" s="6" t="s">
        <v>332</v>
      </c>
      <c r="C6" s="6" t="s">
        <v>333</v>
      </c>
      <c r="D6" s="6" t="s">
        <v>1178</v>
      </c>
      <c r="E6" s="6" t="s">
        <v>29</v>
      </c>
      <c r="F6" s="7" t="s">
        <v>70</v>
      </c>
      <c r="G6" s="7" t="s">
        <v>44</v>
      </c>
      <c r="H6" s="7" t="s">
        <v>45</v>
      </c>
      <c r="I6" s="8"/>
      <c r="J6" s="7" t="s">
        <v>19</v>
      </c>
      <c r="K6" s="8" t="s">
        <v>334</v>
      </c>
      <c r="L6" s="7" t="s">
        <v>335</v>
      </c>
      <c r="M6" s="8"/>
      <c r="N6" s="7" t="s">
        <v>199</v>
      </c>
      <c r="O6" s="8" t="s">
        <v>138</v>
      </c>
      <c r="P6" s="8" t="s">
        <v>138</v>
      </c>
      <c r="Q6" s="8"/>
      <c r="R6" s="20" t="str">
        <f>"617,5"</f>
        <v>617,5</v>
      </c>
      <c r="S6" s="21" t="str">
        <f>"400,0782"</f>
        <v>400,0782</v>
      </c>
      <c r="T6" s="6" t="s">
        <v>336</v>
      </c>
    </row>
    <row r="16" spans="1:20" ht="18">
      <c r="A16" s="28" t="s">
        <v>80</v>
      </c>
      <c r="B16" s="28"/>
    </row>
    <row r="17" spans="1:4" ht="16">
      <c r="A17" s="29" t="s">
        <v>91</v>
      </c>
      <c r="B17" s="29"/>
    </row>
    <row r="18" spans="1:4" ht="14">
      <c r="A18" s="31"/>
      <c r="B18" s="32" t="s">
        <v>96</v>
      </c>
    </row>
    <row r="19" spans="1:4" ht="14">
      <c r="A19" s="33" t="s">
        <v>83</v>
      </c>
      <c r="B19" s="33" t="s">
        <v>84</v>
      </c>
      <c r="C19" s="33" t="s">
        <v>85</v>
      </c>
      <c r="D19" s="33" t="s">
        <v>86</v>
      </c>
    </row>
    <row r="20" spans="1:4">
      <c r="A20" s="30" t="s">
        <v>330</v>
      </c>
      <c r="B20" s="4" t="s">
        <v>96</v>
      </c>
      <c r="C20" s="4" t="s">
        <v>226</v>
      </c>
      <c r="D20" s="4" t="s">
        <v>337</v>
      </c>
    </row>
  </sheetData>
  <mergeCells count="13">
    <mergeCell ref="R3:R4"/>
    <mergeCell ref="S3:S4"/>
    <mergeCell ref="T3:T4"/>
    <mergeCell ref="A5:Q5"/>
    <mergeCell ref="A1:T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PL SP PRO</vt:lpstr>
      <vt:lpstr>PL Cl PRO</vt:lpstr>
      <vt:lpstr>PL Raw PRO</vt:lpstr>
      <vt:lpstr>BP MP PRO</vt:lpstr>
      <vt:lpstr>BP SP PRO</vt:lpstr>
      <vt:lpstr>BP Raw Pro</vt:lpstr>
      <vt:lpstr>DL SP PRO</vt:lpstr>
      <vt:lpstr>DL Raw PRO</vt:lpstr>
      <vt:lpstr>PL SP Am</vt:lpstr>
      <vt:lpstr>PL Cl Am</vt:lpstr>
      <vt:lpstr>PL Raw Am</vt:lpstr>
      <vt:lpstr>BP MP Am</vt:lpstr>
      <vt:lpstr>BP SP Am</vt:lpstr>
      <vt:lpstr>BP Raw Am</vt:lpstr>
      <vt:lpstr>DL SP Am</vt:lpstr>
      <vt:lpstr>DL Raw 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2020-11-17T16:03:02Z</dcterms:modified>
</cp:coreProperties>
</file>