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Ноябрь/"/>
    </mc:Choice>
  </mc:AlternateContent>
  <xr:revisionPtr revIDLastSave="0" documentId="13_ncr:1_{9EF4BF3D-55ED-DC46-ADDE-582792BEB93D}" xr6:coauthVersionLast="45" xr6:coauthVersionMax="45" xr10:uidLastSave="{00000000-0000-0000-0000-000000000000}"/>
  <bookViews>
    <workbookView xWindow="480" yWindow="460" windowWidth="28320" windowHeight="15920" xr2:uid="{00000000-000D-0000-FFFF-FFFF00000000}"/>
  </bookViews>
  <sheets>
    <sheet name="WRPF ПЛ без экипировки ДК" sheetId="6" r:id="rId1"/>
    <sheet name="WRPF ПЛ без экипировки" sheetId="5" r:id="rId2"/>
    <sheet name="WRPF Жим лежа без экип ДК" sheetId="8" r:id="rId3"/>
    <sheet name="WRPF Жим лежа без экип" sheetId="7" r:id="rId4"/>
    <sheet name="WEPF Жим софт многопетельнаяДК" sheetId="10" r:id="rId5"/>
    <sheet name="WRPF Военный жим ДК" sheetId="9" r:id="rId6"/>
    <sheet name="WRPF Тяга без экипировки ДК" sheetId="12" r:id="rId7"/>
    <sheet name="WRPF Тяга без экипировки" sheetId="11" r:id="rId8"/>
    <sheet name="WRPF Подъем на бицепс ДК" sheetId="14" r:id="rId9"/>
    <sheet name="WRPF Подъем на бицепс" sheetId="13" r:id="rId10"/>
  </sheets>
  <definedNames>
    <definedName name="_FilterDatabase" localSheetId="1" hidden="1">'WRPF ПЛ без экипировки'!$A$1:$S$3</definedName>
  </definedNames>
  <calcPr calcId="145621" refMode="R1C1" calcCompleted="0"/>
</workbook>
</file>

<file path=xl/calcChain.xml><?xml version="1.0" encoding="utf-8"?>
<calcChain xmlns="http://schemas.openxmlformats.org/spreadsheetml/2006/main">
  <c r="L46" i="14" l="1"/>
  <c r="K46" i="14"/>
  <c r="L43" i="14"/>
  <c r="K43" i="14"/>
  <c r="L40" i="14"/>
  <c r="K40" i="14"/>
  <c r="L39" i="14"/>
  <c r="L36" i="14"/>
  <c r="K36" i="14"/>
  <c r="L35" i="14"/>
  <c r="K35" i="14"/>
  <c r="L34" i="14"/>
  <c r="K34" i="14"/>
  <c r="L33" i="14"/>
  <c r="K33" i="14"/>
  <c r="L32" i="14"/>
  <c r="K32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18" i="14"/>
  <c r="K18" i="14"/>
  <c r="L15" i="14"/>
  <c r="K15" i="14"/>
  <c r="L12" i="14"/>
  <c r="K12" i="14"/>
  <c r="L9" i="14"/>
  <c r="K9" i="14"/>
  <c r="L6" i="14"/>
  <c r="K6" i="14"/>
  <c r="L19" i="13"/>
  <c r="K19" i="13"/>
  <c r="L16" i="13"/>
  <c r="K16" i="13"/>
  <c r="L13" i="13"/>
  <c r="K13" i="13"/>
  <c r="L12" i="13"/>
  <c r="K12" i="13"/>
  <c r="L9" i="13"/>
  <c r="K9" i="13"/>
  <c r="L6" i="13"/>
  <c r="K6" i="13"/>
  <c r="L27" i="12"/>
  <c r="K27" i="12"/>
  <c r="L26" i="12"/>
  <c r="K26" i="12"/>
  <c r="L23" i="12"/>
  <c r="K23" i="12"/>
  <c r="L20" i="12"/>
  <c r="K20" i="12"/>
  <c r="L17" i="12"/>
  <c r="K17" i="12"/>
  <c r="L14" i="12"/>
  <c r="K14" i="12"/>
  <c r="L13" i="12"/>
  <c r="K13" i="12"/>
  <c r="L10" i="12"/>
  <c r="K10" i="12"/>
  <c r="L9" i="12"/>
  <c r="K9" i="12"/>
  <c r="L6" i="12"/>
  <c r="K6" i="12"/>
  <c r="L9" i="11"/>
  <c r="K9" i="11"/>
  <c r="L6" i="11"/>
  <c r="K6" i="11"/>
  <c r="L6" i="10"/>
  <c r="K6" i="10"/>
  <c r="L11" i="9"/>
  <c r="K11" i="9"/>
  <c r="L8" i="9"/>
  <c r="K8" i="9"/>
  <c r="L7" i="9"/>
  <c r="K7" i="9"/>
  <c r="L6" i="9"/>
  <c r="K6" i="9"/>
  <c r="L57" i="8"/>
  <c r="K57" i="8"/>
  <c r="L54" i="8"/>
  <c r="L53" i="8"/>
  <c r="K53" i="8"/>
  <c r="L52" i="8"/>
  <c r="K52" i="8"/>
  <c r="L51" i="8"/>
  <c r="K51" i="8"/>
  <c r="L50" i="8"/>
  <c r="K50" i="8"/>
  <c r="L49" i="8"/>
  <c r="K49" i="8"/>
  <c r="L48" i="8"/>
  <c r="K48" i="8"/>
  <c r="L47" i="8"/>
  <c r="K47" i="8"/>
  <c r="L44" i="8"/>
  <c r="K44" i="8"/>
  <c r="L43" i="8"/>
  <c r="K43" i="8"/>
  <c r="L42" i="8"/>
  <c r="K42" i="8"/>
  <c r="L41" i="8"/>
  <c r="K41" i="8"/>
  <c r="L38" i="8"/>
  <c r="K38" i="8"/>
  <c r="L37" i="8"/>
  <c r="K37" i="8"/>
  <c r="L36" i="8"/>
  <c r="K36" i="8"/>
  <c r="L35" i="8"/>
  <c r="K35" i="8"/>
  <c r="L34" i="8"/>
  <c r="K34" i="8"/>
  <c r="L33" i="8"/>
  <c r="K33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1" i="8"/>
  <c r="K21" i="8"/>
  <c r="L20" i="8"/>
  <c r="L19" i="8"/>
  <c r="K19" i="8"/>
  <c r="L18" i="8"/>
  <c r="K18" i="8"/>
  <c r="L15" i="8"/>
  <c r="K15" i="8"/>
  <c r="L14" i="8"/>
  <c r="K14" i="8"/>
  <c r="L13" i="8"/>
  <c r="K13" i="8"/>
  <c r="L10" i="8"/>
  <c r="K10" i="8"/>
  <c r="L7" i="8"/>
  <c r="K7" i="8"/>
  <c r="L6" i="8"/>
  <c r="K6" i="8"/>
  <c r="L20" i="7"/>
  <c r="K20" i="7"/>
  <c r="L19" i="7"/>
  <c r="K19" i="7"/>
  <c r="L16" i="7"/>
  <c r="K16" i="7"/>
  <c r="L13" i="7"/>
  <c r="K13" i="7"/>
  <c r="L12" i="7"/>
  <c r="K12" i="7"/>
  <c r="L9" i="7"/>
  <c r="K9" i="7"/>
  <c r="L6" i="7"/>
  <c r="K6" i="7"/>
  <c r="T27" i="6"/>
  <c r="T26" i="6"/>
  <c r="S26" i="6"/>
  <c r="T23" i="6"/>
  <c r="S23" i="6"/>
  <c r="T20" i="6"/>
  <c r="S20" i="6"/>
  <c r="T19" i="6"/>
  <c r="S19" i="6"/>
  <c r="T16" i="6"/>
  <c r="T13" i="6"/>
  <c r="S13" i="6"/>
  <c r="T10" i="6"/>
  <c r="S10" i="6"/>
  <c r="T7" i="6"/>
  <c r="T6" i="6"/>
  <c r="S6" i="6"/>
  <c r="T22" i="5"/>
  <c r="S22" i="5"/>
  <c r="T21" i="5"/>
  <c r="S21" i="5"/>
  <c r="T18" i="5"/>
  <c r="S18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<sst xmlns="http://schemas.openxmlformats.org/spreadsheetml/2006/main" count="1281" uniqueCount="393">
  <si>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</si>
  <si>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</si>
  <si>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</si>
  <si>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</si>
  <si>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</si>
  <si>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</si>
  <si>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</si>
  <si>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</si>
  <si>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</si>
  <si>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</si>
  <si>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</si>
  <si>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Юноши 14-16 (11.04.2010)/13</t>
  </si>
  <si>
    <t>54,20</t>
  </si>
  <si>
    <t>50,0</t>
  </si>
  <si>
    <t>60,0</t>
  </si>
  <si>
    <t>40,0</t>
  </si>
  <si>
    <t>45,0</t>
  </si>
  <si>
    <t>47,5</t>
  </si>
  <si>
    <t>62,5</t>
  </si>
  <si>
    <t>70,0</t>
  </si>
  <si>
    <t>ВЕСОВАЯ КАТЕГОРИЯ   67.5</t>
  </si>
  <si>
    <t>Юноши 14-16 (31.03.2007)/16</t>
  </si>
  <si>
    <t>60,20</t>
  </si>
  <si>
    <t>90,0</t>
  </si>
  <si>
    <t>110,0</t>
  </si>
  <si>
    <t>112,5</t>
  </si>
  <si>
    <t>75,0</t>
  </si>
  <si>
    <t>80,0</t>
  </si>
  <si>
    <t>125,0</t>
  </si>
  <si>
    <t>130,0</t>
  </si>
  <si>
    <t>ВЕСОВАЯ КАТЕГОРИЯ   90</t>
  </si>
  <si>
    <t>Мастера 50-59 (12.08.1969)/54</t>
  </si>
  <si>
    <t>89,20</t>
  </si>
  <si>
    <t>155,0</t>
  </si>
  <si>
    <t>160,0</t>
  </si>
  <si>
    <t>100,0</t>
  </si>
  <si>
    <t>105,0</t>
  </si>
  <si>
    <t>170,0</t>
  </si>
  <si>
    <t>180,0</t>
  </si>
  <si>
    <t>185,0</t>
  </si>
  <si>
    <t>ВЕСОВАЯ КАТЕГОРИЯ   100</t>
  </si>
  <si>
    <t>Открытая (23.07.2005)/18</t>
  </si>
  <si>
    <t>94,50</t>
  </si>
  <si>
    <t>140,0</t>
  </si>
  <si>
    <t>165,0</t>
  </si>
  <si>
    <t>132,5</t>
  </si>
  <si>
    <t>137,5</t>
  </si>
  <si>
    <t>ВЕСОВАЯ КАТЕГОРИЯ   110</t>
  </si>
  <si>
    <t>Открытая (11.08.1988)/35</t>
  </si>
  <si>
    <t>102,80</t>
  </si>
  <si>
    <t>150,0</t>
  </si>
  <si>
    <t>152,5</t>
  </si>
  <si>
    <t>210,0</t>
  </si>
  <si>
    <t>230,0</t>
  </si>
  <si>
    <t>240,0</t>
  </si>
  <si>
    <t>ВЕСОВАЯ КАТЕГОРИЯ   125</t>
  </si>
  <si>
    <t>Юноши 17-19 (29.03.2005)/18</t>
  </si>
  <si>
    <t>125,00</t>
  </si>
  <si>
    <t>175,0</t>
  </si>
  <si>
    <t>190,0</t>
  </si>
  <si>
    <t>Открытая (20.02.2003)/20</t>
  </si>
  <si>
    <t>112,80</t>
  </si>
  <si>
    <t>200,0</t>
  </si>
  <si>
    <t>162,5</t>
  </si>
  <si>
    <t>195,0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</si>
  <si>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</si>
  <si>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</si>
  <si>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</si>
  <si>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</si>
  <si>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</si>
  <si>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Wilks </t>
  </si>
  <si>
    <t>67.5</t>
  </si>
  <si>
    <t xml:space="preserve">Открытая </t>
  </si>
  <si>
    <t>100</t>
  </si>
  <si>
    <t>90</t>
  </si>
  <si>
    <t>1</t>
  </si>
  <si>
    <t>Клишко Лев</t>
  </si>
  <si>
    <t>Иванов Даниил</t>
  </si>
  <si>
    <t>Трубников Александр</t>
  </si>
  <si>
    <t>Пермяков Алексей</t>
  </si>
  <si>
    <t>Романов Степан</t>
  </si>
  <si>
    <t>Ануфриев Захар</t>
  </si>
  <si>
    <t>Агапий Матвей</t>
  </si>
  <si>
    <t>ВЕСОВАЯ КАТЕГОРИЯ   52</t>
  </si>
  <si>
    <t>Открытая (25.03.1984)/39</t>
  </si>
  <si>
    <t>50,00</t>
  </si>
  <si>
    <t>85,0</t>
  </si>
  <si>
    <t>95,0</t>
  </si>
  <si>
    <t>Открытая (09.05.1988)/35</t>
  </si>
  <si>
    <t>51,40</t>
  </si>
  <si>
    <t>52,5</t>
  </si>
  <si>
    <t>Открытая (28.09.1989)/34</t>
  </si>
  <si>
    <t>55,90</t>
  </si>
  <si>
    <t>65,0</t>
  </si>
  <si>
    <t>117,5</t>
  </si>
  <si>
    <t>122,5</t>
  </si>
  <si>
    <t>ВЕСОВАЯ КАТЕГОРИЯ   60</t>
  </si>
  <si>
    <t>Открытая (04.02.1993)/30</t>
  </si>
  <si>
    <t>58,30</t>
  </si>
  <si>
    <t>92,5</t>
  </si>
  <si>
    <t>55,0</t>
  </si>
  <si>
    <t>115,0</t>
  </si>
  <si>
    <t>127,5</t>
  </si>
  <si>
    <t>Открытая (27.09.1986)/37</t>
  </si>
  <si>
    <t>59,70</t>
  </si>
  <si>
    <t>120,0</t>
  </si>
  <si>
    <t>ВЕСОВАЯ КАТЕГОРИЯ   75</t>
  </si>
  <si>
    <t xml:space="preserve">Таракановский Михаил </t>
  </si>
  <si>
    <t>Юноши 17-19 (07.11.2004)/19</t>
  </si>
  <si>
    <t>73,00</t>
  </si>
  <si>
    <t>107,5</t>
  </si>
  <si>
    <t>Открытая (13.04.1992)/31</t>
  </si>
  <si>
    <t>72,20</t>
  </si>
  <si>
    <t>135,0</t>
  </si>
  <si>
    <t>Открытая (09.09.1990)/33</t>
  </si>
  <si>
    <t>96,40</t>
  </si>
  <si>
    <t>215,0</t>
  </si>
  <si>
    <t>142,5</t>
  </si>
  <si>
    <t>250,0</t>
  </si>
  <si>
    <t>260,0</t>
  </si>
  <si>
    <t>Юноши 17-19 (03.02.2005)/18</t>
  </si>
  <si>
    <t>104,10</t>
  </si>
  <si>
    <t>205,0</t>
  </si>
  <si>
    <t>Открытая (13.04.1984)/39</t>
  </si>
  <si>
    <t>105,60</t>
  </si>
  <si>
    <t>172,5</t>
  </si>
  <si>
    <t>75</t>
  </si>
  <si>
    <t>Охрема Екатерина</t>
  </si>
  <si>
    <t>-</t>
  </si>
  <si>
    <t>Аствацатрян Екатерина</t>
  </si>
  <si>
    <t>Красноштанова Зинаида</t>
  </si>
  <si>
    <t>Винтоняк Юлия</t>
  </si>
  <si>
    <t>Гомбоева Алёна</t>
  </si>
  <si>
    <t>Таракановский Михаил</t>
  </si>
  <si>
    <t>Пешков Евгений</t>
  </si>
  <si>
    <t>Хайбуллин Сергей</t>
  </si>
  <si>
    <t>Заводцев Максим</t>
  </si>
  <si>
    <t>Самодуров Сергей</t>
  </si>
  <si>
    <t>Юноши 14-16 (01.01.2008)/15</t>
  </si>
  <si>
    <t>50,70</t>
  </si>
  <si>
    <t>82,5</t>
  </si>
  <si>
    <t>ВЕСОВАЯ КАТЕГОРИЯ   82.5</t>
  </si>
  <si>
    <t>Мастера 40-49 (24.04.1975)/48</t>
  </si>
  <si>
    <t>79,70</t>
  </si>
  <si>
    <t xml:space="preserve">Шестаков Александр </t>
  </si>
  <si>
    <t>Открытая (07.08.1995)/28</t>
  </si>
  <si>
    <t>86,00</t>
  </si>
  <si>
    <t xml:space="preserve">Никитин Дмитрий </t>
  </si>
  <si>
    <t>Открытая (05.06.1993)/30</t>
  </si>
  <si>
    <t>89,00</t>
  </si>
  <si>
    <t>182,5</t>
  </si>
  <si>
    <t xml:space="preserve">Чернаков Денис </t>
  </si>
  <si>
    <t>Открытая (09.11.1994)/29</t>
  </si>
  <si>
    <t>94,30</t>
  </si>
  <si>
    <t>Открытая (30.11.1992)/30</t>
  </si>
  <si>
    <t>103,50</t>
  </si>
  <si>
    <t>167,5</t>
  </si>
  <si>
    <t>Открытая (22.07.1992)/31</t>
  </si>
  <si>
    <t>104,00</t>
  </si>
  <si>
    <t xml:space="preserve">Результат </t>
  </si>
  <si>
    <t>82.5</t>
  </si>
  <si>
    <t>Результат</t>
  </si>
  <si>
    <t>Лапшин Александр</t>
  </si>
  <si>
    <t>Абдуллаев Арсений</t>
  </si>
  <si>
    <t>Шестаков Александр</t>
  </si>
  <si>
    <t>2</t>
  </si>
  <si>
    <t>Никитин Дмитрий</t>
  </si>
  <si>
    <t>Чернаков Денис</t>
  </si>
  <si>
    <t>Лесков Александр</t>
  </si>
  <si>
    <t>Коновалов Владислав</t>
  </si>
  <si>
    <t>Юниорки (20.08.2002)/21</t>
  </si>
  <si>
    <t>51,00</t>
  </si>
  <si>
    <t>Открытая (16.11.1988)/35</t>
  </si>
  <si>
    <t>58,80</t>
  </si>
  <si>
    <t>57,5</t>
  </si>
  <si>
    <t>Юниорки (13.09.2000)/23</t>
  </si>
  <si>
    <t>64,60</t>
  </si>
  <si>
    <t>Открытая (13.09.2000)/23</t>
  </si>
  <si>
    <t>Открытая (18.11.1989)/33</t>
  </si>
  <si>
    <t>62,20</t>
  </si>
  <si>
    <t>Юноши 14-16 (25.05.2007)/16</t>
  </si>
  <si>
    <t>66,80</t>
  </si>
  <si>
    <t>Юноши 14-16 (07.11.2007)/16</t>
  </si>
  <si>
    <t>65,50</t>
  </si>
  <si>
    <t>Юноши 14-16 (08.06.2009)/14</t>
  </si>
  <si>
    <t>66,20</t>
  </si>
  <si>
    <t>87,5</t>
  </si>
  <si>
    <t>Открытая (15.07.1988)/35</t>
  </si>
  <si>
    <t>66,00</t>
  </si>
  <si>
    <t>Юноши 17-19 (13.06.2005)/18</t>
  </si>
  <si>
    <t>74,40</t>
  </si>
  <si>
    <t>Открытая (14.01.1991)/32</t>
  </si>
  <si>
    <t>74,90</t>
  </si>
  <si>
    <t>Открытая (02.10.1995)/28</t>
  </si>
  <si>
    <t>72,40</t>
  </si>
  <si>
    <t>Открытая (12.08.1992)/31</t>
  </si>
  <si>
    <t>72,50</t>
  </si>
  <si>
    <t>Открытая (18.12.1988)/34</t>
  </si>
  <si>
    <t>75,00</t>
  </si>
  <si>
    <t>Открытая (23.02.1986)/37</t>
  </si>
  <si>
    <t>72,60</t>
  </si>
  <si>
    <t>Мастера 40-49 (05.04.1982)/41</t>
  </si>
  <si>
    <t>74,00</t>
  </si>
  <si>
    <t>Юноши 14-16 (10.02.2007)/16</t>
  </si>
  <si>
    <t>79,00</t>
  </si>
  <si>
    <t xml:space="preserve">Юрин Дмитрий </t>
  </si>
  <si>
    <t>Открытая (17.10.1996)/27</t>
  </si>
  <si>
    <t>79,20</t>
  </si>
  <si>
    <t xml:space="preserve">Чеканов Евгений </t>
  </si>
  <si>
    <t>Открытая (02.01.1991)/32</t>
  </si>
  <si>
    <t>82,40</t>
  </si>
  <si>
    <t>145,0</t>
  </si>
  <si>
    <t>Открытая (11.07.1983)/40</t>
  </si>
  <si>
    <t>80,00</t>
  </si>
  <si>
    <t>Открытая (24.07.1993)/30</t>
  </si>
  <si>
    <t>81,50</t>
  </si>
  <si>
    <t>Мастера 40-49 (11.07.1983)/40</t>
  </si>
  <si>
    <t>Юноши 14-16 (04.04.2008)/15</t>
  </si>
  <si>
    <t>85,90</t>
  </si>
  <si>
    <t>Открытая (19.11.1989)/33</t>
  </si>
  <si>
    <t>88,70</t>
  </si>
  <si>
    <t>Открытая (29.12.1996)/26</t>
  </si>
  <si>
    <t>84,50</t>
  </si>
  <si>
    <t>Открытая (12.06.2003)/20</t>
  </si>
  <si>
    <t>89,30</t>
  </si>
  <si>
    <t>Юниоры (29.04.2003)/20</t>
  </si>
  <si>
    <t>93,00</t>
  </si>
  <si>
    <t>147,5</t>
  </si>
  <si>
    <t xml:space="preserve">Ловцов Илья </t>
  </si>
  <si>
    <t>Юниоры (05.08.2000)/23</t>
  </si>
  <si>
    <t>100,00</t>
  </si>
  <si>
    <t xml:space="preserve">Фёдоров Сергей </t>
  </si>
  <si>
    <t>Открытая (27.04.1962)/61</t>
  </si>
  <si>
    <t>91,70</t>
  </si>
  <si>
    <t>Открытая (31.01.1987)/36</t>
  </si>
  <si>
    <t>94,10</t>
  </si>
  <si>
    <t>Открытая (28.04.1967)/56</t>
  </si>
  <si>
    <t>95,60</t>
  </si>
  <si>
    <t>Мастера 50-59 (28.04.1967)/56</t>
  </si>
  <si>
    <t>Мастера 60-69 (27.04.1962)/61</t>
  </si>
  <si>
    <t>Мастера 60-69 (26.07.1956)/67</t>
  </si>
  <si>
    <t>92,00</t>
  </si>
  <si>
    <t>Мастера 50-59 (01.03.1972)/51</t>
  </si>
  <si>
    <t>109,60</t>
  </si>
  <si>
    <t>Жамкочян Диана</t>
  </si>
  <si>
    <t>Копорушкина Людмила</t>
  </si>
  <si>
    <t>Носкова Валерия</t>
  </si>
  <si>
    <t>Тютина Елена</t>
  </si>
  <si>
    <t>Наринян Майк</t>
  </si>
  <si>
    <t>Бастрычкин Лев</t>
  </si>
  <si>
    <t>Романов Владислав</t>
  </si>
  <si>
    <t>Полётов Иван</t>
  </si>
  <si>
    <t>Булышев Илья</t>
  </si>
  <si>
    <t>Решетков Константин</t>
  </si>
  <si>
    <t>Бочаров Ефим</t>
  </si>
  <si>
    <t>3</t>
  </si>
  <si>
    <t>Князев Владислав</t>
  </si>
  <si>
    <t>4</t>
  </si>
  <si>
    <t>Альмаков Сергей</t>
  </si>
  <si>
    <t>5</t>
  </si>
  <si>
    <t>Алиев Олег</t>
  </si>
  <si>
    <t>Селин Вадим</t>
  </si>
  <si>
    <t>Лахнов Арсений</t>
  </si>
  <si>
    <t>Юрин Дмитрий</t>
  </si>
  <si>
    <t>Чеканов Евгений</t>
  </si>
  <si>
    <t>Сачук Антон</t>
  </si>
  <si>
    <t>Кравцов Виктор</t>
  </si>
  <si>
    <t>Новиков Владимир</t>
  </si>
  <si>
    <t>Пастушенко Владимир</t>
  </si>
  <si>
    <t>Тихонов Владимир</t>
  </si>
  <si>
    <t>Бостанчян Сергей</t>
  </si>
  <si>
    <t>Болдырев Андрей</t>
  </si>
  <si>
    <t>Скажепа Илья</t>
  </si>
  <si>
    <t>Фёдоров Сергей</t>
  </si>
  <si>
    <t>Устюжанин Александр</t>
  </si>
  <si>
    <t>Бачек Борис</t>
  </si>
  <si>
    <t>Войтенко Владимир</t>
  </si>
  <si>
    <t>Зубричев Алексей</t>
  </si>
  <si>
    <t>72,5</t>
  </si>
  <si>
    <t>77,5</t>
  </si>
  <si>
    <t>Открытая (25.06.1994)/29</t>
  </si>
  <si>
    <t>88,00</t>
  </si>
  <si>
    <t>207,5</t>
  </si>
  <si>
    <t>225,0</t>
  </si>
  <si>
    <t xml:space="preserve">Gloss </t>
  </si>
  <si>
    <t>Трухин Виктор</t>
  </si>
  <si>
    <t>Открытая (26.07.1986)/37</t>
  </si>
  <si>
    <t>79,50</t>
  </si>
  <si>
    <t>Юниоры (12.10.2001)/22</t>
  </si>
  <si>
    <t>95,70</t>
  </si>
  <si>
    <t>220,0</t>
  </si>
  <si>
    <t>Петушков Евгений</t>
  </si>
  <si>
    <t>Скубьев Алексей</t>
  </si>
  <si>
    <t>Открытая (13.11.1992)/31</t>
  </si>
  <si>
    <t>Мастера 50-59 (03.10.1968)/55</t>
  </si>
  <si>
    <t>60,00</t>
  </si>
  <si>
    <t>Юноши 17-19 (27.03.2005)/18</t>
  </si>
  <si>
    <t>73,20</t>
  </si>
  <si>
    <t>Открытая (24.09.1984)/39</t>
  </si>
  <si>
    <t>74,60</t>
  </si>
  <si>
    <t>212,5</t>
  </si>
  <si>
    <t>Маяковская Виктория</t>
  </si>
  <si>
    <t>Трухина Виктория</t>
  </si>
  <si>
    <t>Дроботушенко Егор</t>
  </si>
  <si>
    <t>Погосян Гнел</t>
  </si>
  <si>
    <t>35,0</t>
  </si>
  <si>
    <t>42,5</t>
  </si>
  <si>
    <t>Открытая (30.01.2006)/17</t>
  </si>
  <si>
    <t>64,20</t>
  </si>
  <si>
    <t>69,40</t>
  </si>
  <si>
    <t>30,0</t>
  </si>
  <si>
    <t>79,45</t>
  </si>
  <si>
    <t>Открытая (02.08.1994)/29</t>
  </si>
  <si>
    <t>119,00</t>
  </si>
  <si>
    <t>Раздобреев Сергей</t>
  </si>
  <si>
    <t>Савватеев Александр</t>
  </si>
  <si>
    <t>Путинцев Олег</t>
  </si>
  <si>
    <t>Ловцов Илья</t>
  </si>
  <si>
    <t>25,0</t>
  </si>
  <si>
    <t>27,5</t>
  </si>
  <si>
    <t>54,40</t>
  </si>
  <si>
    <t>22,5</t>
  </si>
  <si>
    <t>32,5</t>
  </si>
  <si>
    <t>37,5</t>
  </si>
  <si>
    <t xml:space="preserve">Макаров Даниил </t>
  </si>
  <si>
    <t>64,00</t>
  </si>
  <si>
    <t>67,5</t>
  </si>
  <si>
    <t xml:space="preserve">Шорохов Захар </t>
  </si>
  <si>
    <t>70,00</t>
  </si>
  <si>
    <t>Открытая (07.11.2004)/19</t>
  </si>
  <si>
    <t>72,80</t>
  </si>
  <si>
    <t>76,30</t>
  </si>
  <si>
    <t>Открытая (07.06.1992)/31</t>
  </si>
  <si>
    <t>79,30</t>
  </si>
  <si>
    <t>89,60</t>
  </si>
  <si>
    <t>Прозоровская Лика</t>
  </si>
  <si>
    <t>Макаров Даниил</t>
  </si>
  <si>
    <t>Шорохов Захар</t>
  </si>
  <si>
    <t>Плотников Юрий</t>
  </si>
  <si>
    <t>Ташлыков Сергей</t>
  </si>
  <si>
    <t>Котов Алексей</t>
  </si>
  <si>
    <t>Омельченко Евгений</t>
  </si>
  <si>
    <t>Сараев Сергей</t>
  </si>
  <si>
    <t>Юноши 13-19 (19.11.2008)/14</t>
  </si>
  <si>
    <t>Девушки 13-19 (03.04.2008)/15</t>
  </si>
  <si>
    <t>Юниорки 20-23 (13.09.2000)/23</t>
  </si>
  <si>
    <t>Юноши 13-19 (07.11.2004)/19</t>
  </si>
  <si>
    <t>Юноши 13-19 (29.12.2004)/18</t>
  </si>
  <si>
    <t>Юниоры 20-23 (27.09.2000)/23</t>
  </si>
  <si>
    <t>Мастера 40-49 (01.06.1982)/41</t>
  </si>
  <si>
    <t>Юниоры 20-23 (02.04.2003)/20</t>
  </si>
  <si>
    <t>Юноши 13-19 (30.05.2008)/15</t>
  </si>
  <si>
    <t xml:space="preserve">Юноши 13-19 </t>
  </si>
  <si>
    <t>Юноши 13-19 (01.01.2008)/15</t>
  </si>
  <si>
    <t>Юноши 13-19 (23.09.2006)/17</t>
  </si>
  <si>
    <t>Юноши 13-19 (24.10.2008)/15</t>
  </si>
  <si>
    <t>Открытый мастерский турнир «Титаны Забайкалья» и Чемпионат Забайкальского края
WRPF Пауэрлифтинг без экипировки ДК
Забайкальский край/Чита, 18 ноября 2023 года</t>
  </si>
  <si>
    <t>Открытый мастерский турнир «Титаны Забайкалья» и Чемпионат Забайкальского края
WRPF Пауэрлифтинг без экипировки
Забайкальский край/Чита, 18 ноября 2023 года</t>
  </si>
  <si>
    <t>Открытый мастерский турнир «Титаны Забайкалья» и Чемпионат Забайкальского края
WRPF Жим лежа без экипировки ДК
Забайкальский край/Чита, 18 ноября 2023 года</t>
  </si>
  <si>
    <t>Открытый мастерский турнир «Титаны Забайкалья» и Чемпионат Забайкальского края
WRPF Жим лежа без экипировки
Забайкальский край/Чита, 18 ноября 2023 года</t>
  </si>
  <si>
    <t>Открытый мастерский турнир «Титаны Забайкалья» и Чемпионат Забайкальского края
WEPF Жим лежа в многопетельной софт экипировке ДК
Забайкальский край/Чита, 18 ноября 2023 года</t>
  </si>
  <si>
    <t>Открытый мастерский турнир «Титаны Забайкалья» и Чемпионат Забайкальского края
WRPF Военный жим лежа с ДК
Забайкальский край/Чита, 18 ноября 2023 года</t>
  </si>
  <si>
    <t>Открытый мастерский турнир «Титаны Забайкалья» и Чемпионат Забайкальского края
WRPF Становая тяга без экипировки ДК
Забайкальский край/Чита, 18 ноября 2023 года</t>
  </si>
  <si>
    <t>Открытый мастерский турнир «Титаны Забайкалья» и Чемпионат Забайкальского края
WRPF Становая тяга без экипировки
Забайкальский край/Чита, 18 ноября 2023 года</t>
  </si>
  <si>
    <t>Открытый мастерский турнир «Титаны Забайкалья» и Чемпионат Забайкальского края
WRPF Строгий подъем штанги на бицепс ДК
Забайкальский край/Чита, 18 ноября 2023 года</t>
  </si>
  <si>
    <t>Открытый мастерский турнир «Титаны Забайкалья» и Чемпионат Забайкальского края
WRPF Строгий подъем штанги на бицепс
Забайкальский край/Чита, 18 ноября 2023 года</t>
  </si>
  <si>
    <t>Швецов Евгений</t>
  </si>
  <si>
    <t>Весовая категория</t>
  </si>
  <si>
    <t>Носков Егор</t>
  </si>
  <si>
    <t>Дедков Влдаимир</t>
  </si>
  <si>
    <t>Балданов Баир</t>
  </si>
  <si>
    <t>Ягодин Кирилл</t>
  </si>
  <si>
    <t>жим</t>
  </si>
  <si>
    <t>№</t>
  </si>
  <si>
    <t>Забайкальский край, Чита</t>
  </si>
  <si>
    <t>Забайкальский край, Даурия</t>
  </si>
  <si>
    <t xml:space="preserve">Иркутская область, Братск </t>
  </si>
  <si>
    <t>Амурская область, Сковородино</t>
  </si>
  <si>
    <t>Забайкальский край, Чернышевск</t>
  </si>
  <si>
    <t>Саратовская область, Саратов</t>
  </si>
  <si>
    <t>Забайкальский край, Шилка</t>
  </si>
  <si>
    <t>Забайкальский край, Краснокаменск</t>
  </si>
  <si>
    <t>Забайкальский край, Приаргунск</t>
  </si>
  <si>
    <t xml:space="preserve">
Дата рождения/Возраст</t>
  </si>
  <si>
    <t>Возрастная группа</t>
  </si>
  <si>
    <t>T</t>
  </si>
  <si>
    <t>O</t>
  </si>
  <si>
    <t>J</t>
  </si>
  <si>
    <t>M1</t>
  </si>
  <si>
    <t>M2</t>
  </si>
  <si>
    <t>T2</t>
  </si>
  <si>
    <t>T1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</si>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</sst>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31"/>
  <sheetViews>
    <sheetView tabSelected="1"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6.5" style="5" bestFit="1" customWidth="1"/>
    <col min="4" max="4" width="21.5" style="5" bestFit="1" customWidth="1"/>
    <col min="5" max="5" width="10.5" style="16" bestFit="1" customWidth="1"/>
    <col min="6" max="6" width="33.5" style="5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2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46" t="s">
        <v>356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7</v>
      </c>
      <c r="H3" s="60"/>
      <c r="I3" s="60"/>
      <c r="J3" s="60"/>
      <c r="K3" s="60" t="s">
        <v>8</v>
      </c>
      <c r="L3" s="60"/>
      <c r="M3" s="60"/>
      <c r="N3" s="60"/>
      <c r="O3" s="60" t="s">
        <v>9</v>
      </c>
      <c r="P3" s="60"/>
      <c r="Q3" s="60"/>
      <c r="R3" s="60"/>
      <c r="S3" s="63" t="s">
        <v>1</v>
      </c>
      <c r="T3" s="58" t="s">
        <v>3</v>
      </c>
      <c r="U3" s="65" t="s">
        <v>2</v>
      </c>
    </row>
    <row r="4" spans="1:21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59"/>
      <c r="U4" s="66"/>
    </row>
    <row r="5" spans="1:21" ht="16">
      <c r="A5" s="67" t="s">
        <v>83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32" t="s">
        <v>75</v>
      </c>
      <c r="B6" s="10" t="s">
        <v>127</v>
      </c>
      <c r="C6" s="10" t="s">
        <v>84</v>
      </c>
      <c r="D6" s="10" t="s">
        <v>85</v>
      </c>
      <c r="E6" s="11" t="s">
        <v>386</v>
      </c>
      <c r="F6" s="10" t="s">
        <v>374</v>
      </c>
      <c r="G6" s="31" t="s">
        <v>26</v>
      </c>
      <c r="H6" s="31" t="s">
        <v>27</v>
      </c>
      <c r="I6" s="31" t="s">
        <v>86</v>
      </c>
      <c r="J6" s="32"/>
      <c r="K6" s="30" t="s">
        <v>16</v>
      </c>
      <c r="L6" s="31" t="s">
        <v>16</v>
      </c>
      <c r="M6" s="31" t="s">
        <v>17</v>
      </c>
      <c r="N6" s="32"/>
      <c r="O6" s="30" t="s">
        <v>87</v>
      </c>
      <c r="P6" s="31" t="s">
        <v>36</v>
      </c>
      <c r="Q6" s="31" t="s">
        <v>25</v>
      </c>
      <c r="R6" s="32"/>
      <c r="S6" s="42" t="str">
        <f>"245,0"</f>
        <v>245,0</v>
      </c>
      <c r="T6" s="12" t="str">
        <f>"314,7270"</f>
        <v>314,7270</v>
      </c>
      <c r="U6" s="10"/>
    </row>
    <row r="7" spans="1:21">
      <c r="A7" s="35" t="s">
        <v>128</v>
      </c>
      <c r="B7" s="13" t="s">
        <v>129</v>
      </c>
      <c r="C7" s="13" t="s">
        <v>88</v>
      </c>
      <c r="D7" s="13" t="s">
        <v>89</v>
      </c>
      <c r="E7" s="14" t="s">
        <v>386</v>
      </c>
      <c r="F7" s="13" t="s">
        <v>374</v>
      </c>
      <c r="G7" s="34" t="s">
        <v>86</v>
      </c>
      <c r="H7" s="34" t="s">
        <v>87</v>
      </c>
      <c r="I7" s="33" t="s">
        <v>36</v>
      </c>
      <c r="J7" s="35"/>
      <c r="K7" s="33" t="s">
        <v>90</v>
      </c>
      <c r="L7" s="33" t="s">
        <v>90</v>
      </c>
      <c r="M7" s="33" t="s">
        <v>90</v>
      </c>
      <c r="N7" s="35"/>
      <c r="O7" s="33"/>
      <c r="P7" s="35"/>
      <c r="Q7" s="35"/>
      <c r="R7" s="35"/>
      <c r="S7" s="43">
        <v>0</v>
      </c>
      <c r="T7" s="15" t="str">
        <f>"0,0000"</f>
        <v>0,0000</v>
      </c>
      <c r="U7" s="13"/>
    </row>
    <row r="9" spans="1:21" ht="16">
      <c r="A9" s="61" t="s">
        <v>10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21">
      <c r="A10" s="29" t="s">
        <v>75</v>
      </c>
      <c r="B10" s="7" t="s">
        <v>130</v>
      </c>
      <c r="C10" s="7" t="s">
        <v>91</v>
      </c>
      <c r="D10" s="7" t="s">
        <v>92</v>
      </c>
      <c r="E10" s="8" t="s">
        <v>386</v>
      </c>
      <c r="F10" s="7" t="s">
        <v>374</v>
      </c>
      <c r="G10" s="28" t="s">
        <v>23</v>
      </c>
      <c r="H10" s="27" t="s">
        <v>87</v>
      </c>
      <c r="I10" s="27" t="s">
        <v>35</v>
      </c>
      <c r="J10" s="29"/>
      <c r="K10" s="27" t="s">
        <v>14</v>
      </c>
      <c r="L10" s="28" t="s">
        <v>93</v>
      </c>
      <c r="M10" s="28" t="s">
        <v>93</v>
      </c>
      <c r="N10" s="29"/>
      <c r="O10" s="28" t="s">
        <v>94</v>
      </c>
      <c r="P10" s="27" t="s">
        <v>94</v>
      </c>
      <c r="Q10" s="27" t="s">
        <v>95</v>
      </c>
      <c r="R10" s="29"/>
      <c r="S10" s="44" t="str">
        <f>"282,5"</f>
        <v>282,5</v>
      </c>
      <c r="T10" s="9" t="str">
        <f>"332,8698"</f>
        <v>332,8698</v>
      </c>
      <c r="U10" s="7"/>
    </row>
    <row r="12" spans="1:21" ht="16">
      <c r="A12" s="61" t="s">
        <v>96</v>
      </c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1">
      <c r="A13" s="29" t="s">
        <v>75</v>
      </c>
      <c r="B13" s="7" t="s">
        <v>131</v>
      </c>
      <c r="C13" s="7" t="s">
        <v>97</v>
      </c>
      <c r="D13" s="7" t="s">
        <v>98</v>
      </c>
      <c r="E13" s="8" t="s">
        <v>386</v>
      </c>
      <c r="F13" s="7" t="s">
        <v>374</v>
      </c>
      <c r="G13" s="27" t="s">
        <v>27</v>
      </c>
      <c r="H13" s="27" t="s">
        <v>86</v>
      </c>
      <c r="I13" s="28" t="s">
        <v>99</v>
      </c>
      <c r="J13" s="29"/>
      <c r="K13" s="27" t="s">
        <v>13</v>
      </c>
      <c r="L13" s="27" t="s">
        <v>90</v>
      </c>
      <c r="M13" s="27" t="s">
        <v>100</v>
      </c>
      <c r="N13" s="29"/>
      <c r="O13" s="27" t="s">
        <v>101</v>
      </c>
      <c r="P13" s="27" t="s">
        <v>95</v>
      </c>
      <c r="Q13" s="27" t="s">
        <v>102</v>
      </c>
      <c r="R13" s="29"/>
      <c r="S13" s="44" t="str">
        <f>"267,5"</f>
        <v>267,5</v>
      </c>
      <c r="T13" s="9" t="str">
        <f>"304,9768"</f>
        <v>304,9768</v>
      </c>
      <c r="U13" s="7"/>
    </row>
    <row r="15" spans="1:21" ht="16">
      <c r="A15" s="61" t="s">
        <v>96</v>
      </c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1">
      <c r="A16" s="29" t="s">
        <v>128</v>
      </c>
      <c r="B16" s="7" t="s">
        <v>132</v>
      </c>
      <c r="C16" s="7" t="s">
        <v>103</v>
      </c>
      <c r="D16" s="7" t="s">
        <v>104</v>
      </c>
      <c r="E16" s="8" t="s">
        <v>386</v>
      </c>
      <c r="F16" s="7" t="s">
        <v>374</v>
      </c>
      <c r="G16" s="28" t="s">
        <v>24</v>
      </c>
      <c r="H16" s="28" t="s">
        <v>24</v>
      </c>
      <c r="I16" s="28" t="s">
        <v>24</v>
      </c>
      <c r="J16" s="29"/>
      <c r="K16" s="28"/>
      <c r="L16" s="29"/>
      <c r="M16" s="29"/>
      <c r="N16" s="29"/>
      <c r="O16" s="28"/>
      <c r="P16" s="29"/>
      <c r="Q16" s="29"/>
      <c r="R16" s="29"/>
      <c r="S16" s="44">
        <v>0</v>
      </c>
      <c r="T16" s="9" t="str">
        <f>"0,0000"</f>
        <v>0,0000</v>
      </c>
      <c r="U16" s="7"/>
    </row>
    <row r="18" spans="1:21" ht="16">
      <c r="A18" s="61" t="s">
        <v>106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21">
      <c r="A19" s="32" t="s">
        <v>75</v>
      </c>
      <c r="B19" s="10" t="s">
        <v>133</v>
      </c>
      <c r="C19" s="10" t="s">
        <v>108</v>
      </c>
      <c r="D19" s="10" t="s">
        <v>109</v>
      </c>
      <c r="E19" s="11" t="s">
        <v>390</v>
      </c>
      <c r="F19" s="10" t="s">
        <v>375</v>
      </c>
      <c r="G19" s="31" t="s">
        <v>101</v>
      </c>
      <c r="H19" s="30" t="s">
        <v>29</v>
      </c>
      <c r="I19" s="31" t="s">
        <v>43</v>
      </c>
      <c r="J19" s="32"/>
      <c r="K19" s="31" t="s">
        <v>87</v>
      </c>
      <c r="L19" s="31" t="s">
        <v>36</v>
      </c>
      <c r="M19" s="30" t="s">
        <v>110</v>
      </c>
      <c r="N19" s="32"/>
      <c r="O19" s="31" t="s">
        <v>34</v>
      </c>
      <c r="P19" s="31" t="s">
        <v>58</v>
      </c>
      <c r="Q19" s="31" t="s">
        <v>39</v>
      </c>
      <c r="R19" s="32"/>
      <c r="S19" s="42" t="str">
        <f>"430,0"</f>
        <v>430,0</v>
      </c>
      <c r="T19" s="12" t="str">
        <f>"312,3520"</f>
        <v>312,3520</v>
      </c>
      <c r="U19" s="10" t="s">
        <v>166</v>
      </c>
    </row>
    <row r="20" spans="1:21">
      <c r="A20" s="35" t="s">
        <v>75</v>
      </c>
      <c r="B20" s="13" t="s">
        <v>134</v>
      </c>
      <c r="C20" s="13" t="s">
        <v>111</v>
      </c>
      <c r="D20" s="13" t="s">
        <v>112</v>
      </c>
      <c r="E20" s="14" t="s">
        <v>386</v>
      </c>
      <c r="F20" s="13" t="s">
        <v>374</v>
      </c>
      <c r="G20" s="34" t="s">
        <v>36</v>
      </c>
      <c r="H20" s="34" t="s">
        <v>101</v>
      </c>
      <c r="I20" s="34" t="s">
        <v>105</v>
      </c>
      <c r="J20" s="35"/>
      <c r="K20" s="34" t="s">
        <v>27</v>
      </c>
      <c r="L20" s="34" t="s">
        <v>23</v>
      </c>
      <c r="M20" s="34" t="s">
        <v>35</v>
      </c>
      <c r="N20" s="35"/>
      <c r="O20" s="34" t="s">
        <v>24</v>
      </c>
      <c r="P20" s="34" t="s">
        <v>28</v>
      </c>
      <c r="Q20" s="34" t="s">
        <v>113</v>
      </c>
      <c r="R20" s="35"/>
      <c r="S20" s="43" t="str">
        <f>"355,0"</f>
        <v>355,0</v>
      </c>
      <c r="T20" s="15" t="str">
        <f>"259,9310"</f>
        <v>259,9310</v>
      </c>
      <c r="U20" s="13"/>
    </row>
    <row r="22" spans="1:21" ht="16">
      <c r="A22" s="61" t="s">
        <v>40</v>
      </c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1:21">
      <c r="A23" s="29" t="s">
        <v>75</v>
      </c>
      <c r="B23" s="7" t="s">
        <v>135</v>
      </c>
      <c r="C23" s="7" t="s">
        <v>114</v>
      </c>
      <c r="D23" s="7" t="s">
        <v>115</v>
      </c>
      <c r="E23" s="8" t="s">
        <v>386</v>
      </c>
      <c r="F23" s="7" t="s">
        <v>376</v>
      </c>
      <c r="G23" s="27" t="s">
        <v>62</v>
      </c>
      <c r="H23" s="27" t="s">
        <v>52</v>
      </c>
      <c r="I23" s="27" t="s">
        <v>116</v>
      </c>
      <c r="J23" s="29"/>
      <c r="K23" s="27" t="s">
        <v>113</v>
      </c>
      <c r="L23" s="28" t="s">
        <v>117</v>
      </c>
      <c r="M23" s="27" t="s">
        <v>117</v>
      </c>
      <c r="N23" s="29"/>
      <c r="O23" s="27" t="s">
        <v>54</v>
      </c>
      <c r="P23" s="27" t="s">
        <v>118</v>
      </c>
      <c r="Q23" s="28" t="s">
        <v>119</v>
      </c>
      <c r="R23" s="29"/>
      <c r="S23" s="44" t="str">
        <f>"607,5"</f>
        <v>607,5</v>
      </c>
      <c r="T23" s="9" t="str">
        <f>"375,4350"</f>
        <v>375,4350</v>
      </c>
      <c r="U23" s="7"/>
    </row>
    <row r="25" spans="1:21" ht="16">
      <c r="A25" s="61" t="s">
        <v>47</v>
      </c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1:21">
      <c r="A26" s="32" t="s">
        <v>75</v>
      </c>
      <c r="B26" s="10" t="s">
        <v>136</v>
      </c>
      <c r="C26" s="10" t="s">
        <v>120</v>
      </c>
      <c r="D26" s="10" t="s">
        <v>121</v>
      </c>
      <c r="E26" s="11" t="s">
        <v>390</v>
      </c>
      <c r="F26" s="10" t="s">
        <v>374</v>
      </c>
      <c r="G26" s="31" t="s">
        <v>34</v>
      </c>
      <c r="H26" s="31" t="s">
        <v>37</v>
      </c>
      <c r="I26" s="31" t="s">
        <v>38</v>
      </c>
      <c r="J26" s="32"/>
      <c r="K26" s="31" t="s">
        <v>24</v>
      </c>
      <c r="L26" s="31" t="s">
        <v>94</v>
      </c>
      <c r="M26" s="31" t="s">
        <v>105</v>
      </c>
      <c r="N26" s="32"/>
      <c r="O26" s="31" t="s">
        <v>59</v>
      </c>
      <c r="P26" s="31" t="s">
        <v>122</v>
      </c>
      <c r="Q26" s="31" t="s">
        <v>116</v>
      </c>
      <c r="R26" s="32"/>
      <c r="S26" s="42" t="str">
        <f>"515,0"</f>
        <v>515,0</v>
      </c>
      <c r="T26" s="12" t="str">
        <f>"308,6910"</f>
        <v>308,6910</v>
      </c>
      <c r="U26" s="10"/>
    </row>
    <row r="27" spans="1:21">
      <c r="A27" s="35" t="s">
        <v>128</v>
      </c>
      <c r="B27" s="13" t="s">
        <v>137</v>
      </c>
      <c r="C27" s="13" t="s">
        <v>123</v>
      </c>
      <c r="D27" s="13" t="s">
        <v>124</v>
      </c>
      <c r="E27" s="14" t="s">
        <v>386</v>
      </c>
      <c r="F27" s="13" t="s">
        <v>374</v>
      </c>
      <c r="G27" s="33" t="s">
        <v>37</v>
      </c>
      <c r="H27" s="33" t="s">
        <v>37</v>
      </c>
      <c r="I27" s="33" t="s">
        <v>125</v>
      </c>
      <c r="J27" s="35"/>
      <c r="K27" s="33"/>
      <c r="L27" s="33"/>
      <c r="M27" s="33"/>
      <c r="N27" s="35"/>
      <c r="O27" s="35"/>
      <c r="P27" s="35"/>
      <c r="Q27" s="35"/>
      <c r="R27" s="35"/>
      <c r="S27" s="43">
        <v>0</v>
      </c>
      <c r="T27" s="15" t="str">
        <f>"0,0000"</f>
        <v>0,0000</v>
      </c>
      <c r="U27" s="13"/>
    </row>
    <row r="29" spans="1:21" ht="16">
      <c r="F29" s="17"/>
      <c r="G29" s="5"/>
    </row>
    <row r="30" spans="1:21">
      <c r="G30" s="5"/>
    </row>
    <row r="31" spans="1:21">
      <c r="E31" s="5"/>
      <c r="F31" s="16"/>
      <c r="G31" s="5"/>
    </row>
  </sheetData>
  <mergeCells count="20">
    <mergeCell ref="A25:R25"/>
    <mergeCell ref="S3:S4"/>
    <mergeCell ref="T3:T4"/>
    <mergeCell ref="U3:U4"/>
    <mergeCell ref="A5:R5"/>
    <mergeCell ref="B3:B4"/>
    <mergeCell ref="A9:R9"/>
    <mergeCell ref="A12:R12"/>
    <mergeCell ref="A15:R15"/>
    <mergeCell ref="A18:R18"/>
    <mergeCell ref="A22:R22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6640625" style="5" bestFit="1" customWidth="1"/>
    <col min="4" max="4" width="21.5" style="5" bestFit="1" customWidth="1"/>
    <col min="5" max="5" width="10.5" style="16" bestFit="1" customWidth="1"/>
    <col min="6" max="6" width="35.1640625" style="5" customWidth="1"/>
    <col min="7" max="9" width="4.5" style="25" customWidth="1"/>
    <col min="10" max="10" width="4.83203125" style="25" customWidth="1"/>
    <col min="11" max="11" width="10.5" style="6" bestFit="1" customWidth="1"/>
    <col min="12" max="12" width="7.664062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6" t="s">
        <v>365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372</v>
      </c>
      <c r="H3" s="60"/>
      <c r="I3" s="60"/>
      <c r="J3" s="60"/>
      <c r="K3" s="58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83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9" t="s">
        <v>75</v>
      </c>
      <c r="B6" s="7" t="s">
        <v>162</v>
      </c>
      <c r="C6" s="7" t="s">
        <v>353</v>
      </c>
      <c r="D6" s="7" t="s">
        <v>139</v>
      </c>
      <c r="E6" s="8" t="s">
        <v>385</v>
      </c>
      <c r="F6" s="7" t="s">
        <v>374</v>
      </c>
      <c r="G6" s="27" t="s">
        <v>305</v>
      </c>
      <c r="H6" s="27" t="s">
        <v>306</v>
      </c>
      <c r="I6" s="28" t="s">
        <v>16</v>
      </c>
      <c r="J6" s="29"/>
      <c r="K6" s="9" t="str">
        <f>"42,5"</f>
        <v>42,5</v>
      </c>
      <c r="L6" s="9" t="str">
        <f>"42,2492"</f>
        <v>42,2492</v>
      </c>
      <c r="M6" s="7"/>
    </row>
    <row r="8" spans="1:13" ht="16">
      <c r="A8" s="61" t="s">
        <v>20</v>
      </c>
      <c r="B8" s="61"/>
      <c r="C8" s="62"/>
      <c r="D8" s="62"/>
      <c r="E8" s="62"/>
      <c r="F8" s="62"/>
      <c r="G8" s="62"/>
      <c r="H8" s="62"/>
      <c r="I8" s="62"/>
      <c r="J8" s="62"/>
    </row>
    <row r="9" spans="1:13">
      <c r="A9" s="29" t="s">
        <v>75</v>
      </c>
      <c r="B9" s="7" t="s">
        <v>314</v>
      </c>
      <c r="C9" s="7" t="s">
        <v>307</v>
      </c>
      <c r="D9" s="7" t="s">
        <v>308</v>
      </c>
      <c r="E9" s="8" t="s">
        <v>386</v>
      </c>
      <c r="F9" s="7" t="s">
        <v>374</v>
      </c>
      <c r="G9" s="27" t="s">
        <v>15</v>
      </c>
      <c r="H9" s="27" t="s">
        <v>16</v>
      </c>
      <c r="I9" s="28" t="s">
        <v>17</v>
      </c>
      <c r="J9" s="29"/>
      <c r="K9" s="9" t="str">
        <f>"45,0"</f>
        <v>45,0</v>
      </c>
      <c r="L9" s="9" t="str">
        <f>"35,1832"</f>
        <v>35,1832</v>
      </c>
      <c r="M9" s="7"/>
    </row>
    <row r="11" spans="1:13" ht="16">
      <c r="A11" s="61" t="s">
        <v>106</v>
      </c>
      <c r="B11" s="61"/>
      <c r="C11" s="62"/>
      <c r="D11" s="62"/>
      <c r="E11" s="62"/>
      <c r="F11" s="62"/>
      <c r="G11" s="62"/>
      <c r="H11" s="62"/>
      <c r="I11" s="62"/>
      <c r="J11" s="62"/>
    </row>
    <row r="12" spans="1:13">
      <c r="A12" s="32" t="s">
        <v>75</v>
      </c>
      <c r="B12" s="10" t="s">
        <v>315</v>
      </c>
      <c r="C12" s="10" t="s">
        <v>354</v>
      </c>
      <c r="D12" s="10" t="s">
        <v>109</v>
      </c>
      <c r="E12" s="11" t="s">
        <v>385</v>
      </c>
      <c r="F12" s="10" t="s">
        <v>374</v>
      </c>
      <c r="G12" s="30" t="s">
        <v>15</v>
      </c>
      <c r="H12" s="31" t="s">
        <v>16</v>
      </c>
      <c r="I12" s="31" t="s">
        <v>13</v>
      </c>
      <c r="J12" s="32"/>
      <c r="K12" s="12" t="str">
        <f>"50,0"</f>
        <v>50,0</v>
      </c>
      <c r="L12" s="12" t="str">
        <f>"35,1325"</f>
        <v>35,1325</v>
      </c>
      <c r="M12" s="10"/>
    </row>
    <row r="13" spans="1:13">
      <c r="A13" s="35" t="s">
        <v>165</v>
      </c>
      <c r="B13" s="13" t="s">
        <v>316</v>
      </c>
      <c r="C13" s="13" t="s">
        <v>355</v>
      </c>
      <c r="D13" s="13" t="s">
        <v>309</v>
      </c>
      <c r="E13" s="14" t="s">
        <v>385</v>
      </c>
      <c r="F13" s="13" t="s">
        <v>374</v>
      </c>
      <c r="G13" s="34" t="s">
        <v>310</v>
      </c>
      <c r="H13" s="34" t="s">
        <v>305</v>
      </c>
      <c r="I13" s="34" t="s">
        <v>306</v>
      </c>
      <c r="J13" s="35"/>
      <c r="K13" s="15" t="str">
        <f>"42,5"</f>
        <v>42,5</v>
      </c>
      <c r="L13" s="15" t="str">
        <f>"31,0824"</f>
        <v>31,0824</v>
      </c>
      <c r="M13" s="13"/>
    </row>
    <row r="15" spans="1:13" ht="16">
      <c r="A15" s="61" t="s">
        <v>141</v>
      </c>
      <c r="B15" s="61"/>
      <c r="C15" s="62"/>
      <c r="D15" s="62"/>
      <c r="E15" s="62"/>
      <c r="F15" s="62"/>
      <c r="G15" s="62"/>
      <c r="H15" s="62"/>
      <c r="I15" s="62"/>
      <c r="J15" s="62"/>
    </row>
    <row r="16" spans="1:13">
      <c r="A16" s="29" t="s">
        <v>75</v>
      </c>
      <c r="B16" s="7" t="s">
        <v>291</v>
      </c>
      <c r="C16" s="7" t="s">
        <v>286</v>
      </c>
      <c r="D16" s="7" t="s">
        <v>311</v>
      </c>
      <c r="E16" s="8" t="s">
        <v>386</v>
      </c>
      <c r="F16" s="7" t="s">
        <v>374</v>
      </c>
      <c r="G16" s="27" t="s">
        <v>13</v>
      </c>
      <c r="H16" s="27" t="s">
        <v>174</v>
      </c>
      <c r="I16" s="27" t="s">
        <v>14</v>
      </c>
      <c r="J16" s="29"/>
      <c r="K16" s="9" t="str">
        <f>"60,0"</f>
        <v>60,0</v>
      </c>
      <c r="L16" s="9" t="str">
        <f>"39,6540"</f>
        <v>39,6540</v>
      </c>
      <c r="M16" s="7"/>
    </row>
    <row r="18" spans="1:13" ht="16">
      <c r="A18" s="61" t="s">
        <v>55</v>
      </c>
      <c r="B18" s="61"/>
      <c r="C18" s="62"/>
      <c r="D18" s="62"/>
      <c r="E18" s="62"/>
      <c r="F18" s="62"/>
      <c r="G18" s="62"/>
      <c r="H18" s="62"/>
      <c r="I18" s="62"/>
      <c r="J18" s="62"/>
    </row>
    <row r="19" spans="1:13">
      <c r="A19" s="29" t="s">
        <v>75</v>
      </c>
      <c r="B19" s="7" t="s">
        <v>317</v>
      </c>
      <c r="C19" s="7" t="s">
        <v>312</v>
      </c>
      <c r="D19" s="7" t="s">
        <v>313</v>
      </c>
      <c r="E19" s="8" t="s">
        <v>386</v>
      </c>
      <c r="F19" s="7" t="s">
        <v>374</v>
      </c>
      <c r="G19" s="27" t="s">
        <v>26</v>
      </c>
      <c r="H19" s="27" t="s">
        <v>140</v>
      </c>
      <c r="I19" s="27" t="s">
        <v>86</v>
      </c>
      <c r="J19" s="29"/>
      <c r="K19" s="9" t="str">
        <f>"85,0"</f>
        <v>85,0</v>
      </c>
      <c r="L19" s="9" t="str">
        <f>"46,9200"</f>
        <v>46,9200</v>
      </c>
      <c r="M19" s="7"/>
    </row>
  </sheetData>
  <mergeCells count="16">
    <mergeCell ref="A8:J8"/>
    <mergeCell ref="A11:J11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5">
    <pageSetUpPr fitToPage="1"/>
  </sheetPr>
  <dimension ref="A1:U26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0.1640625" style="5" customWidth="1"/>
    <col min="7" max="9" width="5.5" style="25" customWidth="1"/>
    <col min="10" max="10" width="4.83203125" style="25" customWidth="1"/>
    <col min="11" max="13" width="5.5" style="25" customWidth="1"/>
    <col min="14" max="14" width="4.83203125" style="25" customWidth="1"/>
    <col min="15" max="17" width="5.5" style="25" customWidth="1"/>
    <col min="18" max="18" width="4.83203125" style="25" customWidth="1"/>
    <col min="19" max="19" width="7.83203125" style="6" bestFit="1" customWidth="1"/>
    <col min="20" max="20" width="8.5" style="6" bestFit="1" customWidth="1"/>
    <col min="21" max="21" width="21.5" style="5" bestFit="1" customWidth="1"/>
    <col min="22" max="16384" width="9.1640625" style="3"/>
  </cols>
  <sheetData>
    <row r="1" spans="1:21" s="2" customFormat="1" ht="29" customHeight="1">
      <c r="A1" s="46" t="s">
        <v>357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7</v>
      </c>
      <c r="H3" s="60"/>
      <c r="I3" s="60"/>
      <c r="J3" s="60"/>
      <c r="K3" s="60" t="s">
        <v>8</v>
      </c>
      <c r="L3" s="60"/>
      <c r="M3" s="60"/>
      <c r="N3" s="60"/>
      <c r="O3" s="60" t="s">
        <v>9</v>
      </c>
      <c r="P3" s="60"/>
      <c r="Q3" s="60"/>
      <c r="R3" s="60"/>
      <c r="S3" s="58" t="s">
        <v>1</v>
      </c>
      <c r="T3" s="58" t="s">
        <v>3</v>
      </c>
      <c r="U3" s="65" t="s">
        <v>2</v>
      </c>
    </row>
    <row r="4" spans="1:21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9"/>
      <c r="U4" s="66"/>
    </row>
    <row r="5" spans="1:21" ht="16">
      <c r="A5" s="67" t="s">
        <v>10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29" t="s">
        <v>75</v>
      </c>
      <c r="B6" s="7" t="s">
        <v>76</v>
      </c>
      <c r="C6" s="7" t="s">
        <v>11</v>
      </c>
      <c r="D6" s="7" t="s">
        <v>12</v>
      </c>
      <c r="E6" s="8" t="s">
        <v>391</v>
      </c>
      <c r="F6" s="7" t="s">
        <v>374</v>
      </c>
      <c r="G6" s="27" t="s">
        <v>13</v>
      </c>
      <c r="H6" s="28" t="s">
        <v>14</v>
      </c>
      <c r="I6" s="27" t="s">
        <v>14</v>
      </c>
      <c r="J6" s="29"/>
      <c r="K6" s="27" t="s">
        <v>15</v>
      </c>
      <c r="L6" s="27" t="s">
        <v>16</v>
      </c>
      <c r="M6" s="27" t="s">
        <v>17</v>
      </c>
      <c r="N6" s="29"/>
      <c r="O6" s="27" t="s">
        <v>14</v>
      </c>
      <c r="P6" s="27" t="s">
        <v>18</v>
      </c>
      <c r="Q6" s="27" t="s">
        <v>19</v>
      </c>
      <c r="R6" s="29"/>
      <c r="S6" s="9" t="str">
        <f>"177,5"</f>
        <v>177,5</v>
      </c>
      <c r="T6" s="9" t="str">
        <f>"166,9210"</f>
        <v>166,9210</v>
      </c>
      <c r="U6" s="7"/>
    </row>
    <row r="8" spans="1:21" ht="16">
      <c r="A8" s="61" t="s">
        <v>20</v>
      </c>
      <c r="B8" s="61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21">
      <c r="A9" s="29" t="s">
        <v>75</v>
      </c>
      <c r="B9" s="7" t="s">
        <v>77</v>
      </c>
      <c r="C9" s="7" t="s">
        <v>21</v>
      </c>
      <c r="D9" s="7" t="s">
        <v>22</v>
      </c>
      <c r="E9" s="8" t="s">
        <v>391</v>
      </c>
      <c r="F9" s="7" t="s">
        <v>374</v>
      </c>
      <c r="G9" s="27" t="s">
        <v>23</v>
      </c>
      <c r="H9" s="27" t="s">
        <v>24</v>
      </c>
      <c r="I9" s="27" t="s">
        <v>25</v>
      </c>
      <c r="J9" s="29"/>
      <c r="K9" s="27" t="s">
        <v>19</v>
      </c>
      <c r="L9" s="27" t="s">
        <v>26</v>
      </c>
      <c r="M9" s="28" t="s">
        <v>27</v>
      </c>
      <c r="N9" s="29"/>
      <c r="O9" s="27" t="s">
        <v>24</v>
      </c>
      <c r="P9" s="27" t="s">
        <v>28</v>
      </c>
      <c r="Q9" s="27" t="s">
        <v>29</v>
      </c>
      <c r="R9" s="29"/>
      <c r="S9" s="9" t="str">
        <f>"317,5"</f>
        <v>317,5</v>
      </c>
      <c r="T9" s="9" t="str">
        <f>"269,9703"</f>
        <v>269,9703</v>
      </c>
      <c r="U9" s="7"/>
    </row>
    <row r="11" spans="1:21" ht="16">
      <c r="A11" s="61" t="s">
        <v>30</v>
      </c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21">
      <c r="A12" s="29" t="s">
        <v>75</v>
      </c>
      <c r="B12" s="7" t="s">
        <v>78</v>
      </c>
      <c r="C12" s="7" t="s">
        <v>31</v>
      </c>
      <c r="D12" s="7" t="s">
        <v>32</v>
      </c>
      <c r="E12" s="8" t="s">
        <v>389</v>
      </c>
      <c r="F12" s="7" t="s">
        <v>374</v>
      </c>
      <c r="G12" s="28" t="s">
        <v>33</v>
      </c>
      <c r="H12" s="28" t="s">
        <v>34</v>
      </c>
      <c r="I12" s="27" t="s">
        <v>34</v>
      </c>
      <c r="J12" s="29"/>
      <c r="K12" s="27" t="s">
        <v>35</v>
      </c>
      <c r="L12" s="27" t="s">
        <v>36</v>
      </c>
      <c r="M12" s="28" t="s">
        <v>24</v>
      </c>
      <c r="N12" s="29"/>
      <c r="O12" s="27" t="s">
        <v>37</v>
      </c>
      <c r="P12" s="27" t="s">
        <v>38</v>
      </c>
      <c r="Q12" s="28" t="s">
        <v>39</v>
      </c>
      <c r="R12" s="29"/>
      <c r="S12" s="9" t="str">
        <f>"445,0"</f>
        <v>445,0</v>
      </c>
      <c r="T12" s="9" t="str">
        <f>"350,4448"</f>
        <v>350,4448</v>
      </c>
      <c r="U12" s="7" t="s">
        <v>366</v>
      </c>
    </row>
    <row r="14" spans="1:21" ht="16">
      <c r="A14" s="61" t="s">
        <v>40</v>
      </c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1">
      <c r="A15" s="29" t="s">
        <v>75</v>
      </c>
      <c r="B15" s="7" t="s">
        <v>79</v>
      </c>
      <c r="C15" s="7" t="s">
        <v>41</v>
      </c>
      <c r="D15" s="7" t="s">
        <v>42</v>
      </c>
      <c r="E15" s="8" t="s">
        <v>386</v>
      </c>
      <c r="F15" s="7" t="s">
        <v>374</v>
      </c>
      <c r="G15" s="27" t="s">
        <v>43</v>
      </c>
      <c r="H15" s="27" t="s">
        <v>33</v>
      </c>
      <c r="I15" s="27" t="s">
        <v>44</v>
      </c>
      <c r="J15" s="29"/>
      <c r="K15" s="27" t="s">
        <v>28</v>
      </c>
      <c r="L15" s="27" t="s">
        <v>45</v>
      </c>
      <c r="M15" s="28" t="s">
        <v>46</v>
      </c>
      <c r="N15" s="29"/>
      <c r="O15" s="27" t="s">
        <v>43</v>
      </c>
      <c r="P15" s="27" t="s">
        <v>33</v>
      </c>
      <c r="Q15" s="27" t="s">
        <v>34</v>
      </c>
      <c r="R15" s="29"/>
      <c r="S15" s="9" t="str">
        <f>"457,5"</f>
        <v>457,5</v>
      </c>
      <c r="T15" s="9" t="str">
        <f>"285,2512"</f>
        <v>285,2512</v>
      </c>
      <c r="U15" s="7" t="s">
        <v>317</v>
      </c>
    </row>
    <row r="17" spans="1:21" ht="16">
      <c r="A17" s="61" t="s">
        <v>47</v>
      </c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1">
      <c r="A18" s="29" t="s">
        <v>75</v>
      </c>
      <c r="B18" s="7" t="s">
        <v>80</v>
      </c>
      <c r="C18" s="7" t="s">
        <v>48</v>
      </c>
      <c r="D18" s="7" t="s">
        <v>49</v>
      </c>
      <c r="E18" s="8" t="s">
        <v>386</v>
      </c>
      <c r="F18" s="7" t="s">
        <v>374</v>
      </c>
      <c r="G18" s="27" t="s">
        <v>50</v>
      </c>
      <c r="H18" s="27" t="s">
        <v>44</v>
      </c>
      <c r="I18" s="28" t="s">
        <v>38</v>
      </c>
      <c r="J18" s="29"/>
      <c r="K18" s="27" t="s">
        <v>43</v>
      </c>
      <c r="L18" s="27" t="s">
        <v>50</v>
      </c>
      <c r="M18" s="27" t="s">
        <v>51</v>
      </c>
      <c r="N18" s="29"/>
      <c r="O18" s="27" t="s">
        <v>52</v>
      </c>
      <c r="P18" s="27" t="s">
        <v>53</v>
      </c>
      <c r="Q18" s="27" t="s">
        <v>54</v>
      </c>
      <c r="R18" s="29"/>
      <c r="S18" s="9" t="str">
        <f>"557,5"</f>
        <v>557,5</v>
      </c>
      <c r="T18" s="9" t="str">
        <f>"335,6708"</f>
        <v>335,6708</v>
      </c>
      <c r="U18" s="7"/>
    </row>
    <row r="20" spans="1:21" ht="16">
      <c r="A20" s="61" t="s">
        <v>55</v>
      </c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1:21">
      <c r="A21" s="32" t="s">
        <v>75</v>
      </c>
      <c r="B21" s="10" t="s">
        <v>81</v>
      </c>
      <c r="C21" s="10" t="s">
        <v>56</v>
      </c>
      <c r="D21" s="10" t="s">
        <v>57</v>
      </c>
      <c r="E21" s="11" t="s">
        <v>390</v>
      </c>
      <c r="F21" s="10" t="s">
        <v>374</v>
      </c>
      <c r="G21" s="30" t="s">
        <v>50</v>
      </c>
      <c r="H21" s="30" t="s">
        <v>50</v>
      </c>
      <c r="I21" s="31" t="s">
        <v>50</v>
      </c>
      <c r="J21" s="32"/>
      <c r="K21" s="31" t="s">
        <v>28</v>
      </c>
      <c r="L21" s="31" t="s">
        <v>45</v>
      </c>
      <c r="M21" s="31" t="s">
        <v>43</v>
      </c>
      <c r="N21" s="32"/>
      <c r="O21" s="31" t="s">
        <v>34</v>
      </c>
      <c r="P21" s="31" t="s">
        <v>58</v>
      </c>
      <c r="Q21" s="31" t="s">
        <v>59</v>
      </c>
      <c r="R21" s="32"/>
      <c r="S21" s="12" t="str">
        <f>"480,0"</f>
        <v>480,0</v>
      </c>
      <c r="T21" s="12" t="str">
        <f>"273,5040"</f>
        <v>273,5040</v>
      </c>
      <c r="U21" s="10"/>
    </row>
    <row r="22" spans="1:21">
      <c r="A22" s="35" t="s">
        <v>75</v>
      </c>
      <c r="B22" s="13" t="s">
        <v>82</v>
      </c>
      <c r="C22" s="13" t="s">
        <v>60</v>
      </c>
      <c r="D22" s="13" t="s">
        <v>61</v>
      </c>
      <c r="E22" s="14" t="s">
        <v>386</v>
      </c>
      <c r="F22" s="13" t="s">
        <v>374</v>
      </c>
      <c r="G22" s="33" t="s">
        <v>62</v>
      </c>
      <c r="H22" s="34" t="s">
        <v>62</v>
      </c>
      <c r="I22" s="34" t="s">
        <v>52</v>
      </c>
      <c r="J22" s="35"/>
      <c r="K22" s="34" t="s">
        <v>50</v>
      </c>
      <c r="L22" s="34" t="s">
        <v>34</v>
      </c>
      <c r="M22" s="33" t="s">
        <v>63</v>
      </c>
      <c r="N22" s="35"/>
      <c r="O22" s="34" t="s">
        <v>44</v>
      </c>
      <c r="P22" s="34" t="s">
        <v>38</v>
      </c>
      <c r="Q22" s="34" t="s">
        <v>64</v>
      </c>
      <c r="R22" s="35"/>
      <c r="S22" s="15" t="str">
        <f>"565,0"</f>
        <v>565,0</v>
      </c>
      <c r="T22" s="15" t="str">
        <f>"330,0165"</f>
        <v>330,0165</v>
      </c>
      <c r="U22" s="13"/>
    </row>
    <row r="24" spans="1:21" ht="16">
      <c r="F24" s="17"/>
      <c r="G24" s="5"/>
    </row>
    <row r="25" spans="1:21">
      <c r="G25" s="5"/>
    </row>
    <row r="26" spans="1:21">
      <c r="E26" s="5"/>
      <c r="F26" s="16"/>
      <c r="G26" s="5"/>
    </row>
  </sheetData>
  <mergeCells count="19">
    <mergeCell ref="A20:R20"/>
    <mergeCell ref="B3:B4"/>
    <mergeCell ref="A5:R5"/>
    <mergeCell ref="A8:R8"/>
    <mergeCell ref="A11:R11"/>
    <mergeCell ref="A14:R14"/>
    <mergeCell ref="A17:R17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7"/>
  <sheetViews>
    <sheetView topLeftCell="A21" workbookViewId="0">
      <selection activeCell="E58" sqref="E58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8.1640625" style="5" customWidth="1"/>
    <col min="7" max="9" width="5.5" style="25" customWidth="1"/>
    <col min="10" max="10" width="4.83203125" style="25" customWidth="1"/>
    <col min="11" max="11" width="10.5" style="2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46" t="s">
        <v>358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8</v>
      </c>
      <c r="H3" s="60"/>
      <c r="I3" s="60"/>
      <c r="J3" s="60"/>
      <c r="K3" s="63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64"/>
      <c r="L4" s="59"/>
      <c r="M4" s="66"/>
    </row>
    <row r="5" spans="1:13" ht="16">
      <c r="A5" s="67" t="s">
        <v>83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32" t="s">
        <v>75</v>
      </c>
      <c r="B6" s="10" t="s">
        <v>244</v>
      </c>
      <c r="C6" s="10" t="s">
        <v>170</v>
      </c>
      <c r="D6" s="10" t="s">
        <v>171</v>
      </c>
      <c r="E6" s="11" t="s">
        <v>387</v>
      </c>
      <c r="F6" s="10" t="s">
        <v>374</v>
      </c>
      <c r="G6" s="31" t="s">
        <v>16</v>
      </c>
      <c r="H6" s="31" t="s">
        <v>13</v>
      </c>
      <c r="I6" s="30" t="s">
        <v>90</v>
      </c>
      <c r="J6" s="32"/>
      <c r="K6" s="42" t="str">
        <f>"50,0"</f>
        <v>50,0</v>
      </c>
      <c r="L6" s="12" t="str">
        <f>"63,2700"</f>
        <v>63,2700</v>
      </c>
      <c r="M6" s="10"/>
    </row>
    <row r="7" spans="1:13">
      <c r="A7" s="35" t="s">
        <v>75</v>
      </c>
      <c r="B7" s="13" t="s">
        <v>127</v>
      </c>
      <c r="C7" s="13" t="s">
        <v>84</v>
      </c>
      <c r="D7" s="13" t="s">
        <v>85</v>
      </c>
      <c r="E7" s="14" t="s">
        <v>386</v>
      </c>
      <c r="F7" s="13" t="s">
        <v>374</v>
      </c>
      <c r="G7" s="33" t="s">
        <v>16</v>
      </c>
      <c r="H7" s="34" t="s">
        <v>16</v>
      </c>
      <c r="I7" s="34" t="s">
        <v>17</v>
      </c>
      <c r="J7" s="35"/>
      <c r="K7" s="43" t="str">
        <f>"47,5"</f>
        <v>47,5</v>
      </c>
      <c r="L7" s="15" t="str">
        <f>"61,0185"</f>
        <v>61,0185</v>
      </c>
      <c r="M7" s="13"/>
    </row>
    <row r="9" spans="1:13" ht="16">
      <c r="A9" s="61" t="s">
        <v>96</v>
      </c>
      <c r="B9" s="61"/>
      <c r="C9" s="62"/>
      <c r="D9" s="62"/>
      <c r="E9" s="62"/>
      <c r="F9" s="62"/>
      <c r="G9" s="62"/>
      <c r="H9" s="62"/>
      <c r="I9" s="62"/>
      <c r="J9" s="62"/>
    </row>
    <row r="10" spans="1:13">
      <c r="A10" s="29" t="s">
        <v>75</v>
      </c>
      <c r="B10" s="7" t="s">
        <v>245</v>
      </c>
      <c r="C10" s="7" t="s">
        <v>172</v>
      </c>
      <c r="D10" s="7" t="s">
        <v>173</v>
      </c>
      <c r="E10" s="8" t="s">
        <v>386</v>
      </c>
      <c r="F10" s="7" t="s">
        <v>377</v>
      </c>
      <c r="G10" s="27" t="s">
        <v>100</v>
      </c>
      <c r="H10" s="27" t="s">
        <v>174</v>
      </c>
      <c r="I10" s="28" t="s">
        <v>18</v>
      </c>
      <c r="J10" s="29"/>
      <c r="K10" s="44" t="str">
        <f>"57,5"</f>
        <v>57,5</v>
      </c>
      <c r="L10" s="9" t="str">
        <f>"65,1188"</f>
        <v>65,1188</v>
      </c>
      <c r="M10" s="7"/>
    </row>
    <row r="12" spans="1:13" ht="16">
      <c r="A12" s="61" t="s">
        <v>20</v>
      </c>
      <c r="B12" s="61"/>
      <c r="C12" s="62"/>
      <c r="D12" s="62"/>
      <c r="E12" s="62"/>
      <c r="F12" s="62"/>
      <c r="G12" s="62"/>
      <c r="H12" s="62"/>
      <c r="I12" s="62"/>
      <c r="J12" s="62"/>
    </row>
    <row r="13" spans="1:13">
      <c r="A13" s="32" t="s">
        <v>75</v>
      </c>
      <c r="B13" s="10" t="s">
        <v>246</v>
      </c>
      <c r="C13" s="10" t="s">
        <v>175</v>
      </c>
      <c r="D13" s="10" t="s">
        <v>176</v>
      </c>
      <c r="E13" s="11" t="s">
        <v>387</v>
      </c>
      <c r="F13" s="10" t="s">
        <v>374</v>
      </c>
      <c r="G13" s="31" t="s">
        <v>93</v>
      </c>
      <c r="H13" s="31" t="s">
        <v>19</v>
      </c>
      <c r="I13" s="30" t="s">
        <v>26</v>
      </c>
      <c r="J13" s="32"/>
      <c r="K13" s="42" t="str">
        <f>"70,0"</f>
        <v>70,0</v>
      </c>
      <c r="L13" s="12" t="str">
        <f>"73,7730"</f>
        <v>73,7730</v>
      </c>
      <c r="M13" s="10" t="s">
        <v>368</v>
      </c>
    </row>
    <row r="14" spans="1:13">
      <c r="A14" s="39" t="s">
        <v>75</v>
      </c>
      <c r="B14" s="36" t="s">
        <v>246</v>
      </c>
      <c r="C14" s="36" t="s">
        <v>177</v>
      </c>
      <c r="D14" s="36" t="s">
        <v>176</v>
      </c>
      <c r="E14" s="37" t="s">
        <v>386</v>
      </c>
      <c r="F14" s="36" t="s">
        <v>374</v>
      </c>
      <c r="G14" s="40" t="s">
        <v>93</v>
      </c>
      <c r="H14" s="40" t="s">
        <v>19</v>
      </c>
      <c r="I14" s="41" t="s">
        <v>26</v>
      </c>
      <c r="J14" s="39"/>
      <c r="K14" s="45" t="str">
        <f>"70,0"</f>
        <v>70,0</v>
      </c>
      <c r="L14" s="38" t="str">
        <f>"73,7730"</f>
        <v>73,7730</v>
      </c>
      <c r="M14" s="36" t="s">
        <v>368</v>
      </c>
    </row>
    <row r="15" spans="1:13">
      <c r="A15" s="35" t="s">
        <v>165</v>
      </c>
      <c r="B15" s="13" t="s">
        <v>247</v>
      </c>
      <c r="C15" s="13" t="s">
        <v>178</v>
      </c>
      <c r="D15" s="13" t="s">
        <v>179</v>
      </c>
      <c r="E15" s="14" t="s">
        <v>386</v>
      </c>
      <c r="F15" s="13" t="s">
        <v>374</v>
      </c>
      <c r="G15" s="34" t="s">
        <v>16</v>
      </c>
      <c r="H15" s="34" t="s">
        <v>13</v>
      </c>
      <c r="I15" s="33" t="s">
        <v>90</v>
      </c>
      <c r="J15" s="35"/>
      <c r="K15" s="43" t="str">
        <f>"50,0"</f>
        <v>50,0</v>
      </c>
      <c r="L15" s="15" t="str">
        <f>"54,2200"</f>
        <v>54,2200</v>
      </c>
      <c r="M15" s="13"/>
    </row>
    <row r="17" spans="1:13" ht="16">
      <c r="A17" s="61" t="s">
        <v>20</v>
      </c>
      <c r="B17" s="61"/>
      <c r="C17" s="62"/>
      <c r="D17" s="62"/>
      <c r="E17" s="62"/>
      <c r="F17" s="62"/>
      <c r="G17" s="62"/>
      <c r="H17" s="62"/>
      <c r="I17" s="62"/>
      <c r="J17" s="62"/>
    </row>
    <row r="18" spans="1:13">
      <c r="A18" s="32" t="s">
        <v>75</v>
      </c>
      <c r="B18" s="10" t="s">
        <v>248</v>
      </c>
      <c r="C18" s="10" t="s">
        <v>180</v>
      </c>
      <c r="D18" s="10" t="s">
        <v>181</v>
      </c>
      <c r="E18" s="11" t="s">
        <v>391</v>
      </c>
      <c r="F18" s="10" t="s">
        <v>378</v>
      </c>
      <c r="G18" s="30" t="s">
        <v>23</v>
      </c>
      <c r="H18" s="31" t="s">
        <v>87</v>
      </c>
      <c r="I18" s="31" t="s">
        <v>35</v>
      </c>
      <c r="J18" s="32"/>
      <c r="K18" s="42" t="str">
        <f>"100,0"</f>
        <v>100,0</v>
      </c>
      <c r="L18" s="12" t="str">
        <f>"77,7500"</f>
        <v>77,7500</v>
      </c>
      <c r="M18" s="10" t="s">
        <v>369</v>
      </c>
    </row>
    <row r="19" spans="1:13">
      <c r="A19" s="39" t="s">
        <v>165</v>
      </c>
      <c r="B19" s="36" t="s">
        <v>249</v>
      </c>
      <c r="C19" s="36" t="s">
        <v>182</v>
      </c>
      <c r="D19" s="36" t="s">
        <v>183</v>
      </c>
      <c r="E19" s="37" t="s">
        <v>391</v>
      </c>
      <c r="F19" s="36" t="s">
        <v>379</v>
      </c>
      <c r="G19" s="40" t="s">
        <v>19</v>
      </c>
      <c r="H19" s="40" t="s">
        <v>26</v>
      </c>
      <c r="I19" s="40" t="s">
        <v>27</v>
      </c>
      <c r="J19" s="39"/>
      <c r="K19" s="45" t="str">
        <f>"80,0"</f>
        <v>80,0</v>
      </c>
      <c r="L19" s="38" t="str">
        <f>"63,2080"</f>
        <v>63,2080</v>
      </c>
      <c r="M19" s="36"/>
    </row>
    <row r="20" spans="1:13">
      <c r="A20" s="39" t="s">
        <v>128</v>
      </c>
      <c r="B20" s="36" t="s">
        <v>250</v>
      </c>
      <c r="C20" s="36" t="s">
        <v>184</v>
      </c>
      <c r="D20" s="36" t="s">
        <v>185</v>
      </c>
      <c r="E20" s="37" t="s">
        <v>391</v>
      </c>
      <c r="F20" s="36" t="s">
        <v>380</v>
      </c>
      <c r="G20" s="41" t="s">
        <v>186</v>
      </c>
      <c r="H20" s="41" t="s">
        <v>186</v>
      </c>
      <c r="I20" s="41" t="s">
        <v>186</v>
      </c>
      <c r="J20" s="39"/>
      <c r="K20" s="45">
        <v>0</v>
      </c>
      <c r="L20" s="38" t="str">
        <f>"0,0000"</f>
        <v>0,0000</v>
      </c>
      <c r="M20" s="36"/>
    </row>
    <row r="21" spans="1:13">
      <c r="A21" s="35" t="s">
        <v>75</v>
      </c>
      <c r="B21" s="13" t="s">
        <v>251</v>
      </c>
      <c r="C21" s="13" t="s">
        <v>187</v>
      </c>
      <c r="D21" s="13" t="s">
        <v>188</v>
      </c>
      <c r="E21" s="14" t="s">
        <v>386</v>
      </c>
      <c r="F21" s="13" t="s">
        <v>374</v>
      </c>
      <c r="G21" s="34" t="s">
        <v>23</v>
      </c>
      <c r="H21" s="33" t="s">
        <v>87</v>
      </c>
      <c r="I21" s="33" t="s">
        <v>87</v>
      </c>
      <c r="J21" s="35"/>
      <c r="K21" s="43" t="str">
        <f>"90,0"</f>
        <v>90,0</v>
      </c>
      <c r="L21" s="15" t="str">
        <f>"70,6680"</f>
        <v>70,6680</v>
      </c>
      <c r="M21" s="13"/>
    </row>
    <row r="23" spans="1:13" ht="16">
      <c r="A23" s="61" t="s">
        <v>106</v>
      </c>
      <c r="B23" s="61"/>
      <c r="C23" s="62"/>
      <c r="D23" s="62"/>
      <c r="E23" s="62"/>
      <c r="F23" s="62"/>
      <c r="G23" s="62"/>
      <c r="H23" s="62"/>
      <c r="I23" s="62"/>
      <c r="J23" s="62"/>
    </row>
    <row r="24" spans="1:13">
      <c r="A24" s="32" t="s">
        <v>75</v>
      </c>
      <c r="B24" s="10" t="s">
        <v>252</v>
      </c>
      <c r="C24" s="10" t="s">
        <v>189</v>
      </c>
      <c r="D24" s="10" t="s">
        <v>190</v>
      </c>
      <c r="E24" s="11" t="s">
        <v>390</v>
      </c>
      <c r="F24" s="10" t="s">
        <v>374</v>
      </c>
      <c r="G24" s="31" t="s">
        <v>110</v>
      </c>
      <c r="H24" s="30" t="s">
        <v>94</v>
      </c>
      <c r="I24" s="30" t="s">
        <v>94</v>
      </c>
      <c r="J24" s="32"/>
      <c r="K24" s="42" t="str">
        <f>"107,5"</f>
        <v>107,5</v>
      </c>
      <c r="L24" s="12" t="str">
        <f>"77,0345"</f>
        <v>77,0345</v>
      </c>
      <c r="M24" s="10"/>
    </row>
    <row r="25" spans="1:13">
      <c r="A25" s="39" t="s">
        <v>75</v>
      </c>
      <c r="B25" s="36" t="s">
        <v>253</v>
      </c>
      <c r="C25" s="36" t="s">
        <v>191</v>
      </c>
      <c r="D25" s="36" t="s">
        <v>192</v>
      </c>
      <c r="E25" s="37" t="s">
        <v>386</v>
      </c>
      <c r="F25" s="36" t="s">
        <v>374</v>
      </c>
      <c r="G25" s="40" t="s">
        <v>94</v>
      </c>
      <c r="H25" s="40" t="s">
        <v>28</v>
      </c>
      <c r="I25" s="40" t="s">
        <v>29</v>
      </c>
      <c r="J25" s="39"/>
      <c r="K25" s="45" t="str">
        <f>"130,0"</f>
        <v>130,0</v>
      </c>
      <c r="L25" s="38" t="str">
        <f>"92,7160"</f>
        <v>92,7160</v>
      </c>
      <c r="M25" s="36"/>
    </row>
    <row r="26" spans="1:13">
      <c r="A26" s="39" t="s">
        <v>165</v>
      </c>
      <c r="B26" s="36" t="s">
        <v>254</v>
      </c>
      <c r="C26" s="36" t="s">
        <v>193</v>
      </c>
      <c r="D26" s="36" t="s">
        <v>194</v>
      </c>
      <c r="E26" s="37" t="s">
        <v>386</v>
      </c>
      <c r="F26" s="36" t="s">
        <v>374</v>
      </c>
      <c r="G26" s="40" t="s">
        <v>105</v>
      </c>
      <c r="H26" s="40" t="s">
        <v>95</v>
      </c>
      <c r="I26" s="40" t="s">
        <v>102</v>
      </c>
      <c r="J26" s="39"/>
      <c r="K26" s="45" t="str">
        <f>"127,5"</f>
        <v>127,5</v>
      </c>
      <c r="L26" s="38" t="str">
        <f>"93,1643"</f>
        <v>93,1643</v>
      </c>
      <c r="M26" s="36"/>
    </row>
    <row r="27" spans="1:13">
      <c r="A27" s="39" t="s">
        <v>255</v>
      </c>
      <c r="B27" s="36" t="s">
        <v>256</v>
      </c>
      <c r="C27" s="36" t="s">
        <v>195</v>
      </c>
      <c r="D27" s="36" t="s">
        <v>196</v>
      </c>
      <c r="E27" s="37" t="s">
        <v>386</v>
      </c>
      <c r="F27" s="36" t="s">
        <v>381</v>
      </c>
      <c r="G27" s="41" t="s">
        <v>28</v>
      </c>
      <c r="H27" s="40" t="s">
        <v>28</v>
      </c>
      <c r="I27" s="41" t="s">
        <v>102</v>
      </c>
      <c r="J27" s="39"/>
      <c r="K27" s="45" t="str">
        <f>"125,0"</f>
        <v>125,0</v>
      </c>
      <c r="L27" s="38" t="str">
        <f>"91,2500"</f>
        <v>91,2500</v>
      </c>
      <c r="M27" s="36"/>
    </row>
    <row r="28" spans="1:13">
      <c r="A28" s="39" t="s">
        <v>257</v>
      </c>
      <c r="B28" s="36" t="s">
        <v>258</v>
      </c>
      <c r="C28" s="36" t="s">
        <v>197</v>
      </c>
      <c r="D28" s="36" t="s">
        <v>198</v>
      </c>
      <c r="E28" s="37" t="s">
        <v>386</v>
      </c>
      <c r="F28" s="36" t="s">
        <v>374</v>
      </c>
      <c r="G28" s="40" t="s">
        <v>94</v>
      </c>
      <c r="H28" s="41" t="s">
        <v>95</v>
      </c>
      <c r="I28" s="41" t="s">
        <v>95</v>
      </c>
      <c r="J28" s="39"/>
      <c r="K28" s="45" t="str">
        <f>"117,5"</f>
        <v>117,5</v>
      </c>
      <c r="L28" s="38" t="str">
        <f>"83,7305"</f>
        <v>83,7305</v>
      </c>
      <c r="M28" s="36"/>
    </row>
    <row r="29" spans="1:13">
      <c r="A29" s="39" t="s">
        <v>259</v>
      </c>
      <c r="B29" s="36" t="s">
        <v>260</v>
      </c>
      <c r="C29" s="36" t="s">
        <v>199</v>
      </c>
      <c r="D29" s="36" t="s">
        <v>200</v>
      </c>
      <c r="E29" s="37" t="s">
        <v>386</v>
      </c>
      <c r="F29" s="36" t="s">
        <v>381</v>
      </c>
      <c r="G29" s="41" t="s">
        <v>27</v>
      </c>
      <c r="H29" s="40" t="s">
        <v>27</v>
      </c>
      <c r="I29" s="41" t="s">
        <v>140</v>
      </c>
      <c r="J29" s="39"/>
      <c r="K29" s="45" t="str">
        <f>"80,0"</f>
        <v>80,0</v>
      </c>
      <c r="L29" s="38" t="str">
        <f>"58,3440"</f>
        <v>58,3440</v>
      </c>
      <c r="M29" s="36"/>
    </row>
    <row r="30" spans="1:13">
      <c r="A30" s="35" t="s">
        <v>75</v>
      </c>
      <c r="B30" s="13" t="s">
        <v>261</v>
      </c>
      <c r="C30" s="13" t="s">
        <v>201</v>
      </c>
      <c r="D30" s="13" t="s">
        <v>202</v>
      </c>
      <c r="E30" s="14" t="s">
        <v>388</v>
      </c>
      <c r="F30" s="13" t="s">
        <v>374</v>
      </c>
      <c r="G30" s="33" t="s">
        <v>105</v>
      </c>
      <c r="H30" s="34" t="s">
        <v>105</v>
      </c>
      <c r="I30" s="34" t="s">
        <v>28</v>
      </c>
      <c r="J30" s="35"/>
      <c r="K30" s="43" t="str">
        <f>"125,0"</f>
        <v>125,0</v>
      </c>
      <c r="L30" s="15" t="str">
        <f>"90,3621"</f>
        <v>90,3621</v>
      </c>
      <c r="M30" s="13"/>
    </row>
    <row r="32" spans="1:13" ht="16">
      <c r="A32" s="61" t="s">
        <v>141</v>
      </c>
      <c r="B32" s="61"/>
      <c r="C32" s="62"/>
      <c r="D32" s="62"/>
      <c r="E32" s="62"/>
      <c r="F32" s="62"/>
      <c r="G32" s="62"/>
      <c r="H32" s="62"/>
      <c r="I32" s="62"/>
      <c r="J32" s="62"/>
    </row>
    <row r="33" spans="1:13">
      <c r="A33" s="32" t="s">
        <v>75</v>
      </c>
      <c r="B33" s="10" t="s">
        <v>262</v>
      </c>
      <c r="C33" s="10" t="s">
        <v>203</v>
      </c>
      <c r="D33" s="10" t="s">
        <v>204</v>
      </c>
      <c r="E33" s="11" t="s">
        <v>391</v>
      </c>
      <c r="F33" s="10" t="s">
        <v>374</v>
      </c>
      <c r="G33" s="31" t="s">
        <v>87</v>
      </c>
      <c r="H33" s="31" t="s">
        <v>36</v>
      </c>
      <c r="I33" s="30" t="s">
        <v>24</v>
      </c>
      <c r="J33" s="32"/>
      <c r="K33" s="42" t="str">
        <f>"105,0"</f>
        <v>105,0</v>
      </c>
      <c r="L33" s="12" t="str">
        <f>"72,2610"</f>
        <v>72,2610</v>
      </c>
      <c r="M33" s="10" t="s">
        <v>370</v>
      </c>
    </row>
    <row r="34" spans="1:13">
      <c r="A34" s="39" t="s">
        <v>75</v>
      </c>
      <c r="B34" s="36" t="s">
        <v>263</v>
      </c>
      <c r="C34" s="36" t="s">
        <v>206</v>
      </c>
      <c r="D34" s="36" t="s">
        <v>207</v>
      </c>
      <c r="E34" s="37" t="s">
        <v>386</v>
      </c>
      <c r="F34" s="36" t="s">
        <v>381</v>
      </c>
      <c r="G34" s="40" t="s">
        <v>33</v>
      </c>
      <c r="H34" s="40" t="s">
        <v>34</v>
      </c>
      <c r="I34" s="41" t="s">
        <v>63</v>
      </c>
      <c r="J34" s="39"/>
      <c r="K34" s="45" t="str">
        <f>"160,0"</f>
        <v>160,0</v>
      </c>
      <c r="L34" s="38" t="str">
        <f>"109,9360"</f>
        <v>109,9360</v>
      </c>
      <c r="M34" s="36"/>
    </row>
    <row r="35" spans="1:13">
      <c r="A35" s="39" t="s">
        <v>165</v>
      </c>
      <c r="B35" s="36" t="s">
        <v>264</v>
      </c>
      <c r="C35" s="36" t="s">
        <v>209</v>
      </c>
      <c r="D35" s="36" t="s">
        <v>210</v>
      </c>
      <c r="E35" s="37" t="s">
        <v>386</v>
      </c>
      <c r="F35" s="36" t="s">
        <v>374</v>
      </c>
      <c r="G35" s="40" t="s">
        <v>43</v>
      </c>
      <c r="H35" s="41" t="s">
        <v>211</v>
      </c>
      <c r="I35" s="41" t="s">
        <v>211</v>
      </c>
      <c r="J35" s="39"/>
      <c r="K35" s="45" t="str">
        <f>"140,0"</f>
        <v>140,0</v>
      </c>
      <c r="L35" s="38" t="str">
        <f>"93,8560"</f>
        <v>93,8560</v>
      </c>
      <c r="M35" s="36" t="s">
        <v>317</v>
      </c>
    </row>
    <row r="36" spans="1:13">
      <c r="A36" s="39" t="s">
        <v>255</v>
      </c>
      <c r="B36" s="36" t="s">
        <v>265</v>
      </c>
      <c r="C36" s="36" t="s">
        <v>212</v>
      </c>
      <c r="D36" s="36" t="s">
        <v>213</v>
      </c>
      <c r="E36" s="37" t="s">
        <v>386</v>
      </c>
      <c r="F36" s="36" t="s">
        <v>374</v>
      </c>
      <c r="G36" s="40" t="s">
        <v>29</v>
      </c>
      <c r="H36" s="40" t="s">
        <v>113</v>
      </c>
      <c r="I36" s="41" t="s">
        <v>43</v>
      </c>
      <c r="J36" s="39"/>
      <c r="K36" s="45" t="str">
        <f>"135,0"</f>
        <v>135,0</v>
      </c>
      <c r="L36" s="38" t="str">
        <f>"92,1645"</f>
        <v>92,1645</v>
      </c>
      <c r="M36" s="36"/>
    </row>
    <row r="37" spans="1:13">
      <c r="A37" s="39" t="s">
        <v>257</v>
      </c>
      <c r="B37" s="36" t="s">
        <v>266</v>
      </c>
      <c r="C37" s="36" t="s">
        <v>214</v>
      </c>
      <c r="D37" s="36" t="s">
        <v>215</v>
      </c>
      <c r="E37" s="37" t="s">
        <v>386</v>
      </c>
      <c r="F37" s="36" t="s">
        <v>374</v>
      </c>
      <c r="G37" s="40" t="s">
        <v>29</v>
      </c>
      <c r="H37" s="40" t="s">
        <v>113</v>
      </c>
      <c r="I37" s="41" t="s">
        <v>43</v>
      </c>
      <c r="J37" s="39"/>
      <c r="K37" s="45" t="str">
        <f>"135,0"</f>
        <v>135,0</v>
      </c>
      <c r="L37" s="38" t="str">
        <f>"91,1115"</f>
        <v>91,1115</v>
      </c>
      <c r="M37" s="36"/>
    </row>
    <row r="38" spans="1:13">
      <c r="A38" s="35" t="s">
        <v>75</v>
      </c>
      <c r="B38" s="13" t="s">
        <v>265</v>
      </c>
      <c r="C38" s="13" t="s">
        <v>216</v>
      </c>
      <c r="D38" s="13" t="s">
        <v>213</v>
      </c>
      <c r="E38" s="14" t="s">
        <v>388</v>
      </c>
      <c r="F38" s="13" t="s">
        <v>374</v>
      </c>
      <c r="G38" s="34" t="s">
        <v>29</v>
      </c>
      <c r="H38" s="34" t="s">
        <v>113</v>
      </c>
      <c r="I38" s="33" t="s">
        <v>43</v>
      </c>
      <c r="J38" s="35"/>
      <c r="K38" s="43" t="str">
        <f>"135,0"</f>
        <v>135,0</v>
      </c>
      <c r="L38" s="15" t="str">
        <f>"92,1645"</f>
        <v>92,1645</v>
      </c>
      <c r="M38" s="13"/>
    </row>
    <row r="40" spans="1:13" ht="16">
      <c r="A40" s="61" t="s">
        <v>30</v>
      </c>
      <c r="B40" s="61"/>
      <c r="C40" s="62"/>
      <c r="D40" s="62"/>
      <c r="E40" s="62"/>
      <c r="F40" s="62"/>
      <c r="G40" s="62"/>
      <c r="H40" s="62"/>
      <c r="I40" s="62"/>
      <c r="J40" s="62"/>
    </row>
    <row r="41" spans="1:13">
      <c r="A41" s="32" t="s">
        <v>75</v>
      </c>
      <c r="B41" s="10" t="s">
        <v>267</v>
      </c>
      <c r="C41" s="10" t="s">
        <v>217</v>
      </c>
      <c r="D41" s="10" t="s">
        <v>218</v>
      </c>
      <c r="E41" s="11" t="s">
        <v>391</v>
      </c>
      <c r="F41" s="10" t="s">
        <v>374</v>
      </c>
      <c r="G41" s="31" t="s">
        <v>35</v>
      </c>
      <c r="H41" s="30" t="s">
        <v>110</v>
      </c>
      <c r="I41" s="30" t="s">
        <v>110</v>
      </c>
      <c r="J41" s="32"/>
      <c r="K41" s="42" t="str">
        <f>"100,0"</f>
        <v>100,0</v>
      </c>
      <c r="L41" s="12" t="str">
        <f>"65,4500"</f>
        <v>65,4500</v>
      </c>
      <c r="M41" s="10"/>
    </row>
    <row r="42" spans="1:13">
      <c r="A42" s="39" t="s">
        <v>75</v>
      </c>
      <c r="B42" s="36" t="s">
        <v>268</v>
      </c>
      <c r="C42" s="36" t="s">
        <v>219</v>
      </c>
      <c r="D42" s="36" t="s">
        <v>220</v>
      </c>
      <c r="E42" s="37" t="s">
        <v>386</v>
      </c>
      <c r="F42" s="36" t="s">
        <v>374</v>
      </c>
      <c r="G42" s="40" t="s">
        <v>45</v>
      </c>
      <c r="H42" s="40" t="s">
        <v>211</v>
      </c>
      <c r="I42" s="41" t="s">
        <v>51</v>
      </c>
      <c r="J42" s="39"/>
      <c r="K42" s="45" t="str">
        <f>"145,0"</f>
        <v>145,0</v>
      </c>
      <c r="L42" s="38" t="str">
        <f>"93,2640"</f>
        <v>93,2640</v>
      </c>
      <c r="M42" s="36"/>
    </row>
    <row r="43" spans="1:13">
      <c r="A43" s="39" t="s">
        <v>165</v>
      </c>
      <c r="B43" s="36" t="s">
        <v>269</v>
      </c>
      <c r="C43" s="36" t="s">
        <v>221</v>
      </c>
      <c r="D43" s="36" t="s">
        <v>222</v>
      </c>
      <c r="E43" s="37" t="s">
        <v>386</v>
      </c>
      <c r="F43" s="36" t="s">
        <v>374</v>
      </c>
      <c r="G43" s="40" t="s">
        <v>29</v>
      </c>
      <c r="H43" s="40" t="s">
        <v>113</v>
      </c>
      <c r="I43" s="41" t="s">
        <v>43</v>
      </c>
      <c r="J43" s="39"/>
      <c r="K43" s="45" t="str">
        <f>"135,0"</f>
        <v>135,0</v>
      </c>
      <c r="L43" s="38" t="str">
        <f>"89,1810"</f>
        <v>89,1810</v>
      </c>
      <c r="M43" s="36"/>
    </row>
    <row r="44" spans="1:13">
      <c r="A44" s="35" t="s">
        <v>255</v>
      </c>
      <c r="B44" s="13" t="s">
        <v>270</v>
      </c>
      <c r="C44" s="13" t="s">
        <v>223</v>
      </c>
      <c r="D44" s="13" t="s">
        <v>224</v>
      </c>
      <c r="E44" s="14" t="s">
        <v>386</v>
      </c>
      <c r="F44" s="13" t="s">
        <v>374</v>
      </c>
      <c r="G44" s="34" t="s">
        <v>35</v>
      </c>
      <c r="H44" s="34" t="s">
        <v>36</v>
      </c>
      <c r="I44" s="33" t="s">
        <v>24</v>
      </c>
      <c r="J44" s="35"/>
      <c r="K44" s="43" t="str">
        <f>"105,0"</f>
        <v>105,0</v>
      </c>
      <c r="L44" s="15" t="str">
        <f>"67,3050"</f>
        <v>67,3050</v>
      </c>
      <c r="M44" s="13"/>
    </row>
    <row r="46" spans="1:13" ht="16">
      <c r="A46" s="61" t="s">
        <v>40</v>
      </c>
      <c r="B46" s="61"/>
      <c r="C46" s="62"/>
      <c r="D46" s="62"/>
      <c r="E46" s="62"/>
      <c r="F46" s="62"/>
      <c r="G46" s="62"/>
      <c r="H46" s="62"/>
      <c r="I46" s="62"/>
      <c r="J46" s="62"/>
    </row>
    <row r="47" spans="1:13">
      <c r="A47" s="32" t="s">
        <v>75</v>
      </c>
      <c r="B47" s="10" t="s">
        <v>271</v>
      </c>
      <c r="C47" s="10" t="s">
        <v>225</v>
      </c>
      <c r="D47" s="10" t="s">
        <v>226</v>
      </c>
      <c r="E47" s="11" t="s">
        <v>387</v>
      </c>
      <c r="F47" s="10" t="s">
        <v>374</v>
      </c>
      <c r="G47" s="31" t="s">
        <v>43</v>
      </c>
      <c r="H47" s="31" t="s">
        <v>211</v>
      </c>
      <c r="I47" s="31" t="s">
        <v>227</v>
      </c>
      <c r="J47" s="32"/>
      <c r="K47" s="42" t="str">
        <f>"147,5"</f>
        <v>147,5</v>
      </c>
      <c r="L47" s="12" t="str">
        <f>"92,6595"</f>
        <v>92,6595</v>
      </c>
      <c r="M47" s="10" t="s">
        <v>228</v>
      </c>
    </row>
    <row r="48" spans="1:13">
      <c r="A48" s="39" t="s">
        <v>165</v>
      </c>
      <c r="B48" s="36" t="s">
        <v>272</v>
      </c>
      <c r="C48" s="36" t="s">
        <v>229</v>
      </c>
      <c r="D48" s="36" t="s">
        <v>230</v>
      </c>
      <c r="E48" s="37" t="s">
        <v>387</v>
      </c>
      <c r="F48" s="36" t="s">
        <v>374</v>
      </c>
      <c r="G48" s="40" t="s">
        <v>29</v>
      </c>
      <c r="H48" s="41" t="s">
        <v>43</v>
      </c>
      <c r="I48" s="40" t="s">
        <v>43</v>
      </c>
      <c r="J48" s="39"/>
      <c r="K48" s="45" t="str">
        <f>"140,0"</f>
        <v>140,0</v>
      </c>
      <c r="L48" s="38" t="str">
        <f>"85,2040"</f>
        <v>85,2040</v>
      </c>
      <c r="M48" s="36"/>
    </row>
    <row r="49" spans="1:13">
      <c r="A49" s="39" t="s">
        <v>75</v>
      </c>
      <c r="B49" s="36" t="s">
        <v>273</v>
      </c>
      <c r="C49" s="36" t="s">
        <v>232</v>
      </c>
      <c r="D49" s="36" t="s">
        <v>233</v>
      </c>
      <c r="E49" s="37" t="s">
        <v>386</v>
      </c>
      <c r="F49" s="36" t="s">
        <v>374</v>
      </c>
      <c r="G49" s="40" t="s">
        <v>50</v>
      </c>
      <c r="H49" s="40" t="s">
        <v>34</v>
      </c>
      <c r="I49" s="41" t="s">
        <v>44</v>
      </c>
      <c r="J49" s="39"/>
      <c r="K49" s="45" t="str">
        <f>"160,0"</f>
        <v>160,0</v>
      </c>
      <c r="L49" s="38" t="str">
        <f>"101,2000"</f>
        <v>101,2000</v>
      </c>
      <c r="M49" s="36"/>
    </row>
    <row r="50" spans="1:13">
      <c r="A50" s="39" t="s">
        <v>165</v>
      </c>
      <c r="B50" s="36" t="s">
        <v>274</v>
      </c>
      <c r="C50" s="36" t="s">
        <v>234</v>
      </c>
      <c r="D50" s="36" t="s">
        <v>235</v>
      </c>
      <c r="E50" s="37" t="s">
        <v>386</v>
      </c>
      <c r="F50" s="36" t="s">
        <v>382</v>
      </c>
      <c r="G50" s="40" t="s">
        <v>43</v>
      </c>
      <c r="H50" s="40" t="s">
        <v>211</v>
      </c>
      <c r="I50" s="40" t="s">
        <v>227</v>
      </c>
      <c r="J50" s="39"/>
      <c r="K50" s="45" t="str">
        <f>"147,5"</f>
        <v>147,5</v>
      </c>
      <c r="L50" s="38" t="str">
        <f>"92,1433"</f>
        <v>92,1433</v>
      </c>
      <c r="M50" s="36"/>
    </row>
    <row r="51" spans="1:13">
      <c r="A51" s="39" t="s">
        <v>255</v>
      </c>
      <c r="B51" s="36" t="s">
        <v>275</v>
      </c>
      <c r="C51" s="36" t="s">
        <v>236</v>
      </c>
      <c r="D51" s="36" t="s">
        <v>237</v>
      </c>
      <c r="E51" s="37" t="s">
        <v>386</v>
      </c>
      <c r="F51" s="36" t="s">
        <v>374</v>
      </c>
      <c r="G51" s="40" t="s">
        <v>36</v>
      </c>
      <c r="H51" s="40" t="s">
        <v>101</v>
      </c>
      <c r="I51" s="40" t="s">
        <v>94</v>
      </c>
      <c r="J51" s="39"/>
      <c r="K51" s="45" t="str">
        <f>"117,5"</f>
        <v>117,5</v>
      </c>
      <c r="L51" s="38" t="str">
        <f>"72,8852"</f>
        <v>72,8852</v>
      </c>
      <c r="M51" s="36"/>
    </row>
    <row r="52" spans="1:13">
      <c r="A52" s="39" t="s">
        <v>75</v>
      </c>
      <c r="B52" s="36" t="s">
        <v>275</v>
      </c>
      <c r="C52" s="36" t="s">
        <v>238</v>
      </c>
      <c r="D52" s="36" t="s">
        <v>237</v>
      </c>
      <c r="E52" s="37" t="s">
        <v>389</v>
      </c>
      <c r="F52" s="36" t="s">
        <v>374</v>
      </c>
      <c r="G52" s="40" t="s">
        <v>36</v>
      </c>
      <c r="H52" s="40" t="s">
        <v>101</v>
      </c>
      <c r="I52" s="40" t="s">
        <v>94</v>
      </c>
      <c r="J52" s="39"/>
      <c r="K52" s="45" t="str">
        <f>"117,5"</f>
        <v>117,5</v>
      </c>
      <c r="L52" s="38" t="str">
        <f>"92,7829"</f>
        <v>92,7829</v>
      </c>
      <c r="M52" s="36"/>
    </row>
    <row r="53" spans="1:13">
      <c r="A53" s="39" t="s">
        <v>75</v>
      </c>
      <c r="B53" s="36" t="s">
        <v>273</v>
      </c>
      <c r="C53" s="36" t="s">
        <v>239</v>
      </c>
      <c r="D53" s="36" t="s">
        <v>233</v>
      </c>
      <c r="E53" s="37" t="s">
        <v>392</v>
      </c>
      <c r="F53" s="36" t="s">
        <v>374</v>
      </c>
      <c r="G53" s="40" t="s">
        <v>50</v>
      </c>
      <c r="H53" s="40" t="s">
        <v>34</v>
      </c>
      <c r="I53" s="41" t="s">
        <v>44</v>
      </c>
      <c r="J53" s="39"/>
      <c r="K53" s="45" t="str">
        <f>"160,0"</f>
        <v>160,0</v>
      </c>
      <c r="L53" s="38" t="str">
        <f>"142,6920"</f>
        <v>142,6920</v>
      </c>
      <c r="M53" s="36"/>
    </row>
    <row r="54" spans="1:13">
      <c r="A54" s="35" t="s">
        <v>128</v>
      </c>
      <c r="B54" s="13" t="s">
        <v>276</v>
      </c>
      <c r="C54" s="13" t="s">
        <v>240</v>
      </c>
      <c r="D54" s="13" t="s">
        <v>241</v>
      </c>
      <c r="E54" s="14" t="s">
        <v>392</v>
      </c>
      <c r="F54" s="13" t="s">
        <v>374</v>
      </c>
      <c r="G54" s="33" t="s">
        <v>43</v>
      </c>
      <c r="H54" s="35"/>
      <c r="I54" s="35"/>
      <c r="J54" s="35"/>
      <c r="K54" s="43">
        <v>0</v>
      </c>
      <c r="L54" s="15" t="str">
        <f>"0,0000"</f>
        <v>0,0000</v>
      </c>
      <c r="M54" s="13"/>
    </row>
    <row r="56" spans="1:13" ht="16">
      <c r="A56" s="61" t="s">
        <v>47</v>
      </c>
      <c r="B56" s="61"/>
      <c r="C56" s="62"/>
      <c r="D56" s="62"/>
      <c r="E56" s="62"/>
      <c r="F56" s="62"/>
      <c r="G56" s="62"/>
      <c r="H56" s="62"/>
      <c r="I56" s="62"/>
      <c r="J56" s="62"/>
    </row>
    <row r="57" spans="1:13">
      <c r="A57" s="29" t="s">
        <v>75</v>
      </c>
      <c r="B57" s="7" t="s">
        <v>277</v>
      </c>
      <c r="C57" s="7" t="s">
        <v>242</v>
      </c>
      <c r="D57" s="7" t="s">
        <v>243</v>
      </c>
      <c r="E57" s="8" t="s">
        <v>389</v>
      </c>
      <c r="F57" s="7" t="s">
        <v>374</v>
      </c>
      <c r="G57" s="28" t="s">
        <v>50</v>
      </c>
      <c r="H57" s="27" t="s">
        <v>50</v>
      </c>
      <c r="I57" s="27" t="s">
        <v>51</v>
      </c>
      <c r="J57" s="29"/>
      <c r="K57" s="44" t="str">
        <f>"152,5"</f>
        <v>152,5</v>
      </c>
      <c r="L57" s="9" t="str">
        <f>"104,9483"</f>
        <v>104,9483</v>
      </c>
      <c r="M57" s="7"/>
    </row>
    <row r="59" spans="1:13" ht="16">
      <c r="F59" s="17"/>
      <c r="G59" s="5"/>
      <c r="M59" s="6"/>
    </row>
    <row r="60" spans="1:13">
      <c r="G60" s="5"/>
      <c r="M60" s="6"/>
    </row>
    <row r="61" spans="1:13" ht="18">
      <c r="B61" s="18" t="s">
        <v>65</v>
      </c>
      <c r="C61" s="18"/>
      <c r="G61" s="3"/>
      <c r="M61" s="6"/>
    </row>
    <row r="62" spans="1:13" ht="16">
      <c r="B62" s="19" t="s">
        <v>66</v>
      </c>
      <c r="C62" s="19"/>
      <c r="G62" s="3"/>
      <c r="M62" s="6"/>
    </row>
    <row r="63" spans="1:13" ht="14">
      <c r="B63" s="20"/>
      <c r="C63" s="21" t="s">
        <v>72</v>
      </c>
      <c r="G63" s="3"/>
      <c r="M63" s="6"/>
    </row>
    <row r="64" spans="1:13" ht="14">
      <c r="B64" s="22" t="s">
        <v>68</v>
      </c>
      <c r="C64" s="22" t="s">
        <v>69</v>
      </c>
      <c r="D64" s="22" t="s">
        <v>367</v>
      </c>
      <c r="E64" s="23" t="s">
        <v>159</v>
      </c>
      <c r="F64" s="22" t="s">
        <v>70</v>
      </c>
      <c r="G64" s="3"/>
      <c r="M64" s="6"/>
    </row>
    <row r="65" spans="2:13">
      <c r="B65" s="5" t="s">
        <v>205</v>
      </c>
      <c r="C65" s="5" t="s">
        <v>72</v>
      </c>
      <c r="D65" s="25" t="s">
        <v>160</v>
      </c>
      <c r="E65" s="26">
        <v>160</v>
      </c>
      <c r="F65" s="24">
        <v>109.935998916626</v>
      </c>
      <c r="G65" s="3"/>
      <c r="M65" s="6"/>
    </row>
    <row r="66" spans="2:13">
      <c r="B66" s="5" t="s">
        <v>231</v>
      </c>
      <c r="C66" s="5" t="s">
        <v>72</v>
      </c>
      <c r="D66" s="25" t="s">
        <v>73</v>
      </c>
      <c r="E66" s="26">
        <v>160</v>
      </c>
      <c r="F66" s="24">
        <v>101.19999885559101</v>
      </c>
      <c r="G66" s="3"/>
      <c r="M66" s="6"/>
    </row>
    <row r="67" spans="2:13">
      <c r="B67" s="5" t="s">
        <v>208</v>
      </c>
      <c r="C67" s="5" t="s">
        <v>72</v>
      </c>
      <c r="D67" s="25" t="s">
        <v>160</v>
      </c>
      <c r="E67" s="26">
        <v>140</v>
      </c>
      <c r="F67" s="24">
        <v>93.856003284454303</v>
      </c>
      <c r="G67" s="3"/>
      <c r="M67" s="6"/>
    </row>
  </sheetData>
  <mergeCells count="20">
    <mergeCell ref="A46:J46"/>
    <mergeCell ref="A56:J56"/>
    <mergeCell ref="B3:B4"/>
    <mergeCell ref="A9:J9"/>
    <mergeCell ref="A12:J12"/>
    <mergeCell ref="A17:J17"/>
    <mergeCell ref="A23:J23"/>
    <mergeCell ref="A32:J32"/>
    <mergeCell ref="A40:J4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4.332031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46" t="s">
        <v>359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8</v>
      </c>
      <c r="H3" s="60"/>
      <c r="I3" s="60"/>
      <c r="J3" s="60"/>
      <c r="K3" s="58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83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9" t="s">
        <v>75</v>
      </c>
      <c r="B6" s="7" t="s">
        <v>162</v>
      </c>
      <c r="C6" s="7" t="s">
        <v>138</v>
      </c>
      <c r="D6" s="7" t="s">
        <v>139</v>
      </c>
      <c r="E6" s="8" t="s">
        <v>391</v>
      </c>
      <c r="F6" s="7" t="s">
        <v>374</v>
      </c>
      <c r="G6" s="27" t="s">
        <v>14</v>
      </c>
      <c r="H6" s="28" t="s">
        <v>26</v>
      </c>
      <c r="I6" s="28" t="s">
        <v>140</v>
      </c>
      <c r="J6" s="29"/>
      <c r="K6" s="9" t="str">
        <f>"60,0"</f>
        <v>60,0</v>
      </c>
      <c r="L6" s="9" t="str">
        <f>"60,4740"</f>
        <v>60,4740</v>
      </c>
      <c r="M6" s="7"/>
    </row>
    <row r="8" spans="1:13" ht="16">
      <c r="A8" s="61" t="s">
        <v>141</v>
      </c>
      <c r="B8" s="61"/>
      <c r="C8" s="62"/>
      <c r="D8" s="62"/>
      <c r="E8" s="62"/>
      <c r="F8" s="62"/>
      <c r="G8" s="62"/>
      <c r="H8" s="62"/>
      <c r="I8" s="62"/>
      <c r="J8" s="62"/>
    </row>
    <row r="9" spans="1:13">
      <c r="A9" s="29" t="s">
        <v>75</v>
      </c>
      <c r="B9" s="7" t="s">
        <v>163</v>
      </c>
      <c r="C9" s="7" t="s">
        <v>142</v>
      </c>
      <c r="D9" s="7" t="s">
        <v>143</v>
      </c>
      <c r="E9" s="8" t="s">
        <v>388</v>
      </c>
      <c r="F9" s="7" t="s">
        <v>374</v>
      </c>
      <c r="G9" s="27" t="s">
        <v>35</v>
      </c>
      <c r="H9" s="27" t="s">
        <v>24</v>
      </c>
      <c r="I9" s="28" t="s">
        <v>101</v>
      </c>
      <c r="J9" s="29"/>
      <c r="K9" s="9" t="str">
        <f>"110,0"</f>
        <v>110,0</v>
      </c>
      <c r="L9" s="9" t="str">
        <f>"83,8541"</f>
        <v>83,8541</v>
      </c>
      <c r="M9" s="7"/>
    </row>
    <row r="11" spans="1:13" ht="16">
      <c r="A11" s="61" t="s">
        <v>30</v>
      </c>
      <c r="B11" s="61"/>
      <c r="C11" s="62"/>
      <c r="D11" s="62"/>
      <c r="E11" s="62"/>
      <c r="F11" s="62"/>
      <c r="G11" s="62"/>
      <c r="H11" s="62"/>
      <c r="I11" s="62"/>
      <c r="J11" s="62"/>
    </row>
    <row r="12" spans="1:13">
      <c r="A12" s="32" t="s">
        <v>75</v>
      </c>
      <c r="B12" s="10" t="s">
        <v>164</v>
      </c>
      <c r="C12" s="10" t="s">
        <v>145</v>
      </c>
      <c r="D12" s="10" t="s">
        <v>146</v>
      </c>
      <c r="E12" s="11" t="s">
        <v>386</v>
      </c>
      <c r="F12" s="10" t="s">
        <v>377</v>
      </c>
      <c r="G12" s="31" t="s">
        <v>62</v>
      </c>
      <c r="H12" s="30" t="s">
        <v>122</v>
      </c>
      <c r="I12" s="32"/>
      <c r="J12" s="32"/>
      <c r="K12" s="12" t="str">
        <f>"200,0"</f>
        <v>200,0</v>
      </c>
      <c r="L12" s="12" t="str">
        <f>"130,8000"</f>
        <v>130,8000</v>
      </c>
      <c r="M12" s="10"/>
    </row>
    <row r="13" spans="1:13">
      <c r="A13" s="35" t="s">
        <v>165</v>
      </c>
      <c r="B13" s="13" t="s">
        <v>166</v>
      </c>
      <c r="C13" s="13" t="s">
        <v>148</v>
      </c>
      <c r="D13" s="13" t="s">
        <v>149</v>
      </c>
      <c r="E13" s="14" t="s">
        <v>386</v>
      </c>
      <c r="F13" s="13" t="s">
        <v>374</v>
      </c>
      <c r="G13" s="34" t="s">
        <v>58</v>
      </c>
      <c r="H13" s="34" t="s">
        <v>150</v>
      </c>
      <c r="I13" s="33" t="s">
        <v>59</v>
      </c>
      <c r="J13" s="35"/>
      <c r="K13" s="15" t="str">
        <f>"182,5"</f>
        <v>182,5</v>
      </c>
      <c r="L13" s="15" t="str">
        <f>"117,1832"</f>
        <v>117,1832</v>
      </c>
      <c r="M13" s="13"/>
    </row>
    <row r="15" spans="1:13" ht="16">
      <c r="A15" s="61" t="s">
        <v>40</v>
      </c>
      <c r="B15" s="61"/>
      <c r="C15" s="62"/>
      <c r="D15" s="62"/>
      <c r="E15" s="62"/>
      <c r="F15" s="62"/>
      <c r="G15" s="62"/>
      <c r="H15" s="62"/>
      <c r="I15" s="62"/>
      <c r="J15" s="62"/>
    </row>
    <row r="16" spans="1:13">
      <c r="A16" s="29" t="s">
        <v>75</v>
      </c>
      <c r="B16" s="7" t="s">
        <v>167</v>
      </c>
      <c r="C16" s="7" t="s">
        <v>152</v>
      </c>
      <c r="D16" s="7" t="s">
        <v>153</v>
      </c>
      <c r="E16" s="8" t="s">
        <v>386</v>
      </c>
      <c r="F16" s="7" t="s">
        <v>374</v>
      </c>
      <c r="G16" s="27" t="s">
        <v>44</v>
      </c>
      <c r="H16" s="28" t="s">
        <v>37</v>
      </c>
      <c r="I16" s="28" t="s">
        <v>37</v>
      </c>
      <c r="J16" s="29"/>
      <c r="K16" s="9" t="str">
        <f>"165,0"</f>
        <v>165,0</v>
      </c>
      <c r="L16" s="9" t="str">
        <f>"102,9765"</f>
        <v>102,9765</v>
      </c>
      <c r="M16" s="7" t="s">
        <v>371</v>
      </c>
    </row>
    <row r="18" spans="1:13" ht="16">
      <c r="A18" s="61" t="s">
        <v>47</v>
      </c>
      <c r="B18" s="61"/>
      <c r="C18" s="62"/>
      <c r="D18" s="62"/>
      <c r="E18" s="62"/>
      <c r="F18" s="62"/>
      <c r="G18" s="62"/>
      <c r="H18" s="62"/>
      <c r="I18" s="62"/>
      <c r="J18" s="62"/>
    </row>
    <row r="19" spans="1:13">
      <c r="A19" s="32" t="s">
        <v>75</v>
      </c>
      <c r="B19" s="10" t="s">
        <v>168</v>
      </c>
      <c r="C19" s="10" t="s">
        <v>154</v>
      </c>
      <c r="D19" s="10" t="s">
        <v>155</v>
      </c>
      <c r="E19" s="11" t="s">
        <v>386</v>
      </c>
      <c r="F19" s="10" t="s">
        <v>374</v>
      </c>
      <c r="G19" s="31" t="s">
        <v>50</v>
      </c>
      <c r="H19" s="31" t="s">
        <v>156</v>
      </c>
      <c r="I19" s="30" t="s">
        <v>125</v>
      </c>
      <c r="J19" s="32"/>
      <c r="K19" s="12" t="str">
        <f>"167,5"</f>
        <v>167,5</v>
      </c>
      <c r="L19" s="12" t="str">
        <f>"100,6005"</f>
        <v>100,6005</v>
      </c>
      <c r="M19" s="10"/>
    </row>
    <row r="20" spans="1:13">
      <c r="A20" s="35" t="s">
        <v>165</v>
      </c>
      <c r="B20" s="13" t="s">
        <v>169</v>
      </c>
      <c r="C20" s="13" t="s">
        <v>157</v>
      </c>
      <c r="D20" s="13" t="s">
        <v>158</v>
      </c>
      <c r="E20" s="14" t="s">
        <v>386</v>
      </c>
      <c r="F20" s="13" t="s">
        <v>374</v>
      </c>
      <c r="G20" s="34" t="s">
        <v>105</v>
      </c>
      <c r="H20" s="34" t="s">
        <v>28</v>
      </c>
      <c r="I20" s="34" t="s">
        <v>29</v>
      </c>
      <c r="J20" s="35"/>
      <c r="K20" s="15" t="str">
        <f>"130,0"</f>
        <v>130,0</v>
      </c>
      <c r="L20" s="15" t="str">
        <f>"77,9480"</f>
        <v>77,9480</v>
      </c>
      <c r="M20" s="13"/>
    </row>
    <row r="22" spans="1:13" ht="16">
      <c r="F22" s="17"/>
      <c r="G22" s="5"/>
      <c r="K22" s="25"/>
      <c r="M22" s="6"/>
    </row>
    <row r="23" spans="1:13">
      <c r="G23" s="5"/>
      <c r="K23" s="25"/>
      <c r="M23" s="6"/>
    </row>
    <row r="24" spans="1:13" ht="18">
      <c r="B24" s="18" t="s">
        <v>65</v>
      </c>
      <c r="C24" s="18"/>
      <c r="G24" s="3"/>
      <c r="K24" s="25"/>
      <c r="M24" s="6"/>
    </row>
    <row r="25" spans="1:13" ht="16">
      <c r="B25" s="19" t="s">
        <v>66</v>
      </c>
      <c r="C25" s="19"/>
      <c r="G25" s="3"/>
      <c r="K25" s="25"/>
      <c r="M25" s="6"/>
    </row>
    <row r="26" spans="1:13" ht="14">
      <c r="B26" s="20"/>
      <c r="C26" s="21" t="s">
        <v>72</v>
      </c>
      <c r="G26" s="3"/>
      <c r="K26" s="25"/>
      <c r="M26" s="6"/>
    </row>
    <row r="27" spans="1:13" ht="14">
      <c r="B27" s="22" t="s">
        <v>68</v>
      </c>
      <c r="C27" s="22" t="s">
        <v>69</v>
      </c>
      <c r="D27" s="22" t="s">
        <v>367</v>
      </c>
      <c r="E27" s="23" t="s">
        <v>159</v>
      </c>
      <c r="F27" s="22" t="s">
        <v>70</v>
      </c>
      <c r="G27" s="3"/>
      <c r="K27" s="25"/>
      <c r="M27" s="6"/>
    </row>
    <row r="28" spans="1:13">
      <c r="B28" s="5" t="s">
        <v>144</v>
      </c>
      <c r="C28" s="5" t="s">
        <v>72</v>
      </c>
      <c r="D28" s="25" t="s">
        <v>74</v>
      </c>
      <c r="E28" s="26">
        <v>200</v>
      </c>
      <c r="F28" s="24">
        <v>130.79999685287501</v>
      </c>
      <c r="G28" s="3"/>
      <c r="K28" s="25"/>
      <c r="M28" s="6"/>
    </row>
    <row r="29" spans="1:13">
      <c r="B29" s="5" t="s">
        <v>147</v>
      </c>
      <c r="C29" s="5" t="s">
        <v>72</v>
      </c>
      <c r="D29" s="25" t="s">
        <v>74</v>
      </c>
      <c r="E29" s="26">
        <v>182.5</v>
      </c>
      <c r="F29" s="24">
        <v>117.183245718479</v>
      </c>
      <c r="G29" s="3"/>
      <c r="K29" s="25"/>
      <c r="M29" s="6"/>
    </row>
    <row r="30" spans="1:13">
      <c r="B30" s="5" t="s">
        <v>151</v>
      </c>
      <c r="C30" s="5" t="s">
        <v>72</v>
      </c>
      <c r="D30" s="25" t="s">
        <v>73</v>
      </c>
      <c r="E30" s="26">
        <v>165</v>
      </c>
      <c r="F30" s="24">
        <v>102.976504862309</v>
      </c>
      <c r="G30" s="3"/>
      <c r="K30" s="25"/>
      <c r="M30" s="6"/>
    </row>
    <row r="31" spans="1:13">
      <c r="E31" s="5"/>
      <c r="F31" s="16"/>
      <c r="G31" s="5"/>
      <c r="K31" s="25"/>
      <c r="M31" s="6"/>
    </row>
  </sheetData>
  <mergeCells count="16">
    <mergeCell ref="A8:J8"/>
    <mergeCell ref="A11:J11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30.66406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6" t="s">
        <v>360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8</v>
      </c>
      <c r="H3" s="60"/>
      <c r="I3" s="60"/>
      <c r="J3" s="60"/>
      <c r="K3" s="58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30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9" t="s">
        <v>75</v>
      </c>
      <c r="B6" s="7" t="s">
        <v>285</v>
      </c>
      <c r="C6" s="7" t="s">
        <v>280</v>
      </c>
      <c r="D6" s="7" t="s">
        <v>281</v>
      </c>
      <c r="E6" s="8" t="s">
        <v>386</v>
      </c>
      <c r="F6" s="7" t="s">
        <v>374</v>
      </c>
      <c r="G6" s="27" t="s">
        <v>282</v>
      </c>
      <c r="H6" s="27" t="s">
        <v>116</v>
      </c>
      <c r="I6" s="27" t="s">
        <v>283</v>
      </c>
      <c r="J6" s="29"/>
      <c r="K6" s="9" t="str">
        <f>"225,0"</f>
        <v>225,0</v>
      </c>
      <c r="L6" s="9" t="str">
        <f>"139,4325"</f>
        <v>139,4325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5"/>
  <sheetViews>
    <sheetView workbookViewId="0">
      <selection activeCell="E12" sqref="E1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7.5" style="5" bestFit="1" customWidth="1"/>
    <col min="4" max="4" width="21.5" style="5" bestFit="1" customWidth="1"/>
    <col min="5" max="5" width="10.5" style="16" bestFit="1" customWidth="1"/>
    <col min="6" max="6" width="38.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7.664062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6" t="s">
        <v>361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8</v>
      </c>
      <c r="H3" s="60"/>
      <c r="I3" s="60"/>
      <c r="J3" s="60"/>
      <c r="K3" s="58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106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32" t="s">
        <v>75</v>
      </c>
      <c r="B6" s="10" t="s">
        <v>253</v>
      </c>
      <c r="C6" s="10" t="s">
        <v>191</v>
      </c>
      <c r="D6" s="10" t="s">
        <v>192</v>
      </c>
      <c r="E6" s="11" t="s">
        <v>386</v>
      </c>
      <c r="F6" s="10" t="s">
        <v>374</v>
      </c>
      <c r="G6" s="31" t="s">
        <v>36</v>
      </c>
      <c r="H6" s="31" t="s">
        <v>95</v>
      </c>
      <c r="I6" s="30" t="s">
        <v>29</v>
      </c>
      <c r="J6" s="32"/>
      <c r="K6" s="12" t="str">
        <f>"122,5"</f>
        <v>122,5</v>
      </c>
      <c r="L6" s="12" t="str">
        <f>"87,3670"</f>
        <v>87,3670</v>
      </c>
      <c r="M6" s="10"/>
    </row>
    <row r="7" spans="1:13">
      <c r="A7" s="39" t="s">
        <v>165</v>
      </c>
      <c r="B7" s="36" t="s">
        <v>256</v>
      </c>
      <c r="C7" s="36" t="s">
        <v>195</v>
      </c>
      <c r="D7" s="36" t="s">
        <v>196</v>
      </c>
      <c r="E7" s="37" t="s">
        <v>386</v>
      </c>
      <c r="F7" s="36" t="s">
        <v>381</v>
      </c>
      <c r="G7" s="40" t="s">
        <v>24</v>
      </c>
      <c r="H7" s="40" t="s">
        <v>101</v>
      </c>
      <c r="I7" s="41" t="s">
        <v>95</v>
      </c>
      <c r="J7" s="39"/>
      <c r="K7" s="38" t="str">
        <f>"115,0"</f>
        <v>115,0</v>
      </c>
      <c r="L7" s="38" t="str">
        <f>"83,9500"</f>
        <v>83,9500</v>
      </c>
      <c r="M7" s="36"/>
    </row>
    <row r="8" spans="1:13">
      <c r="A8" s="35" t="s">
        <v>255</v>
      </c>
      <c r="B8" s="13" t="s">
        <v>260</v>
      </c>
      <c r="C8" s="13" t="s">
        <v>199</v>
      </c>
      <c r="D8" s="13" t="s">
        <v>200</v>
      </c>
      <c r="E8" s="14" t="s">
        <v>386</v>
      </c>
      <c r="F8" s="13" t="s">
        <v>381</v>
      </c>
      <c r="G8" s="34" t="s">
        <v>278</v>
      </c>
      <c r="H8" s="33" t="s">
        <v>279</v>
      </c>
      <c r="I8" s="33" t="s">
        <v>279</v>
      </c>
      <c r="J8" s="35"/>
      <c r="K8" s="15" t="str">
        <f>"72,5"</f>
        <v>72,5</v>
      </c>
      <c r="L8" s="15" t="str">
        <f>"52,8743"</f>
        <v>52,8743</v>
      </c>
      <c r="M8" s="13"/>
    </row>
    <row r="10" spans="1:13" ht="16">
      <c r="A10" s="61" t="s">
        <v>141</v>
      </c>
      <c r="B10" s="61"/>
      <c r="C10" s="62"/>
      <c r="D10" s="62"/>
      <c r="E10" s="62"/>
      <c r="F10" s="62"/>
      <c r="G10" s="62"/>
      <c r="H10" s="62"/>
      <c r="I10" s="62"/>
      <c r="J10" s="62"/>
    </row>
    <row r="11" spans="1:13">
      <c r="A11" s="29" t="s">
        <v>75</v>
      </c>
      <c r="B11" s="7" t="s">
        <v>265</v>
      </c>
      <c r="C11" s="7" t="s">
        <v>216</v>
      </c>
      <c r="D11" s="7" t="s">
        <v>213</v>
      </c>
      <c r="E11" s="8" t="s">
        <v>388</v>
      </c>
      <c r="F11" s="7" t="s">
        <v>374</v>
      </c>
      <c r="G11" s="27" t="s">
        <v>101</v>
      </c>
      <c r="H11" s="27" t="s">
        <v>95</v>
      </c>
      <c r="I11" s="27" t="s">
        <v>29</v>
      </c>
      <c r="J11" s="29"/>
      <c r="K11" s="9" t="str">
        <f>"130,0"</f>
        <v>130,0</v>
      </c>
      <c r="L11" s="9" t="str">
        <f>"88,7510"</f>
        <v>88,7510</v>
      </c>
      <c r="M11" s="7"/>
    </row>
    <row r="13" spans="1:13" ht="16">
      <c r="F13" s="17"/>
      <c r="G13" s="5"/>
      <c r="K13" s="25"/>
      <c r="M13" s="6"/>
    </row>
    <row r="14" spans="1:13">
      <c r="G14" s="5"/>
      <c r="K14" s="25"/>
      <c r="M14" s="6"/>
    </row>
    <row r="15" spans="1:13">
      <c r="E15" s="5"/>
      <c r="F15" s="16"/>
      <c r="G15" s="5"/>
      <c r="K15" s="25"/>
      <c r="M15" s="6"/>
    </row>
  </sheetData>
  <mergeCells count="13">
    <mergeCell ref="A10:J1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4.1640625" style="5" customWidth="1"/>
    <col min="3" max="3" width="30.1640625" style="5" customWidth="1"/>
    <col min="4" max="4" width="21.5" style="5" bestFit="1" customWidth="1"/>
    <col min="5" max="5" width="10.5" style="16" bestFit="1" customWidth="1"/>
    <col min="6" max="6" width="32.33203125" style="5" customWidth="1"/>
    <col min="7" max="9" width="5.5" style="25" customWidth="1"/>
    <col min="10" max="10" width="4.83203125" style="25" customWidth="1"/>
    <col min="11" max="11" width="10.5" style="6" bestFit="1" customWidth="1"/>
    <col min="12" max="12" width="8.664062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6" t="s">
        <v>362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9</v>
      </c>
      <c r="H3" s="60"/>
      <c r="I3" s="60"/>
      <c r="J3" s="60"/>
      <c r="K3" s="58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83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9" t="s">
        <v>75</v>
      </c>
      <c r="B6" s="7" t="s">
        <v>127</v>
      </c>
      <c r="C6" s="7" t="s">
        <v>84</v>
      </c>
      <c r="D6" s="7" t="s">
        <v>85</v>
      </c>
      <c r="E6" s="8" t="s">
        <v>386</v>
      </c>
      <c r="F6" s="7" t="s">
        <v>374</v>
      </c>
      <c r="G6" s="28" t="s">
        <v>87</v>
      </c>
      <c r="H6" s="27" t="s">
        <v>36</v>
      </c>
      <c r="I6" s="27" t="s">
        <v>25</v>
      </c>
      <c r="J6" s="29"/>
      <c r="K6" s="9" t="str">
        <f>"112,5"</f>
        <v>112,5</v>
      </c>
      <c r="L6" s="9" t="str">
        <f>"144,5175"</f>
        <v>144,5175</v>
      </c>
      <c r="M6" s="7"/>
    </row>
    <row r="8" spans="1:13" ht="16">
      <c r="A8" s="61" t="s">
        <v>96</v>
      </c>
      <c r="B8" s="61"/>
      <c r="C8" s="62"/>
      <c r="D8" s="62"/>
      <c r="E8" s="62"/>
      <c r="F8" s="62"/>
      <c r="G8" s="62"/>
      <c r="H8" s="62"/>
      <c r="I8" s="62"/>
      <c r="J8" s="62"/>
    </row>
    <row r="9" spans="1:13">
      <c r="A9" s="32" t="s">
        <v>75</v>
      </c>
      <c r="B9" s="10" t="s">
        <v>301</v>
      </c>
      <c r="C9" s="10" t="s">
        <v>293</v>
      </c>
      <c r="D9" s="10" t="s">
        <v>173</v>
      </c>
      <c r="E9" s="11" t="s">
        <v>386</v>
      </c>
      <c r="F9" s="10" t="s">
        <v>374</v>
      </c>
      <c r="G9" s="31" t="s">
        <v>43</v>
      </c>
      <c r="H9" s="31" t="s">
        <v>50</v>
      </c>
      <c r="I9" s="31" t="s">
        <v>33</v>
      </c>
      <c r="J9" s="32"/>
      <c r="K9" s="12" t="str">
        <f>"155,0"</f>
        <v>155,0</v>
      </c>
      <c r="L9" s="12" t="str">
        <f>"175,5375"</f>
        <v>175,5375</v>
      </c>
      <c r="M9" s="10"/>
    </row>
    <row r="10" spans="1:13">
      <c r="A10" s="35" t="s">
        <v>75</v>
      </c>
      <c r="B10" s="13" t="s">
        <v>302</v>
      </c>
      <c r="C10" s="13" t="s">
        <v>294</v>
      </c>
      <c r="D10" s="13" t="s">
        <v>295</v>
      </c>
      <c r="E10" s="14" t="s">
        <v>389</v>
      </c>
      <c r="F10" s="13" t="s">
        <v>374</v>
      </c>
      <c r="G10" s="34" t="s">
        <v>36</v>
      </c>
      <c r="H10" s="33" t="s">
        <v>25</v>
      </c>
      <c r="I10" s="34" t="s">
        <v>25</v>
      </c>
      <c r="J10" s="35"/>
      <c r="K10" s="15" t="str">
        <f>"112,5"</f>
        <v>112,5</v>
      </c>
      <c r="L10" s="15" t="str">
        <f>"156,7828"</f>
        <v>156,7828</v>
      </c>
      <c r="M10" s="13"/>
    </row>
    <row r="12" spans="1:13" ht="16">
      <c r="A12" s="61" t="s">
        <v>106</v>
      </c>
      <c r="B12" s="61"/>
      <c r="C12" s="62"/>
      <c r="D12" s="62"/>
      <c r="E12" s="62"/>
      <c r="F12" s="62"/>
      <c r="G12" s="62"/>
      <c r="H12" s="62"/>
      <c r="I12" s="62"/>
      <c r="J12" s="62"/>
    </row>
    <row r="13" spans="1:13">
      <c r="A13" s="32" t="s">
        <v>75</v>
      </c>
      <c r="B13" s="10" t="s">
        <v>303</v>
      </c>
      <c r="C13" s="10" t="s">
        <v>296</v>
      </c>
      <c r="D13" s="10" t="s">
        <v>297</v>
      </c>
      <c r="E13" s="11" t="s">
        <v>390</v>
      </c>
      <c r="F13" s="10" t="s">
        <v>374</v>
      </c>
      <c r="G13" s="31" t="s">
        <v>59</v>
      </c>
      <c r="H13" s="31" t="s">
        <v>62</v>
      </c>
      <c r="I13" s="30" t="s">
        <v>282</v>
      </c>
      <c r="J13" s="32"/>
      <c r="K13" s="12" t="str">
        <f>"200,0"</f>
        <v>200,0</v>
      </c>
      <c r="L13" s="12" t="str">
        <f>"144,9800"</f>
        <v>144,9800</v>
      </c>
      <c r="M13" s="10"/>
    </row>
    <row r="14" spans="1:13">
      <c r="A14" s="35" t="s">
        <v>75</v>
      </c>
      <c r="B14" s="13" t="s">
        <v>304</v>
      </c>
      <c r="C14" s="13" t="s">
        <v>298</v>
      </c>
      <c r="D14" s="13" t="s">
        <v>299</v>
      </c>
      <c r="E14" s="14" t="s">
        <v>386</v>
      </c>
      <c r="F14" s="13" t="s">
        <v>374</v>
      </c>
      <c r="G14" s="34" t="s">
        <v>122</v>
      </c>
      <c r="H14" s="34" t="s">
        <v>52</v>
      </c>
      <c r="I14" s="33" t="s">
        <v>300</v>
      </c>
      <c r="J14" s="35"/>
      <c r="K14" s="15" t="str">
        <f>"210,0"</f>
        <v>210,0</v>
      </c>
      <c r="L14" s="15" t="str">
        <f>"150,1920"</f>
        <v>150,1920</v>
      </c>
      <c r="M14" s="13"/>
    </row>
    <row r="16" spans="1:13" ht="16">
      <c r="A16" s="61" t="s">
        <v>141</v>
      </c>
      <c r="B16" s="61"/>
      <c r="C16" s="62"/>
      <c r="D16" s="62"/>
      <c r="E16" s="62"/>
      <c r="F16" s="62"/>
      <c r="G16" s="62"/>
      <c r="H16" s="62"/>
      <c r="I16" s="62"/>
      <c r="J16" s="62"/>
    </row>
    <row r="17" spans="1:13">
      <c r="A17" s="29" t="s">
        <v>75</v>
      </c>
      <c r="B17" s="7" t="s">
        <v>262</v>
      </c>
      <c r="C17" s="7" t="s">
        <v>203</v>
      </c>
      <c r="D17" s="7" t="s">
        <v>204</v>
      </c>
      <c r="E17" s="8" t="s">
        <v>391</v>
      </c>
      <c r="F17" s="7" t="s">
        <v>374</v>
      </c>
      <c r="G17" s="27" t="s">
        <v>37</v>
      </c>
      <c r="H17" s="27" t="s">
        <v>38</v>
      </c>
      <c r="I17" s="27" t="s">
        <v>59</v>
      </c>
      <c r="J17" s="29"/>
      <c r="K17" s="9" t="str">
        <f>"190,0"</f>
        <v>190,0</v>
      </c>
      <c r="L17" s="9" t="str">
        <f>"130,7580"</f>
        <v>130,7580</v>
      </c>
      <c r="M17" s="7"/>
    </row>
    <row r="19" spans="1:13" ht="16">
      <c r="A19" s="61" t="s">
        <v>30</v>
      </c>
      <c r="B19" s="61"/>
      <c r="C19" s="62"/>
      <c r="D19" s="62"/>
      <c r="E19" s="62"/>
      <c r="F19" s="62"/>
      <c r="G19" s="62"/>
      <c r="H19" s="62"/>
      <c r="I19" s="62"/>
      <c r="J19" s="62"/>
    </row>
    <row r="20" spans="1:13">
      <c r="A20" s="29" t="s">
        <v>75</v>
      </c>
      <c r="B20" s="7" t="s">
        <v>267</v>
      </c>
      <c r="C20" s="7" t="s">
        <v>217</v>
      </c>
      <c r="D20" s="7" t="s">
        <v>218</v>
      </c>
      <c r="E20" s="8" t="s">
        <v>391</v>
      </c>
      <c r="F20" s="7" t="s">
        <v>374</v>
      </c>
      <c r="G20" s="27" t="s">
        <v>34</v>
      </c>
      <c r="H20" s="27" t="s">
        <v>44</v>
      </c>
      <c r="I20" s="27" t="s">
        <v>37</v>
      </c>
      <c r="J20" s="29"/>
      <c r="K20" s="9" t="str">
        <f>"170,0"</f>
        <v>170,0</v>
      </c>
      <c r="L20" s="9" t="str">
        <f>"111,2650"</f>
        <v>111,2650</v>
      </c>
      <c r="M20" s="7"/>
    </row>
    <row r="22" spans="1:13" ht="16">
      <c r="A22" s="61" t="s">
        <v>40</v>
      </c>
      <c r="B22" s="61"/>
      <c r="C22" s="62"/>
      <c r="D22" s="62"/>
      <c r="E22" s="62"/>
      <c r="F22" s="62"/>
      <c r="G22" s="62"/>
      <c r="H22" s="62"/>
      <c r="I22" s="62"/>
      <c r="J22" s="62"/>
    </row>
    <row r="23" spans="1:13">
      <c r="A23" s="29" t="s">
        <v>75</v>
      </c>
      <c r="B23" s="7" t="s">
        <v>135</v>
      </c>
      <c r="C23" s="7" t="s">
        <v>114</v>
      </c>
      <c r="D23" s="7" t="s">
        <v>115</v>
      </c>
      <c r="E23" s="8" t="s">
        <v>386</v>
      </c>
      <c r="F23" s="7" t="s">
        <v>376</v>
      </c>
      <c r="G23" s="27" t="s">
        <v>54</v>
      </c>
      <c r="H23" s="27" t="s">
        <v>118</v>
      </c>
      <c r="I23" s="28" t="s">
        <v>119</v>
      </c>
      <c r="J23" s="29"/>
      <c r="K23" s="9" t="str">
        <f>"250,0"</f>
        <v>250,0</v>
      </c>
      <c r="L23" s="9" t="str">
        <f>"154,5000"</f>
        <v>154,5000</v>
      </c>
      <c r="M23" s="7"/>
    </row>
    <row r="25" spans="1:13" ht="16">
      <c r="A25" s="61" t="s">
        <v>47</v>
      </c>
      <c r="B25" s="61"/>
      <c r="C25" s="62"/>
      <c r="D25" s="62"/>
      <c r="E25" s="62"/>
      <c r="F25" s="62"/>
      <c r="G25" s="62"/>
      <c r="H25" s="62"/>
      <c r="I25" s="62"/>
      <c r="J25" s="62"/>
    </row>
    <row r="26" spans="1:13">
      <c r="A26" s="32" t="s">
        <v>75</v>
      </c>
      <c r="B26" s="10" t="s">
        <v>136</v>
      </c>
      <c r="C26" s="10" t="s">
        <v>120</v>
      </c>
      <c r="D26" s="10" t="s">
        <v>121</v>
      </c>
      <c r="E26" s="11" t="s">
        <v>390</v>
      </c>
      <c r="F26" s="10" t="s">
        <v>374</v>
      </c>
      <c r="G26" s="31" t="s">
        <v>59</v>
      </c>
      <c r="H26" s="31" t="s">
        <v>122</v>
      </c>
      <c r="I26" s="31" t="s">
        <v>116</v>
      </c>
      <c r="J26" s="32"/>
      <c r="K26" s="12" t="str">
        <f>"215,0"</f>
        <v>215,0</v>
      </c>
      <c r="L26" s="12" t="str">
        <f>"128,8710"</f>
        <v>128,8710</v>
      </c>
      <c r="M26" s="10"/>
    </row>
    <row r="27" spans="1:13">
      <c r="A27" s="35" t="s">
        <v>75</v>
      </c>
      <c r="B27" s="13" t="s">
        <v>137</v>
      </c>
      <c r="C27" s="13" t="s">
        <v>123</v>
      </c>
      <c r="D27" s="13" t="s">
        <v>124</v>
      </c>
      <c r="E27" s="14" t="s">
        <v>386</v>
      </c>
      <c r="F27" s="13" t="s">
        <v>374</v>
      </c>
      <c r="G27" s="34" t="s">
        <v>62</v>
      </c>
      <c r="H27" s="34" t="s">
        <v>122</v>
      </c>
      <c r="I27" s="34" t="s">
        <v>116</v>
      </c>
      <c r="J27" s="35"/>
      <c r="K27" s="15" t="str">
        <f>"215,0"</f>
        <v>215,0</v>
      </c>
      <c r="L27" s="15" t="str">
        <f>"128,2260"</f>
        <v>128,2260</v>
      </c>
      <c r="M27" s="13"/>
    </row>
  </sheetData>
  <mergeCells count="18">
    <mergeCell ref="A25:J25"/>
    <mergeCell ref="K3:K4"/>
    <mergeCell ref="L3:L4"/>
    <mergeCell ref="M3:M4"/>
    <mergeCell ref="A5:J5"/>
    <mergeCell ref="B3:B4"/>
    <mergeCell ref="A8:J8"/>
    <mergeCell ref="A12:J12"/>
    <mergeCell ref="A16:J16"/>
    <mergeCell ref="A19:J19"/>
    <mergeCell ref="A22:J22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0.5" style="16" bestFit="1" customWidth="1"/>
    <col min="6" max="6" width="28.5" style="5" bestFit="1" customWidth="1"/>
    <col min="7" max="9" width="5.5" style="25" customWidth="1"/>
    <col min="10" max="10" width="4.83203125" style="25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6" t="s">
        <v>363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9</v>
      </c>
      <c r="H3" s="60"/>
      <c r="I3" s="60"/>
      <c r="J3" s="60"/>
      <c r="K3" s="58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66"/>
    </row>
    <row r="5" spans="1:13" ht="16">
      <c r="A5" s="67" t="s">
        <v>141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9" t="s">
        <v>75</v>
      </c>
      <c r="B6" s="7" t="s">
        <v>291</v>
      </c>
      <c r="C6" s="7" t="s">
        <v>286</v>
      </c>
      <c r="D6" s="7" t="s">
        <v>287</v>
      </c>
      <c r="E6" s="8" t="s">
        <v>386</v>
      </c>
      <c r="F6" s="7" t="s">
        <v>374</v>
      </c>
      <c r="G6" s="27" t="s">
        <v>59</v>
      </c>
      <c r="H6" s="27" t="s">
        <v>52</v>
      </c>
      <c r="I6" s="28" t="s">
        <v>116</v>
      </c>
      <c r="J6" s="29"/>
      <c r="K6" s="9" t="str">
        <f>"210,0"</f>
        <v>210,0</v>
      </c>
      <c r="L6" s="9" t="str">
        <f>"143,9340"</f>
        <v>143,9340</v>
      </c>
      <c r="M6" s="7"/>
    </row>
    <row r="8" spans="1:13" ht="16">
      <c r="A8" s="61" t="s">
        <v>40</v>
      </c>
      <c r="B8" s="61"/>
      <c r="C8" s="62"/>
      <c r="D8" s="62"/>
      <c r="E8" s="62"/>
      <c r="F8" s="62"/>
      <c r="G8" s="62"/>
      <c r="H8" s="62"/>
      <c r="I8" s="62"/>
      <c r="J8" s="62"/>
    </row>
    <row r="9" spans="1:13">
      <c r="A9" s="29" t="s">
        <v>75</v>
      </c>
      <c r="B9" s="7" t="s">
        <v>292</v>
      </c>
      <c r="C9" s="7" t="s">
        <v>288</v>
      </c>
      <c r="D9" s="7" t="s">
        <v>289</v>
      </c>
      <c r="E9" s="8" t="s">
        <v>387</v>
      </c>
      <c r="F9" s="7" t="s">
        <v>374</v>
      </c>
      <c r="G9" s="27" t="s">
        <v>290</v>
      </c>
      <c r="H9" s="28" t="s">
        <v>53</v>
      </c>
      <c r="I9" s="29"/>
      <c r="J9" s="29"/>
      <c r="K9" s="9" t="str">
        <f>"220,0"</f>
        <v>220,0</v>
      </c>
      <c r="L9" s="9" t="str">
        <f>"136,4000"</f>
        <v>136,4000</v>
      </c>
      <c r="M9" s="7"/>
    </row>
    <row r="11" spans="1:13">
      <c r="G11" s="5"/>
      <c r="K11" s="25"/>
      <c r="M11" s="6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8"/>
  <sheetViews>
    <sheetView topLeftCell="A17" workbookViewId="0">
      <selection activeCell="E47" sqref="E47"/>
    </sheetView>
  </sheetViews>
  <sheetFormatPr baseColWidth="10" defaultColWidth="9.1640625" defaultRowHeight="13"/>
  <cols>
    <col min="1" max="1" width="7.5" style="5" bestFit="1" customWidth="1"/>
    <col min="2" max="2" width="21.6640625" style="5" bestFit="1" customWidth="1"/>
    <col min="3" max="3" width="29" style="5" bestFit="1" customWidth="1"/>
    <col min="4" max="4" width="21.5" style="5" bestFit="1" customWidth="1"/>
    <col min="5" max="5" width="10.5" style="16" bestFit="1" customWidth="1"/>
    <col min="6" max="6" width="39" style="5" customWidth="1"/>
    <col min="7" max="9" width="4.5" style="25" customWidth="1"/>
    <col min="10" max="10" width="4.83203125" style="25" customWidth="1"/>
    <col min="11" max="11" width="10.5" style="26" bestFit="1" customWidth="1"/>
    <col min="12" max="12" width="7.5" style="6" bestFit="1" customWidth="1"/>
    <col min="13" max="13" width="25" style="5" bestFit="1" customWidth="1"/>
    <col min="14" max="16384" width="9.1640625" style="3"/>
  </cols>
  <sheetData>
    <row r="1" spans="1:13" s="2" customFormat="1" ht="29" customHeight="1">
      <c r="A1" s="46" t="s">
        <v>364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373</v>
      </c>
      <c r="B3" s="69" t="s">
        <v>0</v>
      </c>
      <c r="C3" s="56" t="s">
        <v>383</v>
      </c>
      <c r="D3" s="56" t="s">
        <v>6</v>
      </c>
      <c r="E3" s="58" t="s">
        <v>384</v>
      </c>
      <c r="F3" s="60" t="s">
        <v>5</v>
      </c>
      <c r="G3" s="60" t="s">
        <v>372</v>
      </c>
      <c r="H3" s="60"/>
      <c r="I3" s="60"/>
      <c r="J3" s="60"/>
      <c r="K3" s="63" t="s">
        <v>161</v>
      </c>
      <c r="L3" s="58" t="s">
        <v>3</v>
      </c>
      <c r="M3" s="65" t="s">
        <v>2</v>
      </c>
    </row>
    <row r="4" spans="1:13" s="1" customFormat="1" ht="21" customHeight="1" thickBot="1">
      <c r="A4" s="55"/>
      <c r="B4" s="70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64"/>
      <c r="L4" s="59"/>
      <c r="M4" s="66"/>
    </row>
    <row r="5" spans="1:13" ht="16">
      <c r="A5" s="67" t="s">
        <v>83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9" t="s">
        <v>75</v>
      </c>
      <c r="B6" s="7" t="s">
        <v>127</v>
      </c>
      <c r="C6" s="7" t="s">
        <v>84</v>
      </c>
      <c r="D6" s="7" t="s">
        <v>85</v>
      </c>
      <c r="E6" s="8" t="s">
        <v>386</v>
      </c>
      <c r="F6" s="7" t="s">
        <v>374</v>
      </c>
      <c r="G6" s="27" t="s">
        <v>318</v>
      </c>
      <c r="H6" s="27" t="s">
        <v>319</v>
      </c>
      <c r="I6" s="28" t="s">
        <v>310</v>
      </c>
      <c r="J6" s="29"/>
      <c r="K6" s="44" t="str">
        <f>"27,5"</f>
        <v>27,5</v>
      </c>
      <c r="L6" s="9" t="str">
        <f>"31,4133"</f>
        <v>31,4133</v>
      </c>
      <c r="M6" s="7"/>
    </row>
    <row r="8" spans="1:13" ht="16">
      <c r="A8" s="61" t="s">
        <v>10</v>
      </c>
      <c r="B8" s="61"/>
      <c r="C8" s="62"/>
      <c r="D8" s="62"/>
      <c r="E8" s="62"/>
      <c r="F8" s="62"/>
      <c r="G8" s="62"/>
      <c r="H8" s="62"/>
      <c r="I8" s="62"/>
      <c r="J8" s="62"/>
    </row>
    <row r="9" spans="1:13">
      <c r="A9" s="29" t="s">
        <v>75</v>
      </c>
      <c r="B9" s="7" t="s">
        <v>335</v>
      </c>
      <c r="C9" s="7" t="s">
        <v>344</v>
      </c>
      <c r="D9" s="7" t="s">
        <v>320</v>
      </c>
      <c r="E9" s="8" t="s">
        <v>385</v>
      </c>
      <c r="F9" s="7" t="s">
        <v>374</v>
      </c>
      <c r="G9" s="27" t="s">
        <v>321</v>
      </c>
      <c r="H9" s="27" t="s">
        <v>318</v>
      </c>
      <c r="I9" s="27" t="s">
        <v>310</v>
      </c>
      <c r="J9" s="29"/>
      <c r="K9" s="44" t="str">
        <f>"30,0"</f>
        <v>30,0</v>
      </c>
      <c r="L9" s="9" t="str">
        <f>"32,0520"</f>
        <v>32,0520</v>
      </c>
      <c r="M9" s="7"/>
    </row>
    <row r="11" spans="1:13" ht="16">
      <c r="A11" s="61" t="s">
        <v>96</v>
      </c>
      <c r="B11" s="61"/>
      <c r="C11" s="62"/>
      <c r="D11" s="62"/>
      <c r="E11" s="62"/>
      <c r="F11" s="62"/>
      <c r="G11" s="62"/>
      <c r="H11" s="62"/>
      <c r="I11" s="62"/>
      <c r="J11" s="62"/>
    </row>
    <row r="12" spans="1:13">
      <c r="A12" s="29" t="s">
        <v>75</v>
      </c>
      <c r="B12" s="7" t="s">
        <v>245</v>
      </c>
      <c r="C12" s="7" t="s">
        <v>172</v>
      </c>
      <c r="D12" s="7" t="s">
        <v>173</v>
      </c>
      <c r="E12" s="8" t="s">
        <v>386</v>
      </c>
      <c r="F12" s="7" t="s">
        <v>377</v>
      </c>
      <c r="G12" s="27" t="s">
        <v>319</v>
      </c>
      <c r="H12" s="28" t="s">
        <v>322</v>
      </c>
      <c r="I12" s="28" t="s">
        <v>322</v>
      </c>
      <c r="J12" s="29"/>
      <c r="K12" s="44" t="str">
        <f>"27,5"</f>
        <v>27,5</v>
      </c>
      <c r="L12" s="9" t="str">
        <f>"27,6018"</f>
        <v>27,6018</v>
      </c>
      <c r="M12" s="7"/>
    </row>
    <row r="14" spans="1:13" ht="16">
      <c r="A14" s="61" t="s">
        <v>20</v>
      </c>
      <c r="B14" s="61"/>
      <c r="C14" s="62"/>
      <c r="D14" s="62"/>
      <c r="E14" s="62"/>
      <c r="F14" s="62"/>
      <c r="G14" s="62"/>
      <c r="H14" s="62"/>
      <c r="I14" s="62"/>
      <c r="J14" s="62"/>
    </row>
    <row r="15" spans="1:13">
      <c r="A15" s="29" t="s">
        <v>75</v>
      </c>
      <c r="B15" s="7" t="s">
        <v>246</v>
      </c>
      <c r="C15" s="7" t="s">
        <v>345</v>
      </c>
      <c r="D15" s="7" t="s">
        <v>176</v>
      </c>
      <c r="E15" s="8" t="s">
        <v>387</v>
      </c>
      <c r="F15" s="7" t="s">
        <v>374</v>
      </c>
      <c r="G15" s="27" t="s">
        <v>322</v>
      </c>
      <c r="H15" s="27" t="s">
        <v>323</v>
      </c>
      <c r="I15" s="28" t="s">
        <v>15</v>
      </c>
      <c r="J15" s="29"/>
      <c r="K15" s="44" t="str">
        <f>"37,5"</f>
        <v>37,5</v>
      </c>
      <c r="L15" s="9" t="str">
        <f>"34,9181"</f>
        <v>34,9181</v>
      </c>
      <c r="M15" s="7" t="s">
        <v>368</v>
      </c>
    </row>
    <row r="17" spans="1:13" ht="16">
      <c r="A17" s="61" t="s">
        <v>20</v>
      </c>
      <c r="B17" s="61"/>
      <c r="C17" s="62"/>
      <c r="D17" s="62"/>
      <c r="E17" s="62"/>
      <c r="F17" s="62"/>
      <c r="G17" s="62"/>
      <c r="H17" s="62"/>
      <c r="I17" s="62"/>
      <c r="J17" s="62"/>
    </row>
    <row r="18" spans="1:13">
      <c r="A18" s="29" t="s">
        <v>75</v>
      </c>
      <c r="B18" s="7" t="s">
        <v>336</v>
      </c>
      <c r="C18" s="7" t="s">
        <v>343</v>
      </c>
      <c r="D18" s="7" t="s">
        <v>325</v>
      </c>
      <c r="E18" s="8" t="s">
        <v>385</v>
      </c>
      <c r="F18" s="7" t="s">
        <v>374</v>
      </c>
      <c r="G18" s="27" t="s">
        <v>15</v>
      </c>
      <c r="H18" s="27" t="s">
        <v>306</v>
      </c>
      <c r="I18" s="27" t="s">
        <v>16</v>
      </c>
      <c r="J18" s="29"/>
      <c r="K18" s="44" t="str">
        <f>"45,0"</f>
        <v>45,0</v>
      </c>
      <c r="L18" s="9" t="str">
        <f>"35,2845"</f>
        <v>35,2845</v>
      </c>
      <c r="M18" s="7"/>
    </row>
    <row r="20" spans="1:13" ht="16">
      <c r="A20" s="61" t="s">
        <v>106</v>
      </c>
      <c r="B20" s="61"/>
      <c r="C20" s="62"/>
      <c r="D20" s="62"/>
      <c r="E20" s="62"/>
      <c r="F20" s="62"/>
      <c r="G20" s="62"/>
      <c r="H20" s="62"/>
      <c r="I20" s="62"/>
      <c r="J20" s="62"/>
    </row>
    <row r="21" spans="1:13">
      <c r="A21" s="32" t="s">
        <v>75</v>
      </c>
      <c r="B21" s="10" t="s">
        <v>133</v>
      </c>
      <c r="C21" s="10" t="s">
        <v>346</v>
      </c>
      <c r="D21" s="10" t="s">
        <v>109</v>
      </c>
      <c r="E21" s="11" t="s">
        <v>385</v>
      </c>
      <c r="F21" s="10" t="s">
        <v>375</v>
      </c>
      <c r="G21" s="31" t="s">
        <v>14</v>
      </c>
      <c r="H21" s="31" t="s">
        <v>93</v>
      </c>
      <c r="I21" s="30" t="s">
        <v>326</v>
      </c>
      <c r="J21" s="32"/>
      <c r="K21" s="42" t="str">
        <f>"65,0"</f>
        <v>65,0</v>
      </c>
      <c r="L21" s="12" t="str">
        <f>"45,6723"</f>
        <v>45,6723</v>
      </c>
      <c r="M21" s="10" t="s">
        <v>147</v>
      </c>
    </row>
    <row r="22" spans="1:13">
      <c r="A22" s="39" t="s">
        <v>165</v>
      </c>
      <c r="B22" s="36" t="s">
        <v>337</v>
      </c>
      <c r="C22" s="36" t="s">
        <v>347</v>
      </c>
      <c r="D22" s="36" t="s">
        <v>328</v>
      </c>
      <c r="E22" s="37" t="s">
        <v>385</v>
      </c>
      <c r="F22" s="36" t="s">
        <v>381</v>
      </c>
      <c r="G22" s="40" t="s">
        <v>13</v>
      </c>
      <c r="H22" s="40" t="s">
        <v>174</v>
      </c>
      <c r="I22" s="40" t="s">
        <v>18</v>
      </c>
      <c r="J22" s="39"/>
      <c r="K22" s="45" t="str">
        <f>"62,5"</f>
        <v>62,5</v>
      </c>
      <c r="L22" s="38" t="str">
        <f>"45,3906"</f>
        <v>45,3906</v>
      </c>
      <c r="M22" s="36"/>
    </row>
    <row r="23" spans="1:13">
      <c r="A23" s="39" t="s">
        <v>75</v>
      </c>
      <c r="B23" s="36" t="s">
        <v>338</v>
      </c>
      <c r="C23" s="36" t="s">
        <v>348</v>
      </c>
      <c r="D23" s="36" t="s">
        <v>112</v>
      </c>
      <c r="E23" s="37" t="s">
        <v>387</v>
      </c>
      <c r="F23" s="36" t="s">
        <v>374</v>
      </c>
      <c r="G23" s="40" t="s">
        <v>13</v>
      </c>
      <c r="H23" s="40" t="s">
        <v>90</v>
      </c>
      <c r="I23" s="41" t="s">
        <v>174</v>
      </c>
      <c r="J23" s="39"/>
      <c r="K23" s="45" t="str">
        <f>"52,5"</f>
        <v>52,5</v>
      </c>
      <c r="L23" s="38" t="str">
        <f>"37,2041"</f>
        <v>37,2041</v>
      </c>
      <c r="M23" s="36"/>
    </row>
    <row r="24" spans="1:13">
      <c r="A24" s="39" t="s">
        <v>75</v>
      </c>
      <c r="B24" s="36" t="s">
        <v>133</v>
      </c>
      <c r="C24" s="36" t="s">
        <v>329</v>
      </c>
      <c r="D24" s="36" t="s">
        <v>109</v>
      </c>
      <c r="E24" s="37" t="s">
        <v>386</v>
      </c>
      <c r="F24" s="36" t="s">
        <v>375</v>
      </c>
      <c r="G24" s="40" t="s">
        <v>14</v>
      </c>
      <c r="H24" s="40" t="s">
        <v>93</v>
      </c>
      <c r="I24" s="41" t="s">
        <v>326</v>
      </c>
      <c r="J24" s="39"/>
      <c r="K24" s="45" t="str">
        <f>"65,0"</f>
        <v>65,0</v>
      </c>
      <c r="L24" s="38" t="str">
        <f>"45,6723"</f>
        <v>45,6723</v>
      </c>
      <c r="M24" s="36" t="s">
        <v>147</v>
      </c>
    </row>
    <row r="25" spans="1:13">
      <c r="A25" s="39" t="s">
        <v>165</v>
      </c>
      <c r="B25" s="36" t="s">
        <v>258</v>
      </c>
      <c r="C25" s="36" t="s">
        <v>197</v>
      </c>
      <c r="D25" s="36" t="s">
        <v>198</v>
      </c>
      <c r="E25" s="37" t="s">
        <v>386</v>
      </c>
      <c r="F25" s="36" t="s">
        <v>374</v>
      </c>
      <c r="G25" s="40" t="s">
        <v>100</v>
      </c>
      <c r="H25" s="41" t="s">
        <v>14</v>
      </c>
      <c r="I25" s="40" t="s">
        <v>18</v>
      </c>
      <c r="J25" s="39"/>
      <c r="K25" s="45" t="str">
        <f>"62,5"</f>
        <v>62,5</v>
      </c>
      <c r="L25" s="38" t="str">
        <f>"43,0344"</f>
        <v>43,0344</v>
      </c>
      <c r="M25" s="36"/>
    </row>
    <row r="26" spans="1:13">
      <c r="A26" s="39" t="s">
        <v>255</v>
      </c>
      <c r="B26" s="36" t="s">
        <v>254</v>
      </c>
      <c r="C26" s="36" t="s">
        <v>193</v>
      </c>
      <c r="D26" s="36" t="s">
        <v>194</v>
      </c>
      <c r="E26" s="37" t="s">
        <v>386</v>
      </c>
      <c r="F26" s="36" t="s">
        <v>374</v>
      </c>
      <c r="G26" s="40" t="s">
        <v>13</v>
      </c>
      <c r="H26" s="40" t="s">
        <v>100</v>
      </c>
      <c r="I26" s="41" t="s">
        <v>174</v>
      </c>
      <c r="J26" s="39"/>
      <c r="K26" s="45" t="str">
        <f>"55,0"</f>
        <v>55,0</v>
      </c>
      <c r="L26" s="38" t="str">
        <f>"38,8905"</f>
        <v>38,8905</v>
      </c>
      <c r="M26" s="36"/>
    </row>
    <row r="27" spans="1:13">
      <c r="A27" s="39" t="s">
        <v>257</v>
      </c>
      <c r="B27" s="36" t="s">
        <v>134</v>
      </c>
      <c r="C27" s="36" t="s">
        <v>111</v>
      </c>
      <c r="D27" s="36" t="s">
        <v>330</v>
      </c>
      <c r="E27" s="37" t="s">
        <v>386</v>
      </c>
      <c r="F27" s="36" t="s">
        <v>374</v>
      </c>
      <c r="G27" s="40" t="s">
        <v>16</v>
      </c>
      <c r="H27" s="40" t="s">
        <v>13</v>
      </c>
      <c r="I27" s="40" t="s">
        <v>100</v>
      </c>
      <c r="J27" s="39"/>
      <c r="K27" s="45" t="str">
        <f>"55,0"</f>
        <v>55,0</v>
      </c>
      <c r="L27" s="38" t="str">
        <f>"38,7283"</f>
        <v>38,7283</v>
      </c>
      <c r="M27" s="36"/>
    </row>
    <row r="28" spans="1:13">
      <c r="A28" s="39" t="s">
        <v>75</v>
      </c>
      <c r="B28" s="36" t="s">
        <v>261</v>
      </c>
      <c r="C28" s="36" t="s">
        <v>201</v>
      </c>
      <c r="D28" s="36" t="s">
        <v>202</v>
      </c>
      <c r="E28" s="37" t="s">
        <v>388</v>
      </c>
      <c r="F28" s="36" t="s">
        <v>374</v>
      </c>
      <c r="G28" s="40" t="s">
        <v>13</v>
      </c>
      <c r="H28" s="40" t="s">
        <v>100</v>
      </c>
      <c r="I28" s="41" t="s">
        <v>174</v>
      </c>
      <c r="J28" s="39"/>
      <c r="K28" s="45" t="str">
        <f>"55,0"</f>
        <v>55,0</v>
      </c>
      <c r="L28" s="38" t="str">
        <f>"38,6322"</f>
        <v>38,6322</v>
      </c>
      <c r="M28" s="36"/>
    </row>
    <row r="29" spans="1:13">
      <c r="A29" s="35" t="s">
        <v>165</v>
      </c>
      <c r="B29" s="13" t="s">
        <v>339</v>
      </c>
      <c r="C29" s="13" t="s">
        <v>349</v>
      </c>
      <c r="D29" s="13" t="s">
        <v>198</v>
      </c>
      <c r="E29" s="14" t="s">
        <v>388</v>
      </c>
      <c r="F29" s="13" t="s">
        <v>374</v>
      </c>
      <c r="G29" s="34" t="s">
        <v>323</v>
      </c>
      <c r="H29" s="34" t="s">
        <v>16</v>
      </c>
      <c r="I29" s="33" t="s">
        <v>13</v>
      </c>
      <c r="J29" s="35"/>
      <c r="K29" s="43" t="str">
        <f>"45,0"</f>
        <v>45,0</v>
      </c>
      <c r="L29" s="15" t="str">
        <f>"31,2946"</f>
        <v>31,2946</v>
      </c>
      <c r="M29" s="13"/>
    </row>
    <row r="31" spans="1:13" ht="16">
      <c r="A31" s="61" t="s">
        <v>141</v>
      </c>
      <c r="B31" s="61"/>
      <c r="C31" s="62"/>
      <c r="D31" s="62"/>
      <c r="E31" s="62"/>
      <c r="F31" s="62"/>
      <c r="G31" s="62"/>
      <c r="H31" s="62"/>
      <c r="I31" s="62"/>
      <c r="J31" s="62"/>
    </row>
    <row r="32" spans="1:13">
      <c r="A32" s="32" t="s">
        <v>75</v>
      </c>
      <c r="B32" s="10" t="s">
        <v>340</v>
      </c>
      <c r="C32" s="10" t="s">
        <v>350</v>
      </c>
      <c r="D32" s="10" t="s">
        <v>331</v>
      </c>
      <c r="E32" s="11" t="s">
        <v>387</v>
      </c>
      <c r="F32" s="10" t="s">
        <v>374</v>
      </c>
      <c r="G32" s="31" t="s">
        <v>16</v>
      </c>
      <c r="H32" s="31" t="s">
        <v>17</v>
      </c>
      <c r="I32" s="31" t="s">
        <v>13</v>
      </c>
      <c r="J32" s="32"/>
      <c r="K32" s="42" t="str">
        <f>"50,0"</f>
        <v>50,0</v>
      </c>
      <c r="L32" s="12" t="str">
        <f>"33,9975"</f>
        <v>33,9975</v>
      </c>
      <c r="M32" s="10"/>
    </row>
    <row r="33" spans="1:13">
      <c r="A33" s="39" t="s">
        <v>75</v>
      </c>
      <c r="B33" s="36" t="s">
        <v>266</v>
      </c>
      <c r="C33" s="36" t="s">
        <v>214</v>
      </c>
      <c r="D33" s="36" t="s">
        <v>215</v>
      </c>
      <c r="E33" s="37" t="s">
        <v>386</v>
      </c>
      <c r="F33" s="36" t="s">
        <v>374</v>
      </c>
      <c r="G33" s="40" t="s">
        <v>14</v>
      </c>
      <c r="H33" s="40" t="s">
        <v>18</v>
      </c>
      <c r="I33" s="40" t="s">
        <v>93</v>
      </c>
      <c r="J33" s="39"/>
      <c r="K33" s="45" t="str">
        <f>"65,0"</f>
        <v>65,0</v>
      </c>
      <c r="L33" s="38" t="str">
        <f>"42,2337"</f>
        <v>42,2337</v>
      </c>
      <c r="M33" s="36"/>
    </row>
    <row r="34" spans="1:13">
      <c r="A34" s="39" t="s">
        <v>165</v>
      </c>
      <c r="B34" s="36" t="s">
        <v>263</v>
      </c>
      <c r="C34" s="36" t="s">
        <v>206</v>
      </c>
      <c r="D34" s="36" t="s">
        <v>207</v>
      </c>
      <c r="E34" s="37" t="s">
        <v>386</v>
      </c>
      <c r="F34" s="36" t="s">
        <v>381</v>
      </c>
      <c r="G34" s="40" t="s">
        <v>15</v>
      </c>
      <c r="H34" s="40" t="s">
        <v>90</v>
      </c>
      <c r="I34" s="40" t="s">
        <v>18</v>
      </c>
      <c r="J34" s="39"/>
      <c r="K34" s="45" t="str">
        <f>"62,5"</f>
        <v>62,5</v>
      </c>
      <c r="L34" s="38" t="str">
        <f>"41,3969"</f>
        <v>41,3969</v>
      </c>
      <c r="M34" s="36"/>
    </row>
    <row r="35" spans="1:13">
      <c r="A35" s="39" t="s">
        <v>255</v>
      </c>
      <c r="B35" s="36" t="s">
        <v>341</v>
      </c>
      <c r="C35" s="36" t="s">
        <v>332</v>
      </c>
      <c r="D35" s="36" t="s">
        <v>333</v>
      </c>
      <c r="E35" s="37" t="s">
        <v>386</v>
      </c>
      <c r="F35" s="36" t="s">
        <v>374</v>
      </c>
      <c r="G35" s="40" t="s">
        <v>100</v>
      </c>
      <c r="H35" s="40" t="s">
        <v>14</v>
      </c>
      <c r="I35" s="41" t="s">
        <v>93</v>
      </c>
      <c r="J35" s="39"/>
      <c r="K35" s="45" t="str">
        <f>"60,0"</f>
        <v>60,0</v>
      </c>
      <c r="L35" s="38" t="str">
        <f>"39,7050"</f>
        <v>39,7050</v>
      </c>
      <c r="M35" s="36"/>
    </row>
    <row r="36" spans="1:13">
      <c r="A36" s="35" t="s">
        <v>75</v>
      </c>
      <c r="B36" s="13" t="s">
        <v>265</v>
      </c>
      <c r="C36" s="13" t="s">
        <v>216</v>
      </c>
      <c r="D36" s="13" t="s">
        <v>213</v>
      </c>
      <c r="E36" s="14" t="s">
        <v>388</v>
      </c>
      <c r="F36" s="13" t="s">
        <v>374</v>
      </c>
      <c r="G36" s="34" t="s">
        <v>13</v>
      </c>
      <c r="H36" s="34" t="s">
        <v>100</v>
      </c>
      <c r="I36" s="34" t="s">
        <v>14</v>
      </c>
      <c r="J36" s="35"/>
      <c r="K36" s="43" t="str">
        <f>"60,0"</f>
        <v>60,0</v>
      </c>
      <c r="L36" s="15" t="str">
        <f>"39,4680"</f>
        <v>39,4680</v>
      </c>
      <c r="M36" s="13"/>
    </row>
    <row r="38" spans="1:13" ht="16">
      <c r="A38" s="61" t="s">
        <v>30</v>
      </c>
      <c r="B38" s="61"/>
      <c r="C38" s="62"/>
      <c r="D38" s="62"/>
      <c r="E38" s="62"/>
      <c r="F38" s="62"/>
      <c r="G38" s="62"/>
      <c r="H38" s="62"/>
      <c r="I38" s="62"/>
      <c r="J38" s="62"/>
    </row>
    <row r="39" spans="1:13">
      <c r="A39" s="32" t="s">
        <v>128</v>
      </c>
      <c r="B39" s="10" t="s">
        <v>342</v>
      </c>
      <c r="C39" s="10" t="s">
        <v>351</v>
      </c>
      <c r="D39" s="10" t="s">
        <v>334</v>
      </c>
      <c r="E39" s="11" t="s">
        <v>385</v>
      </c>
      <c r="F39" s="10" t="s">
        <v>374</v>
      </c>
      <c r="G39" s="30" t="s">
        <v>16</v>
      </c>
      <c r="H39" s="32"/>
      <c r="I39" s="32"/>
      <c r="J39" s="32"/>
      <c r="K39" s="42">
        <v>0</v>
      </c>
      <c r="L39" s="12" t="str">
        <f>"0,0000"</f>
        <v>0,0000</v>
      </c>
      <c r="M39" s="10"/>
    </row>
    <row r="40" spans="1:13">
      <c r="A40" s="35" t="s">
        <v>75</v>
      </c>
      <c r="B40" s="13" t="s">
        <v>270</v>
      </c>
      <c r="C40" s="13" t="s">
        <v>223</v>
      </c>
      <c r="D40" s="13" t="s">
        <v>224</v>
      </c>
      <c r="E40" s="14" t="s">
        <v>386</v>
      </c>
      <c r="F40" s="13" t="s">
        <v>374</v>
      </c>
      <c r="G40" s="34" t="s">
        <v>13</v>
      </c>
      <c r="H40" s="34" t="s">
        <v>100</v>
      </c>
      <c r="I40" s="33" t="s">
        <v>14</v>
      </c>
      <c r="J40" s="35"/>
      <c r="K40" s="43" t="str">
        <f>"55,0"</f>
        <v>55,0</v>
      </c>
      <c r="L40" s="15" t="str">
        <f>"33,8002"</f>
        <v>33,8002</v>
      </c>
      <c r="M40" s="13"/>
    </row>
    <row r="42" spans="1:13" ht="16">
      <c r="A42" s="61" t="s">
        <v>40</v>
      </c>
      <c r="B42" s="61"/>
      <c r="C42" s="62"/>
      <c r="D42" s="62"/>
      <c r="E42" s="62"/>
      <c r="F42" s="62"/>
      <c r="G42" s="62"/>
      <c r="H42" s="62"/>
      <c r="I42" s="62"/>
      <c r="J42" s="62"/>
    </row>
    <row r="43" spans="1:13">
      <c r="A43" s="29" t="s">
        <v>75</v>
      </c>
      <c r="B43" s="7" t="s">
        <v>274</v>
      </c>
      <c r="C43" s="7" t="s">
        <v>234</v>
      </c>
      <c r="D43" s="7" t="s">
        <v>235</v>
      </c>
      <c r="E43" s="8" t="s">
        <v>386</v>
      </c>
      <c r="F43" s="7" t="s">
        <v>382</v>
      </c>
      <c r="G43" s="28" t="s">
        <v>13</v>
      </c>
      <c r="H43" s="27" t="s">
        <v>174</v>
      </c>
      <c r="I43" s="28" t="s">
        <v>93</v>
      </c>
      <c r="J43" s="29"/>
      <c r="K43" s="44" t="str">
        <f>"57,5"</f>
        <v>57,5</v>
      </c>
      <c r="L43" s="9" t="str">
        <f>"34,3677"</f>
        <v>34,3677</v>
      </c>
      <c r="M43" s="7"/>
    </row>
    <row r="45" spans="1:13" ht="16">
      <c r="A45" s="61" t="s">
        <v>47</v>
      </c>
      <c r="B45" s="61"/>
      <c r="C45" s="62"/>
      <c r="D45" s="62"/>
      <c r="E45" s="62"/>
      <c r="F45" s="62"/>
      <c r="G45" s="62"/>
      <c r="H45" s="62"/>
      <c r="I45" s="62"/>
      <c r="J45" s="62"/>
    </row>
    <row r="46" spans="1:13">
      <c r="A46" s="29" t="s">
        <v>75</v>
      </c>
      <c r="B46" s="7" t="s">
        <v>137</v>
      </c>
      <c r="C46" s="7" t="s">
        <v>123</v>
      </c>
      <c r="D46" s="7" t="s">
        <v>124</v>
      </c>
      <c r="E46" s="8" t="s">
        <v>386</v>
      </c>
      <c r="F46" s="7" t="s">
        <v>374</v>
      </c>
      <c r="G46" s="28" t="s">
        <v>14</v>
      </c>
      <c r="H46" s="27" t="s">
        <v>14</v>
      </c>
      <c r="I46" s="27" t="s">
        <v>93</v>
      </c>
      <c r="J46" s="29"/>
      <c r="K46" s="44" t="str">
        <f>"65,0"</f>
        <v>65,0</v>
      </c>
      <c r="L46" s="9" t="str">
        <f>"37,0207"</f>
        <v>37,0207</v>
      </c>
      <c r="M46" s="7"/>
    </row>
    <row r="48" spans="1:13" ht="16">
      <c r="F48" s="17"/>
      <c r="G48" s="5"/>
      <c r="M48" s="6"/>
    </row>
    <row r="49" spans="2:13">
      <c r="G49" s="5"/>
      <c r="M49" s="6"/>
    </row>
    <row r="50" spans="2:13" ht="18">
      <c r="B50" s="18" t="s">
        <v>65</v>
      </c>
      <c r="C50" s="18"/>
      <c r="G50" s="3"/>
      <c r="M50" s="6"/>
    </row>
    <row r="51" spans="2:13" ht="16">
      <c r="B51" s="19" t="s">
        <v>66</v>
      </c>
      <c r="C51" s="19"/>
      <c r="G51" s="3"/>
      <c r="M51" s="6"/>
    </row>
    <row r="52" spans="2:13" ht="14">
      <c r="B52" s="20"/>
      <c r="C52" s="21" t="s">
        <v>67</v>
      </c>
      <c r="G52" s="3"/>
      <c r="M52" s="6"/>
    </row>
    <row r="53" spans="2:13" ht="14">
      <c r="B53" s="22" t="s">
        <v>68</v>
      </c>
      <c r="C53" s="22" t="s">
        <v>69</v>
      </c>
      <c r="D53" s="22" t="s">
        <v>367</v>
      </c>
      <c r="E53" s="23" t="s">
        <v>159</v>
      </c>
      <c r="F53" s="22" t="s">
        <v>284</v>
      </c>
      <c r="G53" s="3"/>
      <c r="M53" s="6"/>
    </row>
    <row r="54" spans="2:13">
      <c r="B54" s="5" t="s">
        <v>107</v>
      </c>
      <c r="C54" s="5" t="s">
        <v>352</v>
      </c>
      <c r="D54" s="25" t="s">
        <v>126</v>
      </c>
      <c r="E54" s="26">
        <v>65</v>
      </c>
      <c r="F54" s="24">
        <v>45.672250688075998</v>
      </c>
      <c r="G54" s="3"/>
      <c r="M54" s="6"/>
    </row>
    <row r="55" spans="2:13">
      <c r="B55" s="5" t="s">
        <v>327</v>
      </c>
      <c r="C55" s="5" t="s">
        <v>352</v>
      </c>
      <c r="D55" s="25" t="s">
        <v>126</v>
      </c>
      <c r="E55" s="26">
        <v>62.5</v>
      </c>
      <c r="F55" s="24">
        <v>45.3906245529652</v>
      </c>
      <c r="G55" s="3"/>
      <c r="M55" s="6"/>
    </row>
    <row r="56" spans="2:13">
      <c r="B56" s="5" t="s">
        <v>324</v>
      </c>
      <c r="C56" s="5" t="s">
        <v>352</v>
      </c>
      <c r="D56" s="25" t="s">
        <v>71</v>
      </c>
      <c r="E56" s="26">
        <v>45</v>
      </c>
      <c r="F56" s="24">
        <v>35.284499824047103</v>
      </c>
      <c r="G56" s="3"/>
      <c r="M56" s="6"/>
    </row>
    <row r="57" spans="2:13">
      <c r="E57" s="5"/>
      <c r="F57" s="16"/>
      <c r="G57" s="5"/>
      <c r="M57" s="6"/>
    </row>
    <row r="58" spans="2:13">
      <c r="E58" s="5"/>
      <c r="F58" s="16"/>
      <c r="G58" s="5"/>
      <c r="M58" s="6"/>
    </row>
  </sheetData>
  <mergeCells count="21">
    <mergeCell ref="A38:J38"/>
    <mergeCell ref="A42:J42"/>
    <mergeCell ref="A45:J45"/>
    <mergeCell ref="B3:B4"/>
    <mergeCell ref="A8:J8"/>
    <mergeCell ref="A11:J11"/>
    <mergeCell ref="A14:J14"/>
    <mergeCell ref="A17:J17"/>
    <mergeCell ref="A20:J20"/>
    <mergeCell ref="A31:J31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WRPF ПЛ без экипировки ДК</vt:lpstr>
      <vt:lpstr>WRPF ПЛ без экипировки</vt:lpstr>
      <vt:lpstr>WRPF Жим лежа без экип ДК</vt:lpstr>
      <vt:lpstr>WRPF Жим лежа без экип</vt:lpstr>
      <vt:lpstr>WEPF Жим софт многопетельнаяДК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2023-11-30T10:10:02Z</dcterms:modified>
</cp:coreProperties>
</file>