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Ноябрь/"/>
    </mc:Choice>
  </mc:AlternateContent>
  <xr:revisionPtr revIDLastSave="0" documentId="13_ncr:1_{C40E8DAD-578A-9C43-8A0D-BAFE78DE7A1A}" xr6:coauthVersionLast="45" xr6:coauthVersionMax="45" xr10:uidLastSave="{00000000-0000-0000-0000-000000000000}"/>
  <bookViews>
    <workbookView xWindow="0" yWindow="460" windowWidth="28280" windowHeight="15780" firstSheet="8" activeTab="13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 ДК" sheetId="6" r:id="rId3"/>
    <sheet name="WRPF ПЛ в бинтах" sheetId="5" r:id="rId4"/>
    <sheet name="WRPF Двоеборье без экип ДК" sheetId="30" r:id="rId5"/>
    <sheet name="WRPF Двоеборье без экип" sheetId="29" r:id="rId6"/>
    <sheet name="WRPF Жим лежа без экип ДК" sheetId="16" r:id="rId7"/>
    <sheet name="WRPF Жим лежа без экип" sheetId="15" r:id="rId8"/>
    <sheet name="WRPF Тяга без экипировки ДК" sheetId="26" r:id="rId9"/>
    <sheet name="WRPF Тяга без экипировки" sheetId="25" r:id="rId10"/>
    <sheet name="WRPF Подъем на бицепс ДК" sheetId="32" r:id="rId11"/>
    <sheet name="WRPF Подъем на бицепс" sheetId="31" r:id="rId12"/>
    <sheet name="СПР Подъем на бицепс ДК" sheetId="38" r:id="rId13"/>
    <sheet name="СПР Подъем на бицепс" sheetId="37" r:id="rId14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38" l="1"/>
  <c r="K7" i="38"/>
  <c r="L6" i="38"/>
  <c r="K6" i="38"/>
  <c r="L6" i="37"/>
  <c r="K6" i="37"/>
  <c r="L19" i="32"/>
  <c r="K19" i="32"/>
  <c r="L16" i="32"/>
  <c r="K16" i="32"/>
  <c r="L13" i="32"/>
  <c r="K13" i="32"/>
  <c r="L12" i="32"/>
  <c r="K12" i="32"/>
  <c r="L11" i="32"/>
  <c r="K11" i="32"/>
  <c r="L10" i="32"/>
  <c r="K10" i="32"/>
  <c r="L9" i="32"/>
  <c r="K9" i="32"/>
  <c r="L6" i="32"/>
  <c r="K6" i="32"/>
  <c r="L28" i="31"/>
  <c r="K28" i="31"/>
  <c r="L25" i="31"/>
  <c r="K25" i="31"/>
  <c r="L22" i="31"/>
  <c r="K22" i="31"/>
  <c r="L19" i="31"/>
  <c r="K19" i="31"/>
  <c r="L16" i="31"/>
  <c r="K16" i="31"/>
  <c r="L13" i="31"/>
  <c r="K13" i="31"/>
  <c r="L12" i="31"/>
  <c r="K12" i="31"/>
  <c r="L9" i="31"/>
  <c r="K9" i="31"/>
  <c r="L6" i="31"/>
  <c r="K6" i="31"/>
  <c r="P9" i="30"/>
  <c r="O9" i="30"/>
  <c r="P6" i="30"/>
  <c r="O6" i="30"/>
  <c r="P6" i="29"/>
  <c r="O6" i="29"/>
  <c r="L15" i="26"/>
  <c r="K15" i="26"/>
  <c r="L12" i="26"/>
  <c r="K12" i="26"/>
  <c r="L9" i="26"/>
  <c r="K9" i="26"/>
  <c r="L6" i="26"/>
  <c r="K6" i="26"/>
  <c r="L17" i="25"/>
  <c r="K17" i="25"/>
  <c r="L14" i="25"/>
  <c r="K14" i="25"/>
  <c r="L11" i="25"/>
  <c r="K11" i="25"/>
  <c r="L8" i="25"/>
  <c r="K8" i="25"/>
  <c r="L7" i="25"/>
  <c r="K7" i="25"/>
  <c r="L6" i="25"/>
  <c r="K6" i="25"/>
  <c r="L37" i="16"/>
  <c r="K37" i="16"/>
  <c r="L36" i="16"/>
  <c r="K36" i="16"/>
  <c r="L33" i="16"/>
  <c r="K33" i="16"/>
  <c r="L32" i="16"/>
  <c r="K32" i="16"/>
  <c r="L31" i="16"/>
  <c r="K31" i="16"/>
  <c r="L28" i="16"/>
  <c r="K28" i="16"/>
  <c r="L27" i="16"/>
  <c r="K27" i="16"/>
  <c r="L26" i="16"/>
  <c r="K26" i="16"/>
  <c r="L23" i="16"/>
  <c r="K23" i="16"/>
  <c r="L22" i="16"/>
  <c r="L19" i="16"/>
  <c r="K19" i="16"/>
  <c r="L18" i="16"/>
  <c r="K18" i="16"/>
  <c r="L17" i="16"/>
  <c r="K17" i="16"/>
  <c r="L16" i="16"/>
  <c r="K16" i="16"/>
  <c r="L13" i="16"/>
  <c r="K13" i="16"/>
  <c r="L10" i="16"/>
  <c r="L7" i="16"/>
  <c r="K7" i="16"/>
  <c r="L6" i="16"/>
  <c r="K6" i="16"/>
  <c r="L30" i="15"/>
  <c r="K30" i="15"/>
  <c r="L27" i="15"/>
  <c r="K27" i="15"/>
  <c r="L26" i="15"/>
  <c r="K26" i="15"/>
  <c r="L23" i="15"/>
  <c r="K23" i="15"/>
  <c r="L22" i="15"/>
  <c r="K22" i="15"/>
  <c r="L19" i="15"/>
  <c r="K19" i="15"/>
  <c r="L18" i="15"/>
  <c r="K18" i="15"/>
  <c r="L15" i="15"/>
  <c r="K15" i="15"/>
  <c r="L12" i="15"/>
  <c r="K12" i="15"/>
  <c r="L9" i="15"/>
  <c r="K9" i="15"/>
  <c r="L6" i="15"/>
  <c r="K6" i="15"/>
  <c r="T26" i="10"/>
  <c r="S26" i="10"/>
  <c r="T25" i="10"/>
  <c r="S25" i="10"/>
  <c r="T24" i="10"/>
  <c r="S24" i="10"/>
  <c r="T21" i="10"/>
  <c r="S21" i="10"/>
  <c r="T20" i="10"/>
  <c r="S20" i="10"/>
  <c r="T19" i="10"/>
  <c r="S19" i="10"/>
  <c r="T16" i="10"/>
  <c r="S16" i="10"/>
  <c r="T13" i="10"/>
  <c r="S13" i="10"/>
  <c r="T12" i="10"/>
  <c r="S12" i="10"/>
  <c r="T9" i="10"/>
  <c r="S9" i="10"/>
  <c r="T6" i="10"/>
  <c r="S6" i="10"/>
  <c r="T18" i="9"/>
  <c r="S18" i="9"/>
  <c r="T15" i="9"/>
  <c r="S15" i="9"/>
  <c r="T12" i="9"/>
  <c r="S12" i="9"/>
  <c r="T9" i="9"/>
  <c r="S9" i="9"/>
  <c r="T6" i="9"/>
  <c r="T6" i="6"/>
  <c r="S6" i="6"/>
  <c r="T17" i="5"/>
  <c r="S17" i="5"/>
  <c r="T16" i="5"/>
  <c r="S16" i="5"/>
  <c r="T13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<sst xmlns="http://schemas.openxmlformats.org/spreadsheetml/2006/main" count="1240" uniqueCount="413">
  <si>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</si>
  <si>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</si>
  <si>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</si>
  <si>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</si>
  <si>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</si>
  <si>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</si>
  <si>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</si>
  <si>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</si>
  <si>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</si>
  <si>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</si>
  <si>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82.5</t>
  </si>
  <si>
    <t>Открытая (15.02.1991)/32</t>
  </si>
  <si>
    <t>80,40</t>
  </si>
  <si>
    <t>140,0</t>
  </si>
  <si>
    <t>150,0</t>
  </si>
  <si>
    <t>80,0</t>
  </si>
  <si>
    <t>85,0</t>
  </si>
  <si>
    <t>90,0</t>
  </si>
  <si>
    <t>180,0</t>
  </si>
  <si>
    <t>195,0</t>
  </si>
  <si>
    <t>202,5</t>
  </si>
  <si>
    <t>ВЕСОВАЯ КАТЕГОРИЯ   90</t>
  </si>
  <si>
    <t xml:space="preserve">Менщиков Сергей </t>
  </si>
  <si>
    <t>Открытая (18.08.1986)/37</t>
  </si>
  <si>
    <t>89,10</t>
  </si>
  <si>
    <t>250,0</t>
  </si>
  <si>
    <t>260,0</t>
  </si>
  <si>
    <t>270,0</t>
  </si>
  <si>
    <t>160,0</t>
  </si>
  <si>
    <t xml:space="preserve">Обухов Филипп </t>
  </si>
  <si>
    <t xml:space="preserve">Сабашников Иван </t>
  </si>
  <si>
    <t>Открытая (12.11.1993)/29</t>
  </si>
  <si>
    <t>85,40</t>
  </si>
  <si>
    <t>220,0</t>
  </si>
  <si>
    <t>230,0</t>
  </si>
  <si>
    <t>240,0</t>
  </si>
  <si>
    <t>132,5</t>
  </si>
  <si>
    <t>137,5</t>
  </si>
  <si>
    <t>217,5</t>
  </si>
  <si>
    <t>227,5</t>
  </si>
  <si>
    <t>232,5</t>
  </si>
  <si>
    <t>ВЕСОВАЯ КАТЕГОРИЯ   100</t>
  </si>
  <si>
    <t>Открытая (12.08.1981)/42</t>
  </si>
  <si>
    <t>98,30</t>
  </si>
  <si>
    <t>170,0</t>
  </si>
  <si>
    <t>ВЕСОВАЯ КАТЕГОРИЯ   110</t>
  </si>
  <si>
    <t xml:space="preserve">Караваев Артем </t>
  </si>
  <si>
    <t>Открытая (07.09.1995)/28</t>
  </si>
  <si>
    <t>107,90</t>
  </si>
  <si>
    <t>285,0</t>
  </si>
  <si>
    <t>295,0</t>
  </si>
  <si>
    <t>185,0</t>
  </si>
  <si>
    <t>280,0</t>
  </si>
  <si>
    <t>290,0</t>
  </si>
  <si>
    <t>Открытая (06.02.1993)/30</t>
  </si>
  <si>
    <t>109,30</t>
  </si>
  <si>
    <t>147,5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</si>
  <si>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</si>
  <si>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</si>
  <si>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</si>
  <si>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</si>
  <si>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</si>
  <si>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</si>
  <si>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</si>
  <si>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110</t>
  </si>
  <si>
    <t>90</t>
  </si>
  <si>
    <t>1</t>
  </si>
  <si>
    <t>Мамаев Денис</t>
  </si>
  <si>
    <t>Менщиков Сергей</t>
  </si>
  <si>
    <t>2</t>
  </si>
  <si>
    <t>Сабашников Иван</t>
  </si>
  <si>
    <t>-</t>
  </si>
  <si>
    <t>Борняков Дмитрий</t>
  </si>
  <si>
    <t>Караваев Артем</t>
  </si>
  <si>
    <t>Чуркаев Евграф</t>
  </si>
  <si>
    <t>ВЕСОВАЯ КАТЕГОРИЯ   125</t>
  </si>
  <si>
    <t>Открытая (09.05.1994)/29</t>
  </si>
  <si>
    <t>119,80</t>
  </si>
  <si>
    <t>235,0</t>
  </si>
  <si>
    <t>130,0</t>
  </si>
  <si>
    <t>210,0</t>
  </si>
  <si>
    <t>Эсаулов Евгений</t>
  </si>
  <si>
    <t>ВЕСОВАЯ КАТЕГОРИЯ   67.5</t>
  </si>
  <si>
    <t>Открытая (01.12.1992)/30</t>
  </si>
  <si>
    <t>67,00</t>
  </si>
  <si>
    <t>92,5</t>
  </si>
  <si>
    <t>95,0</t>
  </si>
  <si>
    <t>55,0</t>
  </si>
  <si>
    <t>57,5</t>
  </si>
  <si>
    <t>100,0</t>
  </si>
  <si>
    <t xml:space="preserve">Пономарев Дмитрий </t>
  </si>
  <si>
    <t>Открытая (21.06.1999)/24</t>
  </si>
  <si>
    <t>84,00</t>
  </si>
  <si>
    <t>110,0</t>
  </si>
  <si>
    <t>65,0</t>
  </si>
  <si>
    <t>105,0</t>
  </si>
  <si>
    <t xml:space="preserve">Зяблицев Андрей </t>
  </si>
  <si>
    <t>Открытая (21.11.1995)/27</t>
  </si>
  <si>
    <t>81,10</t>
  </si>
  <si>
    <t>155,0</t>
  </si>
  <si>
    <t>165,0</t>
  </si>
  <si>
    <t>115,0</t>
  </si>
  <si>
    <t>200,0</t>
  </si>
  <si>
    <t xml:space="preserve">Лаптев Константин </t>
  </si>
  <si>
    <t>Открытая (21.12.1993)/29</t>
  </si>
  <si>
    <t>89,80</t>
  </si>
  <si>
    <t>205,0</t>
  </si>
  <si>
    <t>135,0</t>
  </si>
  <si>
    <t>145,0</t>
  </si>
  <si>
    <t>225,0</t>
  </si>
  <si>
    <t>245,0</t>
  </si>
  <si>
    <t xml:space="preserve">Чепурных Роман </t>
  </si>
  <si>
    <t>Открытая (09.06.1992)/31</t>
  </si>
  <si>
    <t>99,50</t>
  </si>
  <si>
    <t>100</t>
  </si>
  <si>
    <t>82.5</t>
  </si>
  <si>
    <t>Велегжанина Яна</t>
  </si>
  <si>
    <t>Тиховская Юлия</t>
  </si>
  <si>
    <t>Пономарев Дмитрий</t>
  </si>
  <si>
    <t>Лаптев Константин</t>
  </si>
  <si>
    <t>Чепурных Роман</t>
  </si>
  <si>
    <t>ВЕСОВАЯ КАТЕГОРИЯ   52</t>
  </si>
  <si>
    <t>Открытая (14.09.1993)/30</t>
  </si>
  <si>
    <t>50,30</t>
  </si>
  <si>
    <t>75,0</t>
  </si>
  <si>
    <t>47,5</t>
  </si>
  <si>
    <t>50,0</t>
  </si>
  <si>
    <t>117,5</t>
  </si>
  <si>
    <t>ВЕСОВАЯ КАТЕГОРИЯ   60</t>
  </si>
  <si>
    <t>Открытая (27.11.1990)/32</t>
  </si>
  <si>
    <t>59,80</t>
  </si>
  <si>
    <t>70,0</t>
  </si>
  <si>
    <t>37,5</t>
  </si>
  <si>
    <t>40,0</t>
  </si>
  <si>
    <t>42,5</t>
  </si>
  <si>
    <t>Открытая (18.01.1995)/28</t>
  </si>
  <si>
    <t>66,30</t>
  </si>
  <si>
    <t>52,5</t>
  </si>
  <si>
    <t>120,0</t>
  </si>
  <si>
    <t>125,0</t>
  </si>
  <si>
    <t>Открытая (05.09.1989)/34</t>
  </si>
  <si>
    <t>62,70</t>
  </si>
  <si>
    <t>102,5</t>
  </si>
  <si>
    <t>60,0</t>
  </si>
  <si>
    <t xml:space="preserve">Караваев Роман </t>
  </si>
  <si>
    <t>Открытая (22.03.1987)/36</t>
  </si>
  <si>
    <t>66,70</t>
  </si>
  <si>
    <t>ВЕСОВАЯ КАТЕГОРИЯ   75</t>
  </si>
  <si>
    <t>Юноши 17-19 (02.09.2006)/17</t>
  </si>
  <si>
    <t>73,30</t>
  </si>
  <si>
    <t>Юниоры (09.11.2003)/20</t>
  </si>
  <si>
    <t>242,5</t>
  </si>
  <si>
    <t>Открытая (29.05.1995)/28</t>
  </si>
  <si>
    <t>74,40</t>
  </si>
  <si>
    <t>175,0</t>
  </si>
  <si>
    <t>Открытая (09.10.1994)/29</t>
  </si>
  <si>
    <t>82,30</t>
  </si>
  <si>
    <t>215,0</t>
  </si>
  <si>
    <t xml:space="preserve">Кузнецов Роман </t>
  </si>
  <si>
    <t>Открытая (27.01.1987)/36</t>
  </si>
  <si>
    <t>82,50</t>
  </si>
  <si>
    <t>152,5</t>
  </si>
  <si>
    <t>157,5</t>
  </si>
  <si>
    <t>162,5</t>
  </si>
  <si>
    <t>107,5</t>
  </si>
  <si>
    <t>190,0</t>
  </si>
  <si>
    <t>197,5</t>
  </si>
  <si>
    <t>Открытая (14.07.1992)/31</t>
  </si>
  <si>
    <t>80,50</t>
  </si>
  <si>
    <t>112,5</t>
  </si>
  <si>
    <t>75</t>
  </si>
  <si>
    <t>Сабашникова Марина</t>
  </si>
  <si>
    <t>Поглазова Инесса</t>
  </si>
  <si>
    <t>Семеновых Анастасия</t>
  </si>
  <si>
    <t>Савицкая Наталья</t>
  </si>
  <si>
    <t>Леонтьев Андрей</t>
  </si>
  <si>
    <t>Уляшов Сергей</t>
  </si>
  <si>
    <t>Смирнов Андрей</t>
  </si>
  <si>
    <t>Окулов Андрей</t>
  </si>
  <si>
    <t>Братухин Дмитрий</t>
  </si>
  <si>
    <t>Самойлов Максим</t>
  </si>
  <si>
    <t>3</t>
  </si>
  <si>
    <t>Ердяков Роман</t>
  </si>
  <si>
    <t>Результат</t>
  </si>
  <si>
    <t>Открытая (06.07.1982)/41</t>
  </si>
  <si>
    <t>60,00</t>
  </si>
  <si>
    <t>82,5</t>
  </si>
  <si>
    <t xml:space="preserve">Дёмин Сергей </t>
  </si>
  <si>
    <t>Открытая (24.05.1984)/39</t>
  </si>
  <si>
    <t>74,30</t>
  </si>
  <si>
    <t>Мастера 60-69 (22.03.1963)/60</t>
  </si>
  <si>
    <t>76,20</t>
  </si>
  <si>
    <t>Мастера 50-59 (05.11.1973)/50</t>
  </si>
  <si>
    <t>90,00</t>
  </si>
  <si>
    <t>182,5</t>
  </si>
  <si>
    <t>187,5</t>
  </si>
  <si>
    <t>Открытая (16.02.1996)/27</t>
  </si>
  <si>
    <t>Открытая (01.03.1999)/24</t>
  </si>
  <si>
    <t>94,60</t>
  </si>
  <si>
    <t xml:space="preserve">Веселов Алексей </t>
  </si>
  <si>
    <t>Открытая (26.07.1966)/57</t>
  </si>
  <si>
    <t>105,10</t>
  </si>
  <si>
    <t>Открытая (04.11.1991)/32</t>
  </si>
  <si>
    <t>104,80</t>
  </si>
  <si>
    <t>167,5</t>
  </si>
  <si>
    <t>172,5</t>
  </si>
  <si>
    <t xml:space="preserve">Куимов Сергей </t>
  </si>
  <si>
    <t>Открытая (18.07.1968)/55</t>
  </si>
  <si>
    <t>123,30</t>
  </si>
  <si>
    <t>Мастера 40-49 (15.05.1983)/40</t>
  </si>
  <si>
    <t>118,80</t>
  </si>
  <si>
    <t>ВЕСОВАЯ КАТЕГОРИЯ   140</t>
  </si>
  <si>
    <t xml:space="preserve">Бронников Игорь </t>
  </si>
  <si>
    <t>Открытая (11.01.1975)/48</t>
  </si>
  <si>
    <t>134,90</t>
  </si>
  <si>
    <t>212,5</t>
  </si>
  <si>
    <t xml:space="preserve">Результат </t>
  </si>
  <si>
    <t>140</t>
  </si>
  <si>
    <t>Вшивцева Анастасия</t>
  </si>
  <si>
    <t>Дёмин Сергей</t>
  </si>
  <si>
    <t>Плюснин Олег</t>
  </si>
  <si>
    <t>Новокшенов Николай</t>
  </si>
  <si>
    <t>Ложкин Александр</t>
  </si>
  <si>
    <t>Петухов Андрей</t>
  </si>
  <si>
    <t>Веселов Алексей</t>
  </si>
  <si>
    <t>Веретенников Денис</t>
  </si>
  <si>
    <t>Leonov Pavel</t>
  </si>
  <si>
    <t>Шучалин Максим</t>
  </si>
  <si>
    <t>Бронников Игорь</t>
  </si>
  <si>
    <t>ВЕСОВАЯ КАТЕГОРИЯ   56</t>
  </si>
  <si>
    <t>Открытая (22.12.1990)/32</t>
  </si>
  <si>
    <t>55,70</t>
  </si>
  <si>
    <t>62,5</t>
  </si>
  <si>
    <t xml:space="preserve">Гущин Александр </t>
  </si>
  <si>
    <t>Открытая (29.12.1986)/36</t>
  </si>
  <si>
    <t>53,50</t>
  </si>
  <si>
    <t>45,0</t>
  </si>
  <si>
    <t>Открытая (17.06.1996)/27</t>
  </si>
  <si>
    <t>63,20</t>
  </si>
  <si>
    <t>Юноши 17-19 (23.02.2005)/18</t>
  </si>
  <si>
    <t>74,00</t>
  </si>
  <si>
    <t>97,5</t>
  </si>
  <si>
    <t xml:space="preserve">Буяновский Константин </t>
  </si>
  <si>
    <t>Открытая (04.03.1989)/34</t>
  </si>
  <si>
    <t>73,90</t>
  </si>
  <si>
    <t>142,5</t>
  </si>
  <si>
    <t>Открытая (11.08.1996)/27</t>
  </si>
  <si>
    <t>73,80</t>
  </si>
  <si>
    <t>127,5</t>
  </si>
  <si>
    <t>Открытая (02.09.2006)/17</t>
  </si>
  <si>
    <t>Открытая (11.03.1991)/32</t>
  </si>
  <si>
    <t>82,40</t>
  </si>
  <si>
    <t>Мастера 40-49 (19.10.1976)/47</t>
  </si>
  <si>
    <t>81,80</t>
  </si>
  <si>
    <t xml:space="preserve">Василенко Иван </t>
  </si>
  <si>
    <t>Открытая (20.06.1985)/38</t>
  </si>
  <si>
    <t>89,20</t>
  </si>
  <si>
    <t>Открытая (13.06.1992)/31</t>
  </si>
  <si>
    <t>88,70</t>
  </si>
  <si>
    <t>Мастера 40-49 (26.11.1982)/40</t>
  </si>
  <si>
    <t>89,90</t>
  </si>
  <si>
    <t>Открытая (11.07.1988)/35</t>
  </si>
  <si>
    <t>99,10</t>
  </si>
  <si>
    <t>Открытая (07.12.1991)/31</t>
  </si>
  <si>
    <t>97,20</t>
  </si>
  <si>
    <t>Мастера 40-49 (31.10.1975)/48</t>
  </si>
  <si>
    <t>93,10</t>
  </si>
  <si>
    <t xml:space="preserve">Нефедов Андрей </t>
  </si>
  <si>
    <t>Открытая (28.01.1974)/49</t>
  </si>
  <si>
    <t>130,10</t>
  </si>
  <si>
    <t>177,5</t>
  </si>
  <si>
    <t>Мастера 40-49 (28.01.1974)/49</t>
  </si>
  <si>
    <t>Мальщукова Екатерина</t>
  </si>
  <si>
    <t>Патова Юлия</t>
  </si>
  <si>
    <t>Бойко Юлия</t>
  </si>
  <si>
    <t>Савин Денис</t>
  </si>
  <si>
    <t>Буяновский Константин</t>
  </si>
  <si>
    <t>Окладников Дмитрий</t>
  </si>
  <si>
    <t>Кобелев Артем</t>
  </si>
  <si>
    <t>Пименов Денис</t>
  </si>
  <si>
    <t>Василенко Иван</t>
  </si>
  <si>
    <t>Еремин Алексей</t>
  </si>
  <si>
    <t>Филатов Роман</t>
  </si>
  <si>
    <t>Фомкин Павел</t>
  </si>
  <si>
    <t>Ельцов Сергей</t>
  </si>
  <si>
    <t>Вахидов Шухрат</t>
  </si>
  <si>
    <t>Нефедов Андрей</t>
  </si>
  <si>
    <t>Юноши 14-16 (02.05.2011)/12</t>
  </si>
  <si>
    <t>31,70</t>
  </si>
  <si>
    <t>Открытая (28.10.2011)/12</t>
  </si>
  <si>
    <t>41,00</t>
  </si>
  <si>
    <t>72,5</t>
  </si>
  <si>
    <t>Открытая (14.09.2011)/12</t>
  </si>
  <si>
    <t>34,70</t>
  </si>
  <si>
    <t>Юноши 14-16 (23.03.2007)/16</t>
  </si>
  <si>
    <t>55,90</t>
  </si>
  <si>
    <t>Юноши 14-16 (29.05.2007)/16</t>
  </si>
  <si>
    <t>68,70</t>
  </si>
  <si>
    <t>Шадрин Никита</t>
  </si>
  <si>
    <t>Анферов Илья</t>
  </si>
  <si>
    <t>Герасимов Илья</t>
  </si>
  <si>
    <t>Стрелков Антон</t>
  </si>
  <si>
    <t>Артемов Максим</t>
  </si>
  <si>
    <t>ВЕСОВАЯ КАТЕГОРИЯ   48</t>
  </si>
  <si>
    <t>Открытая (20.07.1988)/35</t>
  </si>
  <si>
    <t>46,60</t>
  </si>
  <si>
    <t>87,5</t>
  </si>
  <si>
    <t xml:space="preserve">Малиновский Сергей </t>
  </si>
  <si>
    <t>Открытая (20.02.1994)/29</t>
  </si>
  <si>
    <t>70,40</t>
  </si>
  <si>
    <t>Открытая (17.12.1989)/33</t>
  </si>
  <si>
    <t>86,40</t>
  </si>
  <si>
    <t>Шкиринец Ирина</t>
  </si>
  <si>
    <t>Соловьев Александр</t>
  </si>
  <si>
    <t>Воронов Дмитрий</t>
  </si>
  <si>
    <t>Подъем на бицепс</t>
  </si>
  <si>
    <t>47,40</t>
  </si>
  <si>
    <t>17,5</t>
  </si>
  <si>
    <t>23,0</t>
  </si>
  <si>
    <t xml:space="preserve">Тимкин Илья </t>
  </si>
  <si>
    <t>57,90</t>
  </si>
  <si>
    <t>15,0</t>
  </si>
  <si>
    <t>20,5</t>
  </si>
  <si>
    <t>46,10</t>
  </si>
  <si>
    <t>20,0</t>
  </si>
  <si>
    <t>22,5</t>
  </si>
  <si>
    <t>58,70</t>
  </si>
  <si>
    <t>27,5</t>
  </si>
  <si>
    <t>86,90</t>
  </si>
  <si>
    <t>Открытая (06.07.1996)/27</t>
  </si>
  <si>
    <t>109,20</t>
  </si>
  <si>
    <t>113,60</t>
  </si>
  <si>
    <t>Открытая (31.05.1996)/27</t>
  </si>
  <si>
    <t>133,00</t>
  </si>
  <si>
    <t>77,5</t>
  </si>
  <si>
    <t>Ефремова Элина</t>
  </si>
  <si>
    <t>Галкин Иван</t>
  </si>
  <si>
    <t>Бушков Кирилл</t>
  </si>
  <si>
    <t>Юферев Глеб</t>
  </si>
  <si>
    <t>Смирнов Артем</t>
  </si>
  <si>
    <t>Малиновский Сергей</t>
  </si>
  <si>
    <t>Зяблицев Андрей</t>
  </si>
  <si>
    <t>Пахтусов Семен</t>
  </si>
  <si>
    <t>49,00</t>
  </si>
  <si>
    <t>Открытая (28.07.1992)/31</t>
  </si>
  <si>
    <t>81,50</t>
  </si>
  <si>
    <t>Открытая (19.08.1987)/36</t>
  </si>
  <si>
    <t>77,70</t>
  </si>
  <si>
    <t>Открытая (01.01.1997)/26</t>
  </si>
  <si>
    <t>79,90</t>
  </si>
  <si>
    <t>Открытая (01.06.1988)/35</t>
  </si>
  <si>
    <t>88,20</t>
  </si>
  <si>
    <t>67,5</t>
  </si>
  <si>
    <t>Смоляков Ярослав</t>
  </si>
  <si>
    <t>Тимкин Илья</t>
  </si>
  <si>
    <t>Кузнецов Виталий</t>
  </si>
  <si>
    <t>4</t>
  </si>
  <si>
    <t>Пушин Аркадий</t>
  </si>
  <si>
    <t>Кислицын Денис</t>
  </si>
  <si>
    <t>Солодов Александр</t>
  </si>
  <si>
    <t>87,20</t>
  </si>
  <si>
    <t>Лысков Александр</t>
  </si>
  <si>
    <t>Фуфачева Софья</t>
  </si>
  <si>
    <t>Фадеев Дмитрий</t>
  </si>
  <si>
    <t>Юниоры 20-23 (02.12.2001)/21</t>
  </si>
  <si>
    <t>Юноши 13-19 (23.05.2010)/13</t>
  </si>
  <si>
    <t>Мастера 40-49 (28.12.1973)/49</t>
  </si>
  <si>
    <t>Девушки 13-19 (03.08.2005)/18</t>
  </si>
  <si>
    <t>Девушки 13-19 (25.08.2011)/12</t>
  </si>
  <si>
    <t>Юноши 13-19 (06.07.2012)/11</t>
  </si>
  <si>
    <t>Юноши 13-19 (16.11.2011)/11</t>
  </si>
  <si>
    <t>Юноши 13-19 (08.01.2011)/12</t>
  </si>
  <si>
    <t>Юноши 13-19 (11.10.2005)/18</t>
  </si>
  <si>
    <t>Мастера 40-49 (28.12.1978)/44</t>
  </si>
  <si>
    <t>Весовая категория</t>
  </si>
  <si>
    <t>Беларусь, Бобруйск</t>
  </si>
  <si>
    <t>Всероссийский мастерский турнир «Vyatka Gravity»
WRPF Пауэрлифтинг без экипировки ДК
Кировская область/Киров, 11-12 ноября 2023 года</t>
  </si>
  <si>
    <t>Всероссийский мастерский турнир «Vyatka Gravity»
WRPF Пауэрлифтинг без экипировки
Кировская область/Киров, 11-12 ноября 2023 года</t>
  </si>
  <si>
    <t>Всероссийский мастерский турнир «Vyatka Gravity»
WRPF Пауэрлифтинг классический в бинтах ДК
Кировская область/Киров, 11-12 ноября 2023 года</t>
  </si>
  <si>
    <t>Всероссийский мастерский турнир «Vyatka Gravity»
WRPF Пауэрлифтинг классический в бинтах
Кировская область/Киров, 11-12 ноября 2023 года</t>
  </si>
  <si>
    <t>Всероссийский мастерский турнир «Vyatka Gravity»
WRPF Силовое двоеборье без экипировки ДК
Кировская область/Киров, 11-12 ноября 2023 года</t>
  </si>
  <si>
    <t>Всероссийский мастерский турнир «Vyatka Gravity»
WRPF Силовое двоеборье без экипировки
Кировская область/Киров, 11-12 ноября 2023 года</t>
  </si>
  <si>
    <t>Всероссийский мастерский турнир «Vyatka Gravity»
WRPF Жим лежа без экипировки ДК
Кировская область/Киров, 11-12 ноября 2023 года</t>
  </si>
  <si>
    <t>Всероссийский мастерский турнир «Vyatka Gravity»
WRPF Жим лежа без экипировки
Кировская область/Киров, 11-12 ноября 2023 года</t>
  </si>
  <si>
    <t>Всероссийский мастерский турнир «Vyatka Gravity»
WRPF Становая тяга без экипировки ДК
Кировская область/Киров, 11-12 ноября 2023 года</t>
  </si>
  <si>
    <t>Всероссийский мастерский турнир «Vyatka Gravity»
WRPF Становая тяга без экипировки
Кировская область/Киров, 11-12 ноября 2023 года</t>
  </si>
  <si>
    <t>Всероссийский мастерский турнир «Vyatka Gravity»
WRPF Строгий подъем штанги на бицепс ДК
Кировская область/Киров, 11-12 ноября 2023 года</t>
  </si>
  <si>
    <t>Всероссийский мастерский турнир «Vyatka Gravity»
WRPF Строгий подъем штанги на бицепс
Кировская область/Киров, 11-12 ноября 2023 года</t>
  </si>
  <si>
    <t>Всероссийский мастерский турнир «Vyatka Gravity»
СПР Строгий подъем штанги на бицепс ДК
Кировская область/Киров, 11-12 ноября 2023 года</t>
  </si>
  <si>
    <t>Всероссийский мастерский турнир «Vyatka Gravity»
СПР Строгий подъем штанги на бицепс
Кировская область/Киров, 11-12 ноября 2023 года</t>
  </si>
  <si>
    <t>Испания, Валенсия, Аликанте</t>
  </si>
  <si>
    <t>№</t>
  </si>
  <si>
    <t xml:space="preserve">Кировская область, Киров </t>
  </si>
  <si>
    <t>Кировская область, Слободской</t>
  </si>
  <si>
    <t>Кировская область, Кирово-Чепецк</t>
  </si>
  <si>
    <t>Республика Коми, Ухта</t>
  </si>
  <si>
    <t>Кировская область, Уржум</t>
  </si>
  <si>
    <t>Удмуртская Республика, Ижевск</t>
  </si>
  <si>
    <t>Республика Коми, Сыктывкар</t>
  </si>
  <si>
    <t>Кировская область, Омутнинск</t>
  </si>
  <si>
    <t>Республика Коми, Воркута</t>
  </si>
  <si>
    <t>Нижегородская область, Нижний Новгород</t>
  </si>
  <si>
    <t>Республика Коми, Инта</t>
  </si>
  <si>
    <t xml:space="preserve">
Дата рождения/Возраст</t>
  </si>
  <si>
    <t>Возрастная группа</t>
  </si>
  <si>
    <t>O</t>
  </si>
  <si>
    <t>T2</t>
  </si>
  <si>
    <t>J</t>
  </si>
  <si>
    <t>M1</t>
  </si>
  <si>
    <t>M3</t>
  </si>
  <si>
    <t>M2</t>
  </si>
  <si>
    <t>T1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</si>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</sst>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6"/>
  <sheetViews>
    <sheetView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5" style="5" bestFit="1" customWidth="1"/>
    <col min="4" max="4" width="21.5" style="5" bestFit="1" customWidth="1"/>
    <col min="5" max="5" width="10.5" style="16" bestFit="1" customWidth="1"/>
    <col min="6" max="6" width="41.5" style="5" customWidth="1"/>
    <col min="7" max="9" width="5.5" style="24" customWidth="1"/>
    <col min="10" max="10" width="4.83203125" style="24" customWidth="1"/>
    <col min="11" max="13" width="5.5" style="24" customWidth="1"/>
    <col min="14" max="14" width="4.83203125" style="24" customWidth="1"/>
    <col min="15" max="17" width="5.5" style="24" customWidth="1"/>
    <col min="18" max="18" width="4.83203125" style="24" customWidth="1"/>
    <col min="19" max="19" width="7.83203125" style="6" bestFit="1" customWidth="1"/>
    <col min="20" max="20" width="8.5" style="6" bestFit="1" customWidth="1"/>
    <col min="21" max="21" width="19.6640625" style="5" customWidth="1"/>
    <col min="22" max="16384" width="9.1640625" style="3"/>
  </cols>
  <sheetData>
    <row r="1" spans="1:21" s="2" customFormat="1" ht="29" customHeight="1">
      <c r="A1" s="53" t="s">
        <v>376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7</v>
      </c>
      <c r="H3" s="67"/>
      <c r="I3" s="67"/>
      <c r="J3" s="67"/>
      <c r="K3" s="67" t="s">
        <v>8</v>
      </c>
      <c r="L3" s="67"/>
      <c r="M3" s="67"/>
      <c r="N3" s="67"/>
      <c r="O3" s="67" t="s">
        <v>9</v>
      </c>
      <c r="P3" s="67"/>
      <c r="Q3" s="67"/>
      <c r="R3" s="67"/>
      <c r="S3" s="65" t="s">
        <v>1</v>
      </c>
      <c r="T3" s="65" t="s">
        <v>3</v>
      </c>
      <c r="U3" s="70" t="s">
        <v>2</v>
      </c>
    </row>
    <row r="4" spans="1:21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6"/>
      <c r="T4" s="66"/>
      <c r="U4" s="71"/>
    </row>
    <row r="5" spans="1:21" ht="16">
      <c r="A5" s="51" t="s">
        <v>121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8" t="s">
        <v>66</v>
      </c>
      <c r="B6" s="7" t="s">
        <v>171</v>
      </c>
      <c r="C6" s="7" t="s">
        <v>122</v>
      </c>
      <c r="D6" s="7" t="s">
        <v>123</v>
      </c>
      <c r="E6" s="8" t="s">
        <v>405</v>
      </c>
      <c r="F6" s="43" t="s">
        <v>392</v>
      </c>
      <c r="G6" s="26" t="s">
        <v>124</v>
      </c>
      <c r="H6" s="27" t="s">
        <v>124</v>
      </c>
      <c r="I6" s="27" t="s">
        <v>15</v>
      </c>
      <c r="J6" s="28"/>
      <c r="K6" s="27" t="s">
        <v>125</v>
      </c>
      <c r="L6" s="26" t="s">
        <v>126</v>
      </c>
      <c r="M6" s="26" t="s">
        <v>126</v>
      </c>
      <c r="N6" s="28"/>
      <c r="O6" s="27" t="s">
        <v>89</v>
      </c>
      <c r="P6" s="27" t="s">
        <v>93</v>
      </c>
      <c r="Q6" s="26" t="s">
        <v>127</v>
      </c>
      <c r="R6" s="28"/>
      <c r="S6" s="9" t="str">
        <f>"237,5"</f>
        <v>237,5</v>
      </c>
      <c r="T6" s="9" t="str">
        <f>"303,7150"</f>
        <v>303,7150</v>
      </c>
      <c r="U6" s="7"/>
    </row>
    <row r="8" spans="1:21" ht="16">
      <c r="A8" s="49" t="s">
        <v>128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28" t="s">
        <v>66</v>
      </c>
      <c r="B9" s="7" t="s">
        <v>172</v>
      </c>
      <c r="C9" s="7" t="s">
        <v>129</v>
      </c>
      <c r="D9" s="7" t="s">
        <v>130</v>
      </c>
      <c r="E9" s="8" t="s">
        <v>405</v>
      </c>
      <c r="F9" s="43" t="s">
        <v>392</v>
      </c>
      <c r="G9" s="27" t="s">
        <v>131</v>
      </c>
      <c r="H9" s="27" t="s">
        <v>124</v>
      </c>
      <c r="I9" s="26" t="s">
        <v>15</v>
      </c>
      <c r="J9" s="28"/>
      <c r="K9" s="27" t="s">
        <v>132</v>
      </c>
      <c r="L9" s="27" t="s">
        <v>133</v>
      </c>
      <c r="M9" s="26" t="s">
        <v>134</v>
      </c>
      <c r="N9" s="28"/>
      <c r="O9" s="27" t="s">
        <v>131</v>
      </c>
      <c r="P9" s="27" t="s">
        <v>124</v>
      </c>
      <c r="Q9" s="27" t="s">
        <v>15</v>
      </c>
      <c r="R9" s="28"/>
      <c r="S9" s="9" t="str">
        <f>"195,0"</f>
        <v>195,0</v>
      </c>
      <c r="T9" s="9" t="str">
        <f>"217,9710"</f>
        <v>217,9710</v>
      </c>
      <c r="U9" s="7"/>
    </row>
    <row r="11" spans="1:21" ht="16">
      <c r="A11" s="49" t="s">
        <v>82</v>
      </c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1">
      <c r="A12" s="31" t="s">
        <v>66</v>
      </c>
      <c r="B12" s="10" t="s">
        <v>173</v>
      </c>
      <c r="C12" s="10" t="s">
        <v>135</v>
      </c>
      <c r="D12" s="10" t="s">
        <v>136</v>
      </c>
      <c r="E12" s="11" t="s">
        <v>405</v>
      </c>
      <c r="F12" s="41" t="s">
        <v>392</v>
      </c>
      <c r="G12" s="29" t="s">
        <v>86</v>
      </c>
      <c r="H12" s="29" t="s">
        <v>89</v>
      </c>
      <c r="I12" s="29" t="s">
        <v>95</v>
      </c>
      <c r="J12" s="31"/>
      <c r="K12" s="29" t="s">
        <v>125</v>
      </c>
      <c r="L12" s="29" t="s">
        <v>126</v>
      </c>
      <c r="M12" s="29" t="s">
        <v>137</v>
      </c>
      <c r="N12" s="31"/>
      <c r="O12" s="29" t="s">
        <v>138</v>
      </c>
      <c r="P12" s="29" t="s">
        <v>139</v>
      </c>
      <c r="Q12" s="29" t="s">
        <v>79</v>
      </c>
      <c r="R12" s="31"/>
      <c r="S12" s="12" t="str">
        <f>"287,5"</f>
        <v>287,5</v>
      </c>
      <c r="T12" s="12" t="str">
        <f>"297,2463"</f>
        <v>297,2463</v>
      </c>
      <c r="U12" s="10"/>
    </row>
    <row r="13" spans="1:21">
      <c r="A13" s="34" t="s">
        <v>69</v>
      </c>
      <c r="B13" s="13" t="s">
        <v>174</v>
      </c>
      <c r="C13" s="13" t="s">
        <v>140</v>
      </c>
      <c r="D13" s="13" t="s">
        <v>141</v>
      </c>
      <c r="E13" s="14" t="s">
        <v>405</v>
      </c>
      <c r="F13" s="13" t="s">
        <v>393</v>
      </c>
      <c r="G13" s="32" t="s">
        <v>86</v>
      </c>
      <c r="H13" s="32" t="s">
        <v>142</v>
      </c>
      <c r="I13" s="32" t="s">
        <v>95</v>
      </c>
      <c r="J13" s="34"/>
      <c r="K13" s="32" t="s">
        <v>87</v>
      </c>
      <c r="L13" s="33" t="s">
        <v>143</v>
      </c>
      <c r="M13" s="33" t="s">
        <v>143</v>
      </c>
      <c r="N13" s="34"/>
      <c r="O13" s="33" t="s">
        <v>85</v>
      </c>
      <c r="P13" s="32" t="s">
        <v>85</v>
      </c>
      <c r="Q13" s="32" t="s">
        <v>86</v>
      </c>
      <c r="R13" s="34"/>
      <c r="S13" s="15" t="str">
        <f>"255,0"</f>
        <v>255,0</v>
      </c>
      <c r="T13" s="15" t="str">
        <f>"274,8645"</f>
        <v>274,8645</v>
      </c>
      <c r="U13" s="13" t="s">
        <v>144</v>
      </c>
    </row>
    <row r="15" spans="1:21" ht="16">
      <c r="A15" s="49" t="s">
        <v>82</v>
      </c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21">
      <c r="A16" s="28" t="s">
        <v>66</v>
      </c>
      <c r="B16" s="7" t="s">
        <v>175</v>
      </c>
      <c r="C16" s="7" t="s">
        <v>145</v>
      </c>
      <c r="D16" s="7" t="s">
        <v>146</v>
      </c>
      <c r="E16" s="8" t="s">
        <v>405</v>
      </c>
      <c r="F16" s="7" t="s">
        <v>394</v>
      </c>
      <c r="G16" s="27" t="s">
        <v>107</v>
      </c>
      <c r="H16" s="26" t="s">
        <v>13</v>
      </c>
      <c r="I16" s="26" t="s">
        <v>13</v>
      </c>
      <c r="J16" s="28"/>
      <c r="K16" s="26" t="s">
        <v>101</v>
      </c>
      <c r="L16" s="27" t="s">
        <v>101</v>
      </c>
      <c r="M16" s="26" t="s">
        <v>139</v>
      </c>
      <c r="N16" s="28"/>
      <c r="O16" s="26" t="s">
        <v>14</v>
      </c>
      <c r="P16" s="27" t="s">
        <v>14</v>
      </c>
      <c r="Q16" s="26" t="s">
        <v>28</v>
      </c>
      <c r="R16" s="28"/>
      <c r="S16" s="9" t="str">
        <f>"400,0"</f>
        <v>400,0</v>
      </c>
      <c r="T16" s="9" t="str">
        <f>"311,4000"</f>
        <v>311,4000</v>
      </c>
      <c r="U16" s="7"/>
    </row>
    <row r="18" spans="1:21" ht="16">
      <c r="A18" s="49" t="s">
        <v>147</v>
      </c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21">
      <c r="A19" s="31" t="s">
        <v>66</v>
      </c>
      <c r="B19" s="10" t="s">
        <v>176</v>
      </c>
      <c r="C19" s="10" t="s">
        <v>148</v>
      </c>
      <c r="D19" s="10" t="s">
        <v>149</v>
      </c>
      <c r="E19" s="11" t="s">
        <v>406</v>
      </c>
      <c r="F19" s="10" t="s">
        <v>395</v>
      </c>
      <c r="G19" s="29" t="s">
        <v>93</v>
      </c>
      <c r="H19" s="29" t="s">
        <v>138</v>
      </c>
      <c r="I19" s="30" t="s">
        <v>79</v>
      </c>
      <c r="J19" s="31"/>
      <c r="K19" s="29" t="s">
        <v>93</v>
      </c>
      <c r="L19" s="29" t="s">
        <v>127</v>
      </c>
      <c r="M19" s="30" t="s">
        <v>138</v>
      </c>
      <c r="N19" s="31"/>
      <c r="O19" s="29" t="s">
        <v>138</v>
      </c>
      <c r="P19" s="29" t="s">
        <v>79</v>
      </c>
      <c r="Q19" s="29" t="s">
        <v>13</v>
      </c>
      <c r="R19" s="31"/>
      <c r="S19" s="12" t="str">
        <f>"377,5"</f>
        <v>377,5</v>
      </c>
      <c r="T19" s="12" t="str">
        <f>"273,3855"</f>
        <v>273,3855</v>
      </c>
      <c r="U19" s="10"/>
    </row>
    <row r="20" spans="1:21">
      <c r="A20" s="40" t="s">
        <v>66</v>
      </c>
      <c r="B20" s="35" t="s">
        <v>177</v>
      </c>
      <c r="C20" s="35" t="s">
        <v>150</v>
      </c>
      <c r="D20" s="35" t="s">
        <v>149</v>
      </c>
      <c r="E20" s="36" t="s">
        <v>407</v>
      </c>
      <c r="F20" s="35" t="s">
        <v>396</v>
      </c>
      <c r="G20" s="38" t="s">
        <v>44</v>
      </c>
      <c r="H20" s="38" t="s">
        <v>18</v>
      </c>
      <c r="I20" s="39" t="s">
        <v>51</v>
      </c>
      <c r="J20" s="40"/>
      <c r="K20" s="38" t="s">
        <v>93</v>
      </c>
      <c r="L20" s="38" t="s">
        <v>101</v>
      </c>
      <c r="M20" s="38" t="s">
        <v>138</v>
      </c>
      <c r="N20" s="40"/>
      <c r="O20" s="39" t="s">
        <v>33</v>
      </c>
      <c r="P20" s="38" t="s">
        <v>34</v>
      </c>
      <c r="Q20" s="39" t="s">
        <v>151</v>
      </c>
      <c r="R20" s="40"/>
      <c r="S20" s="37" t="str">
        <f>"530,0"</f>
        <v>530,0</v>
      </c>
      <c r="T20" s="37" t="str">
        <f>"383,8260"</f>
        <v>383,8260</v>
      </c>
      <c r="U20" s="35"/>
    </row>
    <row r="21" spans="1:21">
      <c r="A21" s="34" t="s">
        <v>66</v>
      </c>
      <c r="B21" s="13" t="s">
        <v>178</v>
      </c>
      <c r="C21" s="13" t="s">
        <v>152</v>
      </c>
      <c r="D21" s="13" t="s">
        <v>153</v>
      </c>
      <c r="E21" s="14" t="s">
        <v>405</v>
      </c>
      <c r="F21" s="44" t="s">
        <v>392</v>
      </c>
      <c r="G21" s="32" t="s">
        <v>28</v>
      </c>
      <c r="H21" s="32" t="s">
        <v>44</v>
      </c>
      <c r="I21" s="33" t="s">
        <v>154</v>
      </c>
      <c r="J21" s="34"/>
      <c r="K21" s="32" t="s">
        <v>95</v>
      </c>
      <c r="L21" s="32" t="s">
        <v>93</v>
      </c>
      <c r="M21" s="33" t="s">
        <v>101</v>
      </c>
      <c r="N21" s="34"/>
      <c r="O21" s="32" t="s">
        <v>44</v>
      </c>
      <c r="P21" s="33" t="s">
        <v>18</v>
      </c>
      <c r="Q21" s="33" t="s">
        <v>18</v>
      </c>
      <c r="R21" s="34"/>
      <c r="S21" s="15" t="str">
        <f>"450,0"</f>
        <v>450,0</v>
      </c>
      <c r="T21" s="15" t="str">
        <f>"322,4700"</f>
        <v>322,4700</v>
      </c>
      <c r="U21" s="13"/>
    </row>
    <row r="23" spans="1:21" ht="16">
      <c r="A23" s="49" t="s">
        <v>10</v>
      </c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21">
      <c r="A24" s="31" t="s">
        <v>66</v>
      </c>
      <c r="B24" s="10" t="s">
        <v>179</v>
      </c>
      <c r="C24" s="10" t="s">
        <v>155</v>
      </c>
      <c r="D24" s="10" t="s">
        <v>156</v>
      </c>
      <c r="E24" s="11" t="s">
        <v>405</v>
      </c>
      <c r="F24" s="10" t="s">
        <v>392</v>
      </c>
      <c r="G24" s="29" t="s">
        <v>80</v>
      </c>
      <c r="H24" s="29" t="s">
        <v>157</v>
      </c>
      <c r="I24" s="29" t="s">
        <v>33</v>
      </c>
      <c r="J24" s="31"/>
      <c r="K24" s="29" t="s">
        <v>107</v>
      </c>
      <c r="L24" s="29" t="s">
        <v>13</v>
      </c>
      <c r="M24" s="30" t="s">
        <v>108</v>
      </c>
      <c r="N24" s="31"/>
      <c r="O24" s="29" t="s">
        <v>78</v>
      </c>
      <c r="P24" s="29" t="s">
        <v>25</v>
      </c>
      <c r="Q24" s="30" t="s">
        <v>26</v>
      </c>
      <c r="R24" s="31"/>
      <c r="S24" s="12" t="str">
        <f>"610,0"</f>
        <v>610,0</v>
      </c>
      <c r="T24" s="12" t="str">
        <f>"409,2490"</f>
        <v>409,2490</v>
      </c>
      <c r="U24" s="10" t="s">
        <v>158</v>
      </c>
    </row>
    <row r="25" spans="1:21">
      <c r="A25" s="40" t="s">
        <v>69</v>
      </c>
      <c r="B25" s="35" t="s">
        <v>180</v>
      </c>
      <c r="C25" s="35" t="s">
        <v>159</v>
      </c>
      <c r="D25" s="35" t="s">
        <v>160</v>
      </c>
      <c r="E25" s="36" t="s">
        <v>405</v>
      </c>
      <c r="F25" s="35" t="s">
        <v>397</v>
      </c>
      <c r="G25" s="38" t="s">
        <v>161</v>
      </c>
      <c r="H25" s="38" t="s">
        <v>162</v>
      </c>
      <c r="I25" s="38" t="s">
        <v>163</v>
      </c>
      <c r="J25" s="40"/>
      <c r="K25" s="38" t="s">
        <v>95</v>
      </c>
      <c r="L25" s="38" t="s">
        <v>164</v>
      </c>
      <c r="M25" s="38" t="s">
        <v>93</v>
      </c>
      <c r="N25" s="40"/>
      <c r="O25" s="38" t="s">
        <v>165</v>
      </c>
      <c r="P25" s="38" t="s">
        <v>166</v>
      </c>
      <c r="Q25" s="38" t="s">
        <v>106</v>
      </c>
      <c r="R25" s="40"/>
      <c r="S25" s="37" t="str">
        <f>"477,5"</f>
        <v>477,5</v>
      </c>
      <c r="T25" s="37" t="str">
        <f>"319,8773"</f>
        <v>319,8773</v>
      </c>
      <c r="U25" s="35"/>
    </row>
    <row r="26" spans="1:21">
      <c r="A26" s="34" t="s">
        <v>181</v>
      </c>
      <c r="B26" s="13" t="s">
        <v>182</v>
      </c>
      <c r="C26" s="13" t="s">
        <v>167</v>
      </c>
      <c r="D26" s="13" t="s">
        <v>168</v>
      </c>
      <c r="E26" s="14" t="s">
        <v>405</v>
      </c>
      <c r="F26" s="44" t="s">
        <v>392</v>
      </c>
      <c r="G26" s="32" t="s">
        <v>139</v>
      </c>
      <c r="H26" s="32" t="s">
        <v>107</v>
      </c>
      <c r="I26" s="32" t="s">
        <v>108</v>
      </c>
      <c r="J26" s="34"/>
      <c r="K26" s="32" t="s">
        <v>89</v>
      </c>
      <c r="L26" s="32" t="s">
        <v>164</v>
      </c>
      <c r="M26" s="33" t="s">
        <v>169</v>
      </c>
      <c r="N26" s="34"/>
      <c r="O26" s="32" t="s">
        <v>138</v>
      </c>
      <c r="P26" s="32" t="s">
        <v>79</v>
      </c>
      <c r="Q26" s="32" t="s">
        <v>13</v>
      </c>
      <c r="R26" s="34"/>
      <c r="S26" s="15" t="str">
        <f>"392,5"</f>
        <v>392,5</v>
      </c>
      <c r="T26" s="15" t="str">
        <f>"266,9000"</f>
        <v>266,9000</v>
      </c>
      <c r="U26" s="13" t="s">
        <v>29</v>
      </c>
    </row>
  </sheetData>
  <mergeCells count="19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  <mergeCell ref="A23:R23"/>
    <mergeCell ref="A5:R5"/>
    <mergeCell ref="A8:R8"/>
    <mergeCell ref="A11:R11"/>
    <mergeCell ref="A15:R15"/>
    <mergeCell ref="A18:R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9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6.5" style="5" bestFit="1" customWidth="1"/>
    <col min="4" max="4" width="21.5" style="5" bestFit="1" customWidth="1"/>
    <col min="5" max="5" width="10.5" style="16" bestFit="1" customWidth="1"/>
    <col min="6" max="6" width="31.1640625" style="5" customWidth="1"/>
    <col min="7" max="9" width="5.6640625" style="24" bestFit="1" customWidth="1"/>
    <col min="10" max="10" width="4.33203125" style="24" bestFit="1" customWidth="1"/>
    <col min="11" max="11" width="10.5" style="6" bestFit="1" customWidth="1"/>
    <col min="12" max="12" width="8.6640625" style="6" bestFit="1" customWidth="1"/>
    <col min="13" max="13" width="17.83203125" style="5" customWidth="1"/>
    <col min="14" max="16384" width="9.1640625" style="3"/>
  </cols>
  <sheetData>
    <row r="1" spans="1:13" s="2" customFormat="1" ht="29" customHeight="1">
      <c r="A1" s="53" t="s">
        <v>385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9</v>
      </c>
      <c r="H3" s="67"/>
      <c r="I3" s="67"/>
      <c r="J3" s="67"/>
      <c r="K3" s="65" t="s">
        <v>183</v>
      </c>
      <c r="L3" s="65" t="s">
        <v>3</v>
      </c>
      <c r="M3" s="70" t="s">
        <v>2</v>
      </c>
    </row>
    <row r="4" spans="1:13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71"/>
    </row>
    <row r="5" spans="1:13" ht="16">
      <c r="A5" s="51" t="s">
        <v>121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31" t="s">
        <v>66</v>
      </c>
      <c r="B6" s="10" t="s">
        <v>298</v>
      </c>
      <c r="C6" s="10" t="s">
        <v>287</v>
      </c>
      <c r="D6" s="10" t="s">
        <v>288</v>
      </c>
      <c r="E6" s="11" t="s">
        <v>411</v>
      </c>
      <c r="F6" s="10" t="s">
        <v>392</v>
      </c>
      <c r="G6" s="29" t="s">
        <v>126</v>
      </c>
      <c r="H6" s="29" t="s">
        <v>87</v>
      </c>
      <c r="I6" s="29" t="s">
        <v>88</v>
      </c>
      <c r="J6" s="31"/>
      <c r="K6" s="12" t="str">
        <f>"57,5"</f>
        <v>57,5</v>
      </c>
      <c r="L6" s="12" t="str">
        <f>"76,7855"</f>
        <v>76,7855</v>
      </c>
      <c r="M6" s="41"/>
    </row>
    <row r="7" spans="1:13">
      <c r="A7" s="40" t="s">
        <v>66</v>
      </c>
      <c r="B7" s="35" t="s">
        <v>299</v>
      </c>
      <c r="C7" s="35" t="s">
        <v>289</v>
      </c>
      <c r="D7" s="35" t="s">
        <v>290</v>
      </c>
      <c r="E7" s="36" t="s">
        <v>405</v>
      </c>
      <c r="F7" s="35" t="s">
        <v>392</v>
      </c>
      <c r="G7" s="38" t="s">
        <v>143</v>
      </c>
      <c r="H7" s="38" t="s">
        <v>94</v>
      </c>
      <c r="I7" s="38" t="s">
        <v>291</v>
      </c>
      <c r="J7" s="40"/>
      <c r="K7" s="37" t="str">
        <f>"72,5"</f>
        <v>72,5</v>
      </c>
      <c r="L7" s="37" t="str">
        <f>"93,7715"</f>
        <v>93,7715</v>
      </c>
      <c r="M7" s="35"/>
    </row>
    <row r="8" spans="1:13">
      <c r="A8" s="34" t="s">
        <v>69</v>
      </c>
      <c r="B8" s="13" t="s">
        <v>300</v>
      </c>
      <c r="C8" s="13" t="s">
        <v>292</v>
      </c>
      <c r="D8" s="13" t="s">
        <v>293</v>
      </c>
      <c r="E8" s="14" t="s">
        <v>405</v>
      </c>
      <c r="F8" s="44" t="s">
        <v>392</v>
      </c>
      <c r="G8" s="32" t="s">
        <v>126</v>
      </c>
      <c r="H8" s="32" t="s">
        <v>87</v>
      </c>
      <c r="I8" s="33" t="s">
        <v>88</v>
      </c>
      <c r="J8" s="34"/>
      <c r="K8" s="15" t="str">
        <f>"55,0"</f>
        <v>55,0</v>
      </c>
      <c r="L8" s="15" t="str">
        <f>"73,4470"</f>
        <v>73,4470</v>
      </c>
      <c r="M8" s="13"/>
    </row>
    <row r="10" spans="1:13" ht="16">
      <c r="A10" s="49" t="s">
        <v>229</v>
      </c>
      <c r="B10" s="49"/>
      <c r="C10" s="50"/>
      <c r="D10" s="50"/>
      <c r="E10" s="50"/>
      <c r="F10" s="50"/>
      <c r="G10" s="50"/>
      <c r="H10" s="50"/>
      <c r="I10" s="50"/>
      <c r="J10" s="50"/>
    </row>
    <row r="11" spans="1:13">
      <c r="A11" s="28" t="s">
        <v>66</v>
      </c>
      <c r="B11" s="7" t="s">
        <v>301</v>
      </c>
      <c r="C11" s="7" t="s">
        <v>294</v>
      </c>
      <c r="D11" s="7" t="s">
        <v>295</v>
      </c>
      <c r="E11" s="8" t="s">
        <v>411</v>
      </c>
      <c r="F11" s="7" t="s">
        <v>392</v>
      </c>
      <c r="G11" s="26" t="s">
        <v>86</v>
      </c>
      <c r="H11" s="26" t="s">
        <v>241</v>
      </c>
      <c r="I11" s="27" t="s">
        <v>241</v>
      </c>
      <c r="J11" s="28"/>
      <c r="K11" s="9" t="str">
        <f>"97,5"</f>
        <v>97,5</v>
      </c>
      <c r="L11" s="9" t="str">
        <f>"88,9102"</f>
        <v>88,9102</v>
      </c>
      <c r="M11" s="43" t="s">
        <v>363</v>
      </c>
    </row>
    <row r="13" spans="1:13" ht="16">
      <c r="A13" s="49" t="s">
        <v>147</v>
      </c>
      <c r="B13" s="49"/>
      <c r="C13" s="50"/>
      <c r="D13" s="50"/>
      <c r="E13" s="50"/>
      <c r="F13" s="50"/>
      <c r="G13" s="50"/>
      <c r="H13" s="50"/>
      <c r="I13" s="50"/>
      <c r="J13" s="50"/>
    </row>
    <row r="14" spans="1:13">
      <c r="A14" s="28" t="s">
        <v>66</v>
      </c>
      <c r="B14" s="7" t="s">
        <v>302</v>
      </c>
      <c r="C14" s="7" t="s">
        <v>296</v>
      </c>
      <c r="D14" s="7" t="s">
        <v>297</v>
      </c>
      <c r="E14" s="8" t="s">
        <v>411</v>
      </c>
      <c r="F14" s="7" t="s">
        <v>392</v>
      </c>
      <c r="G14" s="27" t="s">
        <v>89</v>
      </c>
      <c r="H14" s="27" t="s">
        <v>95</v>
      </c>
      <c r="I14" s="27" t="s">
        <v>93</v>
      </c>
      <c r="J14" s="28"/>
      <c r="K14" s="9" t="str">
        <f>"110,0"</f>
        <v>110,0</v>
      </c>
      <c r="L14" s="9" t="str">
        <f>"83,6330"</f>
        <v>83,6330</v>
      </c>
      <c r="M14" s="7"/>
    </row>
    <row r="16" spans="1:13" ht="16">
      <c r="A16" s="49" t="s">
        <v>41</v>
      </c>
      <c r="B16" s="49"/>
      <c r="C16" s="50"/>
      <c r="D16" s="50"/>
      <c r="E16" s="50"/>
      <c r="F16" s="50"/>
      <c r="G16" s="50"/>
      <c r="H16" s="50"/>
      <c r="I16" s="50"/>
      <c r="J16" s="50"/>
    </row>
    <row r="17" spans="1:13">
      <c r="A17" s="28" t="s">
        <v>66</v>
      </c>
      <c r="B17" s="7" t="s">
        <v>72</v>
      </c>
      <c r="C17" s="7" t="s">
        <v>42</v>
      </c>
      <c r="D17" s="7" t="s">
        <v>43</v>
      </c>
      <c r="E17" s="8" t="s">
        <v>405</v>
      </c>
      <c r="F17" s="7" t="s">
        <v>392</v>
      </c>
      <c r="G17" s="27" t="s">
        <v>34</v>
      </c>
      <c r="H17" s="27" t="s">
        <v>35</v>
      </c>
      <c r="I17" s="26" t="s">
        <v>25</v>
      </c>
      <c r="J17" s="28"/>
      <c r="K17" s="9" t="str">
        <f>"240,0"</f>
        <v>240,0</v>
      </c>
      <c r="L17" s="9" t="str">
        <f>"147,0960"</f>
        <v>147,0960</v>
      </c>
      <c r="M17" s="7" t="s">
        <v>29</v>
      </c>
    </row>
    <row r="19" spans="1:13">
      <c r="E19" s="5"/>
      <c r="F19" s="16"/>
      <c r="G19" s="5"/>
      <c r="K19" s="24"/>
      <c r="M19" s="6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3:J13"/>
    <mergeCell ref="A16:J16"/>
    <mergeCell ref="B3:B4"/>
    <mergeCell ref="K3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35.83203125" style="5" customWidth="1"/>
    <col min="7" max="9" width="4.6640625" style="24" bestFit="1" customWidth="1"/>
    <col min="10" max="10" width="4.33203125" style="24" bestFit="1" customWidth="1"/>
    <col min="11" max="11" width="10.5" style="6" bestFit="1" customWidth="1"/>
    <col min="12" max="12" width="7.6640625" style="6" bestFit="1" customWidth="1"/>
    <col min="13" max="13" width="16.6640625" style="5" customWidth="1"/>
    <col min="14" max="16384" width="9.1640625" style="3"/>
  </cols>
  <sheetData>
    <row r="1" spans="1:13" s="2" customFormat="1" ht="29" customHeight="1">
      <c r="A1" s="53" t="s">
        <v>386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315</v>
      </c>
      <c r="H3" s="67"/>
      <c r="I3" s="67"/>
      <c r="J3" s="67"/>
      <c r="K3" s="65" t="s">
        <v>183</v>
      </c>
      <c r="L3" s="65" t="s">
        <v>3</v>
      </c>
      <c r="M3" s="70" t="s">
        <v>2</v>
      </c>
    </row>
    <row r="4" spans="1:13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71"/>
    </row>
    <row r="5" spans="1:13" ht="16">
      <c r="A5" s="51" t="s">
        <v>121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8" t="s">
        <v>66</v>
      </c>
      <c r="B6" s="7" t="s">
        <v>353</v>
      </c>
      <c r="C6" s="7" t="s">
        <v>365</v>
      </c>
      <c r="D6" s="7" t="s">
        <v>343</v>
      </c>
      <c r="E6" s="8" t="s">
        <v>412</v>
      </c>
      <c r="F6" s="7" t="s">
        <v>392</v>
      </c>
      <c r="G6" s="27" t="s">
        <v>317</v>
      </c>
      <c r="H6" s="27" t="s">
        <v>325</v>
      </c>
      <c r="I6" s="27" t="s">
        <v>327</v>
      </c>
      <c r="J6" s="28"/>
      <c r="K6" s="9" t="str">
        <f>"27,5"</f>
        <v>27,5</v>
      </c>
      <c r="L6" s="9" t="str">
        <f>"28,4226"</f>
        <v>28,4226</v>
      </c>
      <c r="M6" s="7" t="s">
        <v>319</v>
      </c>
    </row>
    <row r="8" spans="1:13" ht="16">
      <c r="A8" s="49" t="s">
        <v>10</v>
      </c>
      <c r="B8" s="49"/>
      <c r="C8" s="50"/>
      <c r="D8" s="50"/>
      <c r="E8" s="50"/>
      <c r="F8" s="50"/>
      <c r="G8" s="50"/>
      <c r="H8" s="50"/>
      <c r="I8" s="50"/>
      <c r="J8" s="50"/>
    </row>
    <row r="9" spans="1:13">
      <c r="A9" s="31" t="s">
        <v>66</v>
      </c>
      <c r="B9" s="10" t="s">
        <v>354</v>
      </c>
      <c r="C9" s="10" t="s">
        <v>344</v>
      </c>
      <c r="D9" s="10" t="s">
        <v>345</v>
      </c>
      <c r="E9" s="11" t="s">
        <v>405</v>
      </c>
      <c r="F9" s="10" t="s">
        <v>392</v>
      </c>
      <c r="G9" s="29" t="s">
        <v>88</v>
      </c>
      <c r="H9" s="29" t="s">
        <v>232</v>
      </c>
      <c r="I9" s="29" t="s">
        <v>94</v>
      </c>
      <c r="J9" s="31"/>
      <c r="K9" s="12" t="str">
        <f>"65,0"</f>
        <v>65,0</v>
      </c>
      <c r="L9" s="12" t="str">
        <f>"42,2337"</f>
        <v>42,2337</v>
      </c>
      <c r="M9" s="10"/>
    </row>
    <row r="10" spans="1:13">
      <c r="A10" s="40" t="s">
        <v>69</v>
      </c>
      <c r="B10" s="35" t="s">
        <v>278</v>
      </c>
      <c r="C10" s="35" t="s">
        <v>250</v>
      </c>
      <c r="D10" s="35" t="s">
        <v>251</v>
      </c>
      <c r="E10" s="36" t="s">
        <v>405</v>
      </c>
      <c r="F10" s="35" t="s">
        <v>392</v>
      </c>
      <c r="G10" s="39" t="s">
        <v>232</v>
      </c>
      <c r="H10" s="38" t="s">
        <v>232</v>
      </c>
      <c r="I10" s="39" t="s">
        <v>94</v>
      </c>
      <c r="J10" s="40"/>
      <c r="K10" s="37" t="str">
        <f>"62,5"</f>
        <v>62,5</v>
      </c>
      <c r="L10" s="37" t="str">
        <f>"40,3187"</f>
        <v>40,3187</v>
      </c>
      <c r="M10" s="35"/>
    </row>
    <row r="11" spans="1:13">
      <c r="A11" s="40" t="s">
        <v>181</v>
      </c>
      <c r="B11" s="35" t="s">
        <v>355</v>
      </c>
      <c r="C11" s="35" t="s">
        <v>346</v>
      </c>
      <c r="D11" s="35" t="s">
        <v>347</v>
      </c>
      <c r="E11" s="36" t="s">
        <v>405</v>
      </c>
      <c r="F11" s="35" t="s">
        <v>392</v>
      </c>
      <c r="G11" s="39" t="s">
        <v>132</v>
      </c>
      <c r="H11" s="38" t="s">
        <v>125</v>
      </c>
      <c r="I11" s="38" t="s">
        <v>87</v>
      </c>
      <c r="J11" s="40"/>
      <c r="K11" s="37" t="str">
        <f>"55,0"</f>
        <v>55,0</v>
      </c>
      <c r="L11" s="37" t="str">
        <f>"36,9160"</f>
        <v>36,9160</v>
      </c>
      <c r="M11" s="35"/>
    </row>
    <row r="12" spans="1:13">
      <c r="A12" s="40" t="s">
        <v>356</v>
      </c>
      <c r="B12" s="35" t="s">
        <v>357</v>
      </c>
      <c r="C12" s="35" t="s">
        <v>348</v>
      </c>
      <c r="D12" s="35" t="s">
        <v>349</v>
      </c>
      <c r="E12" s="36" t="s">
        <v>405</v>
      </c>
      <c r="F12" s="35" t="s">
        <v>397</v>
      </c>
      <c r="G12" s="38" t="s">
        <v>126</v>
      </c>
      <c r="H12" s="38" t="s">
        <v>87</v>
      </c>
      <c r="I12" s="39" t="s">
        <v>232</v>
      </c>
      <c r="J12" s="40"/>
      <c r="K12" s="37" t="str">
        <f>"55,0"</f>
        <v>55,0</v>
      </c>
      <c r="L12" s="37" t="str">
        <f>"36,2092"</f>
        <v>36,2092</v>
      </c>
      <c r="M12" s="35"/>
    </row>
    <row r="13" spans="1:13">
      <c r="A13" s="34" t="s">
        <v>66</v>
      </c>
      <c r="B13" s="13" t="s">
        <v>358</v>
      </c>
      <c r="C13" s="13" t="s">
        <v>366</v>
      </c>
      <c r="D13" s="13" t="s">
        <v>253</v>
      </c>
      <c r="E13" s="14" t="s">
        <v>408</v>
      </c>
      <c r="F13" s="44" t="s">
        <v>392</v>
      </c>
      <c r="G13" s="32" t="s">
        <v>126</v>
      </c>
      <c r="H13" s="32" t="s">
        <v>87</v>
      </c>
      <c r="I13" s="32" t="s">
        <v>232</v>
      </c>
      <c r="J13" s="34"/>
      <c r="K13" s="15" t="str">
        <f>"62,5"</f>
        <v>62,5</v>
      </c>
      <c r="L13" s="15" t="str">
        <f>"45,0904"</f>
        <v>45,0904</v>
      </c>
      <c r="M13" s="13"/>
    </row>
    <row r="15" spans="1:13" ht="16">
      <c r="A15" s="49" t="s">
        <v>21</v>
      </c>
      <c r="B15" s="49"/>
      <c r="C15" s="50"/>
      <c r="D15" s="50"/>
      <c r="E15" s="50"/>
      <c r="F15" s="50"/>
      <c r="G15" s="50"/>
      <c r="H15" s="50"/>
      <c r="I15" s="50"/>
      <c r="J15" s="50"/>
    </row>
    <row r="16" spans="1:13">
      <c r="A16" s="28" t="s">
        <v>66</v>
      </c>
      <c r="B16" s="7" t="s">
        <v>359</v>
      </c>
      <c r="C16" s="7" t="s">
        <v>350</v>
      </c>
      <c r="D16" s="7" t="s">
        <v>351</v>
      </c>
      <c r="E16" s="8" t="s">
        <v>405</v>
      </c>
      <c r="F16" s="7" t="s">
        <v>402</v>
      </c>
      <c r="G16" s="27" t="s">
        <v>143</v>
      </c>
      <c r="H16" s="27" t="s">
        <v>352</v>
      </c>
      <c r="I16" s="26" t="s">
        <v>131</v>
      </c>
      <c r="J16" s="28"/>
      <c r="K16" s="9" t="str">
        <f>"67,5"</f>
        <v>67,5</v>
      </c>
      <c r="L16" s="9" t="str">
        <f>"41,7724"</f>
        <v>41,7724</v>
      </c>
      <c r="M16" s="7"/>
    </row>
    <row r="18" spans="1:13" ht="16">
      <c r="A18" s="49" t="s">
        <v>41</v>
      </c>
      <c r="B18" s="49"/>
      <c r="C18" s="50"/>
      <c r="D18" s="50"/>
      <c r="E18" s="50"/>
      <c r="F18" s="50"/>
      <c r="G18" s="50"/>
      <c r="H18" s="50"/>
      <c r="I18" s="50"/>
      <c r="J18" s="50"/>
    </row>
    <row r="19" spans="1:13">
      <c r="A19" s="28" t="s">
        <v>66</v>
      </c>
      <c r="B19" s="7" t="s">
        <v>285</v>
      </c>
      <c r="C19" s="7" t="s">
        <v>265</v>
      </c>
      <c r="D19" s="7" t="s">
        <v>266</v>
      </c>
      <c r="E19" s="8" t="s">
        <v>408</v>
      </c>
      <c r="F19" s="7" t="s">
        <v>393</v>
      </c>
      <c r="G19" s="27" t="s">
        <v>143</v>
      </c>
      <c r="H19" s="27" t="s">
        <v>94</v>
      </c>
      <c r="I19" s="26" t="s">
        <v>131</v>
      </c>
      <c r="J19" s="28"/>
      <c r="K19" s="9" t="str">
        <f>"65,0"</f>
        <v>65,0</v>
      </c>
      <c r="L19" s="9" t="str">
        <f>"42,8507"</f>
        <v>42,8507</v>
      </c>
      <c r="M19" s="7"/>
    </row>
    <row r="21" spans="1:13">
      <c r="E21" s="5"/>
      <c r="F21" s="16"/>
      <c r="G21" s="5"/>
      <c r="K21" s="24"/>
      <c r="M21" s="6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5:J15"/>
    <mergeCell ref="A18:J18"/>
    <mergeCell ref="B3:B4"/>
    <mergeCell ref="K3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8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9" style="5" bestFit="1" customWidth="1"/>
    <col min="4" max="4" width="21.5" style="5" bestFit="1" customWidth="1"/>
    <col min="5" max="5" width="10.5" style="16" bestFit="1" customWidth="1"/>
    <col min="6" max="6" width="31.1640625" style="5" bestFit="1" customWidth="1"/>
    <col min="7" max="9" width="4.6640625" style="24" bestFit="1" customWidth="1"/>
    <col min="10" max="10" width="4.33203125" style="24" bestFit="1" customWidth="1"/>
    <col min="11" max="11" width="10.5" style="6" bestFit="1" customWidth="1"/>
    <col min="12" max="12" width="7.664062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53" t="s">
        <v>387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315</v>
      </c>
      <c r="H3" s="67"/>
      <c r="I3" s="67"/>
      <c r="J3" s="67"/>
      <c r="K3" s="65" t="s">
        <v>183</v>
      </c>
      <c r="L3" s="65" t="s">
        <v>3</v>
      </c>
      <c r="M3" s="70" t="s">
        <v>2</v>
      </c>
    </row>
    <row r="4" spans="1:13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71"/>
    </row>
    <row r="5" spans="1:13" ht="16">
      <c r="A5" s="51" t="s">
        <v>303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8" t="s">
        <v>66</v>
      </c>
      <c r="B6" s="7" t="s">
        <v>335</v>
      </c>
      <c r="C6" s="7" t="s">
        <v>367</v>
      </c>
      <c r="D6" s="7" t="s">
        <v>316</v>
      </c>
      <c r="E6" s="8" t="s">
        <v>412</v>
      </c>
      <c r="F6" s="7" t="s">
        <v>392</v>
      </c>
      <c r="G6" s="27" t="s">
        <v>317</v>
      </c>
      <c r="H6" s="26" t="s">
        <v>318</v>
      </c>
      <c r="I6" s="26" t="s">
        <v>318</v>
      </c>
      <c r="J6" s="28"/>
      <c r="K6" s="9" t="str">
        <f>"17,5"</f>
        <v>17,5</v>
      </c>
      <c r="L6" s="9" t="str">
        <f>"20,8320"</f>
        <v>20,8320</v>
      </c>
      <c r="M6" s="7" t="s">
        <v>319</v>
      </c>
    </row>
    <row r="8" spans="1:13" ht="16">
      <c r="A8" s="49" t="s">
        <v>128</v>
      </c>
      <c r="B8" s="49"/>
      <c r="C8" s="50"/>
      <c r="D8" s="50"/>
      <c r="E8" s="50"/>
      <c r="F8" s="50"/>
      <c r="G8" s="50"/>
      <c r="H8" s="50"/>
      <c r="I8" s="50"/>
      <c r="J8" s="50"/>
    </row>
    <row r="9" spans="1:13">
      <c r="A9" s="28" t="s">
        <v>66</v>
      </c>
      <c r="B9" s="43" t="s">
        <v>362</v>
      </c>
      <c r="C9" s="7" t="s">
        <v>368</v>
      </c>
      <c r="D9" s="7" t="s">
        <v>320</v>
      </c>
      <c r="E9" s="8" t="s">
        <v>412</v>
      </c>
      <c r="F9" s="7" t="s">
        <v>392</v>
      </c>
      <c r="G9" s="27" t="s">
        <v>321</v>
      </c>
      <c r="H9" s="27" t="s">
        <v>322</v>
      </c>
      <c r="I9" s="28"/>
      <c r="J9" s="28"/>
      <c r="K9" s="9" t="str">
        <f>"20,5"</f>
        <v>20,5</v>
      </c>
      <c r="L9" s="9" t="str">
        <f>"20,8341"</f>
        <v>20,8341</v>
      </c>
      <c r="M9" s="7"/>
    </row>
    <row r="11" spans="1:13" ht="16">
      <c r="A11" s="49" t="s">
        <v>121</v>
      </c>
      <c r="B11" s="49"/>
      <c r="C11" s="50"/>
      <c r="D11" s="50"/>
      <c r="E11" s="50"/>
      <c r="F11" s="50"/>
      <c r="G11" s="50"/>
      <c r="H11" s="50"/>
      <c r="I11" s="50"/>
      <c r="J11" s="50"/>
    </row>
    <row r="12" spans="1:13">
      <c r="A12" s="31" t="s">
        <v>66</v>
      </c>
      <c r="B12" s="10" t="s">
        <v>336</v>
      </c>
      <c r="C12" s="10" t="s">
        <v>369</v>
      </c>
      <c r="D12" s="10" t="s">
        <v>323</v>
      </c>
      <c r="E12" s="11" t="s">
        <v>412</v>
      </c>
      <c r="F12" s="10" t="s">
        <v>392</v>
      </c>
      <c r="G12" s="29" t="s">
        <v>321</v>
      </c>
      <c r="H12" s="29" t="s">
        <v>324</v>
      </c>
      <c r="I12" s="30" t="s">
        <v>325</v>
      </c>
      <c r="J12" s="31"/>
      <c r="K12" s="12" t="str">
        <f>"20,0"</f>
        <v>20,0</v>
      </c>
      <c r="L12" s="12" t="str">
        <f>"22,2100"</f>
        <v>22,2100</v>
      </c>
      <c r="M12" s="10" t="s">
        <v>319</v>
      </c>
    </row>
    <row r="13" spans="1:13">
      <c r="A13" s="34" t="s">
        <v>69</v>
      </c>
      <c r="B13" s="13" t="s">
        <v>337</v>
      </c>
      <c r="C13" s="13" t="s">
        <v>370</v>
      </c>
      <c r="D13" s="13" t="s">
        <v>290</v>
      </c>
      <c r="E13" s="14" t="s">
        <v>412</v>
      </c>
      <c r="F13" s="13" t="s">
        <v>392</v>
      </c>
      <c r="G13" s="33" t="s">
        <v>321</v>
      </c>
      <c r="H13" s="32" t="s">
        <v>321</v>
      </c>
      <c r="I13" s="33" t="s">
        <v>317</v>
      </c>
      <c r="J13" s="34"/>
      <c r="K13" s="15" t="str">
        <f>"15,0"</f>
        <v>15,0</v>
      </c>
      <c r="L13" s="15" t="str">
        <f>"19,2510"</f>
        <v>19,2510</v>
      </c>
      <c r="M13" s="13" t="s">
        <v>319</v>
      </c>
    </row>
    <row r="15" spans="1:13" ht="16">
      <c r="A15" s="49" t="s">
        <v>128</v>
      </c>
      <c r="B15" s="49"/>
      <c r="C15" s="50"/>
      <c r="D15" s="50"/>
      <c r="E15" s="50"/>
      <c r="F15" s="50"/>
      <c r="G15" s="50"/>
      <c r="H15" s="50"/>
      <c r="I15" s="50"/>
      <c r="J15" s="50"/>
    </row>
    <row r="16" spans="1:13">
      <c r="A16" s="28" t="s">
        <v>66</v>
      </c>
      <c r="B16" s="7" t="s">
        <v>338</v>
      </c>
      <c r="C16" s="7" t="s">
        <v>371</v>
      </c>
      <c r="D16" s="7" t="s">
        <v>326</v>
      </c>
      <c r="E16" s="8" t="s">
        <v>412</v>
      </c>
      <c r="F16" s="7" t="s">
        <v>392</v>
      </c>
      <c r="G16" s="27" t="s">
        <v>317</v>
      </c>
      <c r="H16" s="27" t="s">
        <v>325</v>
      </c>
      <c r="I16" s="27" t="s">
        <v>327</v>
      </c>
      <c r="J16" s="28"/>
      <c r="K16" s="9" t="str">
        <f>"27,5"</f>
        <v>27,5</v>
      </c>
      <c r="L16" s="9" t="str">
        <f>"23,4011"</f>
        <v>23,4011</v>
      </c>
      <c r="M16" s="7" t="s">
        <v>319</v>
      </c>
    </row>
    <row r="18" spans="1:13" ht="16">
      <c r="A18" s="49" t="s">
        <v>21</v>
      </c>
      <c r="B18" s="49"/>
      <c r="C18" s="50"/>
      <c r="D18" s="50"/>
      <c r="E18" s="50"/>
      <c r="F18" s="50"/>
      <c r="G18" s="50"/>
      <c r="H18" s="50"/>
      <c r="I18" s="50"/>
      <c r="J18" s="50"/>
    </row>
    <row r="19" spans="1:13">
      <c r="A19" s="28" t="s">
        <v>66</v>
      </c>
      <c r="B19" s="7" t="s">
        <v>339</v>
      </c>
      <c r="C19" s="7" t="s">
        <v>372</v>
      </c>
      <c r="D19" s="7" t="s">
        <v>328</v>
      </c>
      <c r="E19" s="8" t="s">
        <v>412</v>
      </c>
      <c r="F19" s="7" t="s">
        <v>392</v>
      </c>
      <c r="G19" s="26" t="s">
        <v>133</v>
      </c>
      <c r="H19" s="27" t="s">
        <v>133</v>
      </c>
      <c r="I19" s="26" t="s">
        <v>236</v>
      </c>
      <c r="J19" s="28"/>
      <c r="K19" s="9" t="str">
        <f>"40,0"</f>
        <v>40,0</v>
      </c>
      <c r="L19" s="9" t="str">
        <f>"24,9700"</f>
        <v>24,9700</v>
      </c>
      <c r="M19" s="7"/>
    </row>
    <row r="21" spans="1:13" ht="16">
      <c r="A21" s="49" t="s">
        <v>45</v>
      </c>
      <c r="B21" s="49"/>
      <c r="C21" s="50"/>
      <c r="D21" s="50"/>
      <c r="E21" s="50"/>
      <c r="F21" s="50"/>
      <c r="G21" s="50"/>
      <c r="H21" s="50"/>
      <c r="I21" s="50"/>
      <c r="J21" s="50"/>
    </row>
    <row r="22" spans="1:13">
      <c r="A22" s="28" t="s">
        <v>66</v>
      </c>
      <c r="B22" s="7" t="s">
        <v>340</v>
      </c>
      <c r="C22" s="7" t="s">
        <v>329</v>
      </c>
      <c r="D22" s="7" t="s">
        <v>330</v>
      </c>
      <c r="E22" s="8" t="s">
        <v>405</v>
      </c>
      <c r="F22" s="7" t="s">
        <v>398</v>
      </c>
      <c r="G22" s="27" t="s">
        <v>16</v>
      </c>
      <c r="H22" s="27" t="s">
        <v>85</v>
      </c>
      <c r="I22" s="26" t="s">
        <v>241</v>
      </c>
      <c r="J22" s="28"/>
      <c r="K22" s="9" t="str">
        <f>"92,5"</f>
        <v>92,5</v>
      </c>
      <c r="L22" s="9" t="str">
        <f>"52,1376"</f>
        <v>52,1376</v>
      </c>
      <c r="M22" s="7"/>
    </row>
    <row r="24" spans="1:13" ht="16">
      <c r="A24" s="49" t="s">
        <v>75</v>
      </c>
      <c r="B24" s="49"/>
      <c r="C24" s="50"/>
      <c r="D24" s="50"/>
      <c r="E24" s="50"/>
      <c r="F24" s="50"/>
      <c r="G24" s="50"/>
      <c r="H24" s="50"/>
      <c r="I24" s="50"/>
      <c r="J24" s="50"/>
    </row>
    <row r="25" spans="1:13">
      <c r="A25" s="28" t="s">
        <v>66</v>
      </c>
      <c r="B25" s="7" t="s">
        <v>341</v>
      </c>
      <c r="C25" s="7" t="s">
        <v>373</v>
      </c>
      <c r="D25" s="7" t="s">
        <v>331</v>
      </c>
      <c r="E25" s="8" t="s">
        <v>408</v>
      </c>
      <c r="F25" s="7" t="s">
        <v>392</v>
      </c>
      <c r="G25" s="27" t="s">
        <v>87</v>
      </c>
      <c r="H25" s="27" t="s">
        <v>143</v>
      </c>
      <c r="I25" s="27" t="s">
        <v>94</v>
      </c>
      <c r="J25" s="28"/>
      <c r="K25" s="9" t="str">
        <f>"65,0"</f>
        <v>65,0</v>
      </c>
      <c r="L25" s="9" t="str">
        <f>"37,8194"</f>
        <v>37,8194</v>
      </c>
      <c r="M25" s="7" t="s">
        <v>319</v>
      </c>
    </row>
    <row r="27" spans="1:13" ht="16">
      <c r="A27" s="49" t="s">
        <v>211</v>
      </c>
      <c r="B27" s="49"/>
      <c r="C27" s="50"/>
      <c r="D27" s="50"/>
      <c r="E27" s="50"/>
      <c r="F27" s="50"/>
      <c r="G27" s="50"/>
      <c r="H27" s="50"/>
      <c r="I27" s="50"/>
      <c r="J27" s="50"/>
    </row>
    <row r="28" spans="1:13">
      <c r="A28" s="28" t="s">
        <v>66</v>
      </c>
      <c r="B28" s="7" t="s">
        <v>342</v>
      </c>
      <c r="C28" s="7" t="s">
        <v>332</v>
      </c>
      <c r="D28" s="7" t="s">
        <v>333</v>
      </c>
      <c r="E28" s="8" t="s">
        <v>405</v>
      </c>
      <c r="F28" s="7" t="s">
        <v>392</v>
      </c>
      <c r="G28" s="27" t="s">
        <v>334</v>
      </c>
      <c r="H28" s="26" t="s">
        <v>306</v>
      </c>
      <c r="I28" s="26" t="s">
        <v>306</v>
      </c>
      <c r="J28" s="28"/>
      <c r="K28" s="9" t="str">
        <f>"77,5"</f>
        <v>77,5</v>
      </c>
      <c r="L28" s="9" t="str">
        <f>"41,6500"</f>
        <v>41,6500</v>
      </c>
      <c r="M28" s="7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7:J27"/>
    <mergeCell ref="B3:B4"/>
    <mergeCell ref="A8:J8"/>
    <mergeCell ref="A11:J11"/>
    <mergeCell ref="A15:J15"/>
    <mergeCell ref="A18:J18"/>
    <mergeCell ref="A21:J21"/>
    <mergeCell ref="A24:J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28.83203125" style="5" bestFit="1" customWidth="1"/>
    <col min="7" max="9" width="4.6640625" style="24" bestFit="1" customWidth="1"/>
    <col min="10" max="10" width="4.33203125" style="24" bestFit="1" customWidth="1"/>
    <col min="11" max="11" width="10.5" style="6" bestFit="1" customWidth="1"/>
    <col min="12" max="12" width="7.664062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3" t="s">
        <v>388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315</v>
      </c>
      <c r="H3" s="67"/>
      <c r="I3" s="67"/>
      <c r="J3" s="67"/>
      <c r="K3" s="65" t="s">
        <v>183</v>
      </c>
      <c r="L3" s="65" t="s">
        <v>3</v>
      </c>
      <c r="M3" s="70" t="s">
        <v>2</v>
      </c>
    </row>
    <row r="4" spans="1:13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71"/>
    </row>
    <row r="5" spans="1:13" ht="16">
      <c r="A5" s="51" t="s">
        <v>21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31" t="s">
        <v>66</v>
      </c>
      <c r="B6" s="10" t="s">
        <v>361</v>
      </c>
      <c r="C6" s="10" t="s">
        <v>364</v>
      </c>
      <c r="D6" s="10" t="s">
        <v>360</v>
      </c>
      <c r="E6" s="11" t="s">
        <v>407</v>
      </c>
      <c r="F6" s="10" t="s">
        <v>392</v>
      </c>
      <c r="G6" s="29" t="s">
        <v>87</v>
      </c>
      <c r="H6" s="29" t="s">
        <v>88</v>
      </c>
      <c r="I6" s="29" t="s">
        <v>143</v>
      </c>
      <c r="J6" s="31"/>
      <c r="K6" s="12" t="str">
        <f>"60,0"</f>
        <v>60,0</v>
      </c>
      <c r="L6" s="12" t="str">
        <f>"37,3800"</f>
        <v>37,3800</v>
      </c>
      <c r="M6" s="41"/>
    </row>
    <row r="7" spans="1:13">
      <c r="A7" s="34" t="s">
        <v>66</v>
      </c>
      <c r="B7" s="13" t="s">
        <v>359</v>
      </c>
      <c r="C7" s="13" t="s">
        <v>350</v>
      </c>
      <c r="D7" s="13" t="s">
        <v>351</v>
      </c>
      <c r="E7" s="14" t="s">
        <v>405</v>
      </c>
      <c r="F7" s="13" t="s">
        <v>402</v>
      </c>
      <c r="G7" s="32" t="s">
        <v>143</v>
      </c>
      <c r="H7" s="32" t="s">
        <v>352</v>
      </c>
      <c r="I7" s="33" t="s">
        <v>131</v>
      </c>
      <c r="J7" s="34"/>
      <c r="K7" s="15" t="str">
        <f>"67,5"</f>
        <v>67,5</v>
      </c>
      <c r="L7" s="15" t="str">
        <f>"41,7724"</f>
        <v>41,7724</v>
      </c>
      <c r="M7" s="1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2.83203125" style="5" customWidth="1"/>
    <col min="7" max="9" width="4.5" style="24" customWidth="1"/>
    <col min="10" max="10" width="4.83203125" style="24" customWidth="1"/>
    <col min="11" max="11" width="10.5" style="6" bestFit="1" customWidth="1"/>
    <col min="12" max="12" width="7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3" t="s">
        <v>389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315</v>
      </c>
      <c r="H3" s="67"/>
      <c r="I3" s="67"/>
      <c r="J3" s="67"/>
      <c r="K3" s="65" t="s">
        <v>183</v>
      </c>
      <c r="L3" s="65" t="s">
        <v>3</v>
      </c>
      <c r="M3" s="70" t="s">
        <v>2</v>
      </c>
    </row>
    <row r="4" spans="1:13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71"/>
    </row>
    <row r="5" spans="1:13" ht="16">
      <c r="A5" s="51" t="s">
        <v>45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8" t="s">
        <v>66</v>
      </c>
      <c r="B6" s="7" t="s">
        <v>340</v>
      </c>
      <c r="C6" s="7" t="s">
        <v>329</v>
      </c>
      <c r="D6" s="7" t="s">
        <v>330</v>
      </c>
      <c r="E6" s="8" t="s">
        <v>405</v>
      </c>
      <c r="F6" s="7" t="s">
        <v>398</v>
      </c>
      <c r="G6" s="27" t="s">
        <v>15</v>
      </c>
      <c r="H6" s="26" t="s">
        <v>17</v>
      </c>
      <c r="I6" s="27" t="s">
        <v>17</v>
      </c>
      <c r="J6" s="28"/>
      <c r="K6" s="9" t="str">
        <f>"90,0"</f>
        <v>90,0</v>
      </c>
      <c r="L6" s="9" t="str">
        <f>"50,7285"</f>
        <v>50,7285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2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3.1640625" style="5" customWidth="1"/>
    <col min="7" max="9" width="5.5" style="24" customWidth="1"/>
    <col min="10" max="10" width="4.83203125" style="24" customWidth="1"/>
    <col min="11" max="13" width="5.5" style="24" customWidth="1"/>
    <col min="14" max="14" width="4.83203125" style="24" customWidth="1"/>
    <col min="15" max="17" width="5.5" style="24" customWidth="1"/>
    <col min="18" max="18" width="4.83203125" style="24" customWidth="1"/>
    <col min="19" max="19" width="7.83203125" style="25" bestFit="1" customWidth="1"/>
    <col min="20" max="20" width="8.5" style="6" bestFit="1" customWidth="1"/>
    <col min="21" max="21" width="19.33203125" style="5" bestFit="1" customWidth="1"/>
    <col min="22" max="16384" width="9.1640625" style="3"/>
  </cols>
  <sheetData>
    <row r="1" spans="1:21" s="2" customFormat="1" ht="29" customHeight="1">
      <c r="A1" s="53" t="s">
        <v>377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7</v>
      </c>
      <c r="H3" s="67"/>
      <c r="I3" s="67"/>
      <c r="J3" s="67"/>
      <c r="K3" s="67" t="s">
        <v>8</v>
      </c>
      <c r="L3" s="67"/>
      <c r="M3" s="67"/>
      <c r="N3" s="67"/>
      <c r="O3" s="67" t="s">
        <v>9</v>
      </c>
      <c r="P3" s="67"/>
      <c r="Q3" s="67"/>
      <c r="R3" s="67"/>
      <c r="S3" s="72" t="s">
        <v>1</v>
      </c>
      <c r="T3" s="65" t="s">
        <v>3</v>
      </c>
      <c r="U3" s="70" t="s">
        <v>2</v>
      </c>
    </row>
    <row r="4" spans="1:21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3"/>
      <c r="T4" s="66"/>
      <c r="U4" s="71"/>
    </row>
    <row r="5" spans="1:21" ht="16">
      <c r="A5" s="51" t="s">
        <v>82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8" t="s">
        <v>71</v>
      </c>
      <c r="B6" s="7" t="s">
        <v>116</v>
      </c>
      <c r="C6" s="7" t="s">
        <v>83</v>
      </c>
      <c r="D6" s="7" t="s">
        <v>84</v>
      </c>
      <c r="E6" s="8" t="s">
        <v>405</v>
      </c>
      <c r="F6" s="7" t="s">
        <v>392</v>
      </c>
      <c r="G6" s="26" t="s">
        <v>85</v>
      </c>
      <c r="H6" s="26" t="s">
        <v>86</v>
      </c>
      <c r="I6" s="27" t="s">
        <v>86</v>
      </c>
      <c r="J6" s="28"/>
      <c r="K6" s="26" t="s">
        <v>87</v>
      </c>
      <c r="L6" s="26" t="s">
        <v>88</v>
      </c>
      <c r="M6" s="26" t="s">
        <v>88</v>
      </c>
      <c r="N6" s="28"/>
      <c r="O6" s="26"/>
      <c r="P6" s="28"/>
      <c r="Q6" s="28"/>
      <c r="R6" s="28"/>
      <c r="S6" s="47">
        <v>0</v>
      </c>
      <c r="T6" s="9" t="str">
        <f>"0,0000"</f>
        <v>0,0000</v>
      </c>
      <c r="U6" s="7" t="s">
        <v>90</v>
      </c>
    </row>
    <row r="8" spans="1:21" ht="16">
      <c r="A8" s="49" t="s">
        <v>21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28" t="s">
        <v>66</v>
      </c>
      <c r="B9" s="7" t="s">
        <v>117</v>
      </c>
      <c r="C9" s="7" t="s">
        <v>91</v>
      </c>
      <c r="D9" s="7" t="s">
        <v>92</v>
      </c>
      <c r="E9" s="8" t="s">
        <v>405</v>
      </c>
      <c r="F9" s="7" t="s">
        <v>392</v>
      </c>
      <c r="G9" s="26" t="s">
        <v>89</v>
      </c>
      <c r="H9" s="27" t="s">
        <v>89</v>
      </c>
      <c r="I9" s="27" t="s">
        <v>93</v>
      </c>
      <c r="J9" s="28"/>
      <c r="K9" s="27" t="s">
        <v>87</v>
      </c>
      <c r="L9" s="26" t="s">
        <v>94</v>
      </c>
      <c r="M9" s="26" t="s">
        <v>94</v>
      </c>
      <c r="N9" s="28"/>
      <c r="O9" s="27" t="s">
        <v>89</v>
      </c>
      <c r="P9" s="27" t="s">
        <v>95</v>
      </c>
      <c r="Q9" s="27" t="s">
        <v>93</v>
      </c>
      <c r="R9" s="28"/>
      <c r="S9" s="47" t="str">
        <f>"275,0"</f>
        <v>275,0</v>
      </c>
      <c r="T9" s="9" t="str">
        <f>"245,2175"</f>
        <v>245,2175</v>
      </c>
      <c r="U9" s="7" t="s">
        <v>96</v>
      </c>
    </row>
    <row r="11" spans="1:21" ht="16">
      <c r="A11" s="49" t="s">
        <v>10</v>
      </c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1">
      <c r="A12" s="28" t="s">
        <v>66</v>
      </c>
      <c r="B12" s="7" t="s">
        <v>118</v>
      </c>
      <c r="C12" s="7" t="s">
        <v>97</v>
      </c>
      <c r="D12" s="7" t="s">
        <v>98</v>
      </c>
      <c r="E12" s="8" t="s">
        <v>405</v>
      </c>
      <c r="F12" s="7" t="s">
        <v>392</v>
      </c>
      <c r="G12" s="27" t="s">
        <v>13</v>
      </c>
      <c r="H12" s="27" t="s">
        <v>99</v>
      </c>
      <c r="I12" s="27" t="s">
        <v>100</v>
      </c>
      <c r="J12" s="28"/>
      <c r="K12" s="27" t="s">
        <v>95</v>
      </c>
      <c r="L12" s="27" t="s">
        <v>93</v>
      </c>
      <c r="M12" s="27" t="s">
        <v>101</v>
      </c>
      <c r="N12" s="28"/>
      <c r="O12" s="27" t="s">
        <v>44</v>
      </c>
      <c r="P12" s="27" t="s">
        <v>51</v>
      </c>
      <c r="Q12" s="26" t="s">
        <v>102</v>
      </c>
      <c r="R12" s="28"/>
      <c r="S12" s="47" t="str">
        <f>"465,0"</f>
        <v>465,0</v>
      </c>
      <c r="T12" s="9" t="str">
        <f>"314,7585"</f>
        <v>314,7585</v>
      </c>
      <c r="U12" s="7"/>
    </row>
    <row r="14" spans="1:21" ht="16">
      <c r="A14" s="49" t="s">
        <v>21</v>
      </c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21">
      <c r="A15" s="28" t="s">
        <v>66</v>
      </c>
      <c r="B15" s="7" t="s">
        <v>119</v>
      </c>
      <c r="C15" s="7" t="s">
        <v>104</v>
      </c>
      <c r="D15" s="7" t="s">
        <v>105</v>
      </c>
      <c r="E15" s="8" t="s">
        <v>405</v>
      </c>
      <c r="F15" s="7" t="s">
        <v>392</v>
      </c>
      <c r="G15" s="27" t="s">
        <v>19</v>
      </c>
      <c r="H15" s="27" t="s">
        <v>106</v>
      </c>
      <c r="I15" s="27" t="s">
        <v>80</v>
      </c>
      <c r="J15" s="28"/>
      <c r="K15" s="27" t="s">
        <v>107</v>
      </c>
      <c r="L15" s="27" t="s">
        <v>13</v>
      </c>
      <c r="M15" s="27" t="s">
        <v>108</v>
      </c>
      <c r="N15" s="28"/>
      <c r="O15" s="27" t="s">
        <v>109</v>
      </c>
      <c r="P15" s="27" t="s">
        <v>78</v>
      </c>
      <c r="Q15" s="27" t="s">
        <v>110</v>
      </c>
      <c r="R15" s="28"/>
      <c r="S15" s="47" t="str">
        <f>"600,0"</f>
        <v>600,0</v>
      </c>
      <c r="T15" s="9" t="str">
        <f>"383,4600"</f>
        <v>383,4600</v>
      </c>
      <c r="U15" s="7"/>
    </row>
    <row r="17" spans="1:21" ht="16">
      <c r="A17" s="49" t="s">
        <v>41</v>
      </c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21">
      <c r="A18" s="28" t="s">
        <v>66</v>
      </c>
      <c r="B18" s="7" t="s">
        <v>120</v>
      </c>
      <c r="C18" s="7" t="s">
        <v>112</v>
      </c>
      <c r="D18" s="7" t="s">
        <v>113</v>
      </c>
      <c r="E18" s="8" t="s">
        <v>405</v>
      </c>
      <c r="F18" s="7" t="s">
        <v>392</v>
      </c>
      <c r="G18" s="27" t="s">
        <v>34</v>
      </c>
      <c r="H18" s="27" t="s">
        <v>35</v>
      </c>
      <c r="I18" s="27" t="s">
        <v>25</v>
      </c>
      <c r="J18" s="28"/>
      <c r="K18" s="27" t="s">
        <v>14</v>
      </c>
      <c r="L18" s="27" t="s">
        <v>99</v>
      </c>
      <c r="M18" s="27" t="s">
        <v>28</v>
      </c>
      <c r="N18" s="28"/>
      <c r="O18" s="27" t="s">
        <v>34</v>
      </c>
      <c r="P18" s="27" t="s">
        <v>35</v>
      </c>
      <c r="Q18" s="27" t="s">
        <v>25</v>
      </c>
      <c r="R18" s="28"/>
      <c r="S18" s="47" t="str">
        <f>"660,0"</f>
        <v>660,0</v>
      </c>
      <c r="T18" s="9" t="str">
        <f>"402,4680"</f>
        <v>402,4680</v>
      </c>
      <c r="U18" s="7"/>
    </row>
    <row r="21" spans="1:21">
      <c r="C21" s="3"/>
      <c r="D21" s="3"/>
      <c r="E21" s="3"/>
      <c r="F21" s="3"/>
      <c r="G21" s="3"/>
    </row>
    <row r="22" spans="1:21" ht="18">
      <c r="B22" s="17" t="s">
        <v>57</v>
      </c>
      <c r="C22" s="17"/>
      <c r="G22" s="3"/>
    </row>
    <row r="23" spans="1:21" ht="16">
      <c r="B23" s="18" t="s">
        <v>58</v>
      </c>
      <c r="C23" s="18"/>
      <c r="G23" s="3"/>
    </row>
    <row r="24" spans="1:21" ht="14">
      <c r="B24" s="19"/>
      <c r="C24" s="20" t="s">
        <v>59</v>
      </c>
      <c r="G24" s="3"/>
    </row>
    <row r="25" spans="1:21" ht="14">
      <c r="B25" s="21" t="s">
        <v>60</v>
      </c>
      <c r="C25" s="21" t="s">
        <v>61</v>
      </c>
      <c r="D25" s="21" t="s">
        <v>374</v>
      </c>
      <c r="E25" s="22" t="s">
        <v>62</v>
      </c>
      <c r="F25" s="21" t="s">
        <v>63</v>
      </c>
      <c r="G25" s="3"/>
    </row>
    <row r="26" spans="1:21">
      <c r="B26" s="5" t="s">
        <v>111</v>
      </c>
      <c r="C26" s="5" t="s">
        <v>59</v>
      </c>
      <c r="D26" s="24" t="s">
        <v>114</v>
      </c>
      <c r="E26" s="25">
        <v>660</v>
      </c>
      <c r="F26" s="23">
        <v>402.46798753738398</v>
      </c>
      <c r="G26" s="3"/>
    </row>
    <row r="27" spans="1:21">
      <c r="B27" s="5" t="s">
        <v>103</v>
      </c>
      <c r="C27" s="5" t="s">
        <v>59</v>
      </c>
      <c r="D27" s="24" t="s">
        <v>65</v>
      </c>
      <c r="E27" s="25">
        <v>600</v>
      </c>
      <c r="F27" s="23">
        <v>383.46000909805298</v>
      </c>
      <c r="G27" s="5"/>
    </row>
    <row r="28" spans="1:21">
      <c r="B28" s="5" t="s">
        <v>90</v>
      </c>
      <c r="C28" s="5" t="s">
        <v>59</v>
      </c>
      <c r="D28" s="24" t="s">
        <v>115</v>
      </c>
      <c r="E28" s="25">
        <v>465</v>
      </c>
      <c r="F28" s="23">
        <v>314.75851356983202</v>
      </c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A17:R17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29.83203125" style="5" customWidth="1"/>
    <col min="7" max="9" width="5.5" style="24" customWidth="1"/>
    <col min="10" max="10" width="4.83203125" style="24" customWidth="1"/>
    <col min="11" max="13" width="5.5" style="24" customWidth="1"/>
    <col min="14" max="14" width="4.83203125" style="24" customWidth="1"/>
    <col min="15" max="17" width="5.5" style="24" customWidth="1"/>
    <col min="18" max="18" width="4.83203125" style="24" customWidth="1"/>
    <col min="19" max="19" width="7.83203125" style="6" bestFit="1" customWidth="1"/>
    <col min="20" max="20" width="8.5" style="6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53" t="s">
        <v>378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7</v>
      </c>
      <c r="H3" s="67"/>
      <c r="I3" s="67"/>
      <c r="J3" s="67"/>
      <c r="K3" s="67" t="s">
        <v>8</v>
      </c>
      <c r="L3" s="67"/>
      <c r="M3" s="67"/>
      <c r="N3" s="67"/>
      <c r="O3" s="67" t="s">
        <v>9</v>
      </c>
      <c r="P3" s="67"/>
      <c r="Q3" s="67"/>
      <c r="R3" s="67"/>
      <c r="S3" s="65" t="s">
        <v>1</v>
      </c>
      <c r="T3" s="65" t="s">
        <v>3</v>
      </c>
      <c r="U3" s="70" t="s">
        <v>2</v>
      </c>
    </row>
    <row r="4" spans="1:21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6"/>
      <c r="T4" s="66"/>
      <c r="U4" s="71"/>
    </row>
    <row r="5" spans="1:21" ht="16">
      <c r="A5" s="51" t="s">
        <v>75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8" t="s">
        <v>66</v>
      </c>
      <c r="B6" s="7" t="s">
        <v>81</v>
      </c>
      <c r="C6" s="7" t="s">
        <v>76</v>
      </c>
      <c r="D6" s="7" t="s">
        <v>77</v>
      </c>
      <c r="E6" s="8" t="s">
        <v>405</v>
      </c>
      <c r="F6" s="43" t="s">
        <v>392</v>
      </c>
      <c r="G6" s="27" t="s">
        <v>33</v>
      </c>
      <c r="H6" s="26" t="s">
        <v>78</v>
      </c>
      <c r="I6" s="27" t="s">
        <v>78</v>
      </c>
      <c r="J6" s="28"/>
      <c r="K6" s="27" t="s">
        <v>79</v>
      </c>
      <c r="L6" s="26" t="s">
        <v>13</v>
      </c>
      <c r="M6" s="26" t="s">
        <v>13</v>
      </c>
      <c r="N6" s="28"/>
      <c r="O6" s="27" t="s">
        <v>80</v>
      </c>
      <c r="P6" s="27" t="s">
        <v>33</v>
      </c>
      <c r="Q6" s="26" t="s">
        <v>34</v>
      </c>
      <c r="R6" s="28"/>
      <c r="S6" s="9" t="str">
        <f>"585,0"</f>
        <v>585,0</v>
      </c>
      <c r="T6" s="9" t="str">
        <f>"336,4335"</f>
        <v>336,4335</v>
      </c>
      <c r="U6" s="7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5">
    <pageSetUpPr fitToPage="1"/>
  </sheetPr>
  <dimension ref="A1:U27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7" style="5" customWidth="1"/>
    <col min="7" max="9" width="5.5" style="24" customWidth="1"/>
    <col min="10" max="10" width="4.83203125" style="24" customWidth="1"/>
    <col min="11" max="13" width="5.5" style="24" customWidth="1"/>
    <col min="14" max="14" width="4.83203125" style="24" customWidth="1"/>
    <col min="15" max="17" width="5.5" style="24" customWidth="1"/>
    <col min="18" max="18" width="4.83203125" style="24" customWidth="1"/>
    <col min="19" max="19" width="7.83203125" style="25" bestFit="1" customWidth="1"/>
    <col min="20" max="20" width="8.5" style="6" bestFit="1" customWidth="1"/>
    <col min="21" max="21" width="18.6640625" style="5" customWidth="1"/>
    <col min="22" max="16384" width="9.1640625" style="3"/>
  </cols>
  <sheetData>
    <row r="1" spans="1:21" s="2" customFormat="1" ht="29" customHeight="1">
      <c r="A1" s="53" t="s">
        <v>379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7</v>
      </c>
      <c r="H3" s="67"/>
      <c r="I3" s="67"/>
      <c r="J3" s="67"/>
      <c r="K3" s="67" t="s">
        <v>8</v>
      </c>
      <c r="L3" s="67"/>
      <c r="M3" s="67"/>
      <c r="N3" s="67"/>
      <c r="O3" s="67" t="s">
        <v>9</v>
      </c>
      <c r="P3" s="67"/>
      <c r="Q3" s="67"/>
      <c r="R3" s="67"/>
      <c r="S3" s="72" t="s">
        <v>1</v>
      </c>
      <c r="T3" s="65" t="s">
        <v>3</v>
      </c>
      <c r="U3" s="70" t="s">
        <v>2</v>
      </c>
    </row>
    <row r="4" spans="1:21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3"/>
      <c r="T4" s="66"/>
      <c r="U4" s="71"/>
    </row>
    <row r="5" spans="1:21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8" t="s">
        <v>66</v>
      </c>
      <c r="B6" s="7" t="s">
        <v>67</v>
      </c>
      <c r="C6" s="7" t="s">
        <v>11</v>
      </c>
      <c r="D6" s="7" t="s">
        <v>12</v>
      </c>
      <c r="E6" s="8" t="s">
        <v>405</v>
      </c>
      <c r="F6" s="43" t="s">
        <v>392</v>
      </c>
      <c r="G6" s="26" t="s">
        <v>13</v>
      </c>
      <c r="H6" s="26" t="s">
        <v>14</v>
      </c>
      <c r="I6" s="27" t="s">
        <v>14</v>
      </c>
      <c r="J6" s="28"/>
      <c r="K6" s="27" t="s">
        <v>15</v>
      </c>
      <c r="L6" s="27" t="s">
        <v>16</v>
      </c>
      <c r="M6" s="26" t="s">
        <v>17</v>
      </c>
      <c r="N6" s="28"/>
      <c r="O6" s="27" t="s">
        <v>18</v>
      </c>
      <c r="P6" s="27" t="s">
        <v>19</v>
      </c>
      <c r="Q6" s="27" t="s">
        <v>20</v>
      </c>
      <c r="R6" s="28"/>
      <c r="S6" s="47" t="str">
        <f>"437,5"</f>
        <v>437,5</v>
      </c>
      <c r="T6" s="9" t="str">
        <f>"297,7625"</f>
        <v>297,7625</v>
      </c>
      <c r="U6" s="7"/>
    </row>
    <row r="8" spans="1:21" ht="16">
      <c r="A8" s="49" t="s">
        <v>21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31" t="s">
        <v>66</v>
      </c>
      <c r="B9" s="10" t="s">
        <v>68</v>
      </c>
      <c r="C9" s="10" t="s">
        <v>23</v>
      </c>
      <c r="D9" s="10" t="s">
        <v>24</v>
      </c>
      <c r="E9" s="11" t="s">
        <v>405</v>
      </c>
      <c r="F9" s="10" t="s">
        <v>393</v>
      </c>
      <c r="G9" s="29" t="s">
        <v>25</v>
      </c>
      <c r="H9" s="29" t="s">
        <v>26</v>
      </c>
      <c r="I9" s="30" t="s">
        <v>27</v>
      </c>
      <c r="J9" s="31"/>
      <c r="K9" s="29" t="s">
        <v>14</v>
      </c>
      <c r="L9" s="30" t="s">
        <v>28</v>
      </c>
      <c r="M9" s="29" t="s">
        <v>28</v>
      </c>
      <c r="N9" s="31"/>
      <c r="O9" s="29" t="s">
        <v>25</v>
      </c>
      <c r="P9" s="29" t="s">
        <v>26</v>
      </c>
      <c r="Q9" s="29" t="s">
        <v>27</v>
      </c>
      <c r="R9" s="31"/>
      <c r="S9" s="48" t="str">
        <f>"690,0"</f>
        <v>690,0</v>
      </c>
      <c r="T9" s="12" t="str">
        <f>"442,7730"</f>
        <v>442,7730</v>
      </c>
      <c r="U9" s="10" t="s">
        <v>29</v>
      </c>
    </row>
    <row r="10" spans="1:21">
      <c r="A10" s="34" t="s">
        <v>69</v>
      </c>
      <c r="B10" s="13" t="s">
        <v>70</v>
      </c>
      <c r="C10" s="13" t="s">
        <v>31</v>
      </c>
      <c r="D10" s="13" t="s">
        <v>32</v>
      </c>
      <c r="E10" s="14" t="s">
        <v>405</v>
      </c>
      <c r="F10" s="44" t="s">
        <v>392</v>
      </c>
      <c r="G10" s="32" t="s">
        <v>33</v>
      </c>
      <c r="H10" s="32" t="s">
        <v>34</v>
      </c>
      <c r="I10" s="33" t="s">
        <v>35</v>
      </c>
      <c r="J10" s="34"/>
      <c r="K10" s="32" t="s">
        <v>36</v>
      </c>
      <c r="L10" s="32" t="s">
        <v>37</v>
      </c>
      <c r="M10" s="32" t="s">
        <v>13</v>
      </c>
      <c r="N10" s="34"/>
      <c r="O10" s="32" t="s">
        <v>38</v>
      </c>
      <c r="P10" s="32" t="s">
        <v>39</v>
      </c>
      <c r="Q10" s="33" t="s">
        <v>40</v>
      </c>
      <c r="R10" s="34"/>
      <c r="S10" s="46" t="str">
        <f>"597,5"</f>
        <v>597,5</v>
      </c>
      <c r="T10" s="15" t="str">
        <f>"392,3185"</f>
        <v>392,3185</v>
      </c>
      <c r="U10" s="13"/>
    </row>
    <row r="12" spans="1:21" ht="16">
      <c r="A12" s="49" t="s">
        <v>41</v>
      </c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21">
      <c r="A13" s="28" t="s">
        <v>71</v>
      </c>
      <c r="B13" s="7" t="s">
        <v>72</v>
      </c>
      <c r="C13" s="7" t="s">
        <v>42</v>
      </c>
      <c r="D13" s="7" t="s">
        <v>43</v>
      </c>
      <c r="E13" s="8" t="s">
        <v>405</v>
      </c>
      <c r="F13" s="43" t="s">
        <v>392</v>
      </c>
      <c r="G13" s="26" t="s">
        <v>34</v>
      </c>
      <c r="H13" s="26" t="s">
        <v>34</v>
      </c>
      <c r="I13" s="26" t="s">
        <v>35</v>
      </c>
      <c r="J13" s="28"/>
      <c r="K13" s="26"/>
      <c r="L13" s="28"/>
      <c r="M13" s="28"/>
      <c r="N13" s="28"/>
      <c r="O13" s="26"/>
      <c r="P13" s="28"/>
      <c r="Q13" s="28"/>
      <c r="R13" s="28"/>
      <c r="S13" s="47">
        <v>0</v>
      </c>
      <c r="T13" s="9" t="str">
        <f>"0,0000"</f>
        <v>0,0000</v>
      </c>
      <c r="U13" s="7" t="s">
        <v>29</v>
      </c>
    </row>
    <row r="15" spans="1:21" ht="16">
      <c r="A15" s="49" t="s">
        <v>45</v>
      </c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21">
      <c r="A16" s="31" t="s">
        <v>66</v>
      </c>
      <c r="B16" s="10" t="s">
        <v>73</v>
      </c>
      <c r="C16" s="10" t="s">
        <v>47</v>
      </c>
      <c r="D16" s="10" t="s">
        <v>48</v>
      </c>
      <c r="E16" s="11" t="s">
        <v>405</v>
      </c>
      <c r="F16" s="41" t="s">
        <v>392</v>
      </c>
      <c r="G16" s="29" t="s">
        <v>27</v>
      </c>
      <c r="H16" s="30" t="s">
        <v>49</v>
      </c>
      <c r="I16" s="29" t="s">
        <v>50</v>
      </c>
      <c r="J16" s="31"/>
      <c r="K16" s="29" t="s">
        <v>44</v>
      </c>
      <c r="L16" s="29" t="s">
        <v>18</v>
      </c>
      <c r="M16" s="30" t="s">
        <v>51</v>
      </c>
      <c r="N16" s="31"/>
      <c r="O16" s="29" t="s">
        <v>27</v>
      </c>
      <c r="P16" s="29" t="s">
        <v>52</v>
      </c>
      <c r="Q16" s="30" t="s">
        <v>53</v>
      </c>
      <c r="R16" s="31"/>
      <c r="S16" s="48" t="str">
        <f>"755,0"</f>
        <v>755,0</v>
      </c>
      <c r="T16" s="12" t="str">
        <f>"447,0355"</f>
        <v>447,0355</v>
      </c>
      <c r="U16" s="10" t="s">
        <v>29</v>
      </c>
    </row>
    <row r="17" spans="1:21">
      <c r="A17" s="34" t="s">
        <v>69</v>
      </c>
      <c r="B17" s="13" t="s">
        <v>74</v>
      </c>
      <c r="C17" s="13" t="s">
        <v>54</v>
      </c>
      <c r="D17" s="13" t="s">
        <v>55</v>
      </c>
      <c r="E17" s="14" t="s">
        <v>405</v>
      </c>
      <c r="F17" s="13" t="s">
        <v>393</v>
      </c>
      <c r="G17" s="32" t="s">
        <v>35</v>
      </c>
      <c r="H17" s="32" t="s">
        <v>25</v>
      </c>
      <c r="I17" s="32" t="s">
        <v>26</v>
      </c>
      <c r="J17" s="34"/>
      <c r="K17" s="32" t="s">
        <v>13</v>
      </c>
      <c r="L17" s="32" t="s">
        <v>56</v>
      </c>
      <c r="M17" s="33" t="s">
        <v>14</v>
      </c>
      <c r="N17" s="34"/>
      <c r="O17" s="32" t="s">
        <v>35</v>
      </c>
      <c r="P17" s="32" t="s">
        <v>25</v>
      </c>
      <c r="Q17" s="33" t="s">
        <v>26</v>
      </c>
      <c r="R17" s="34"/>
      <c r="S17" s="46" t="str">
        <f>"657,5"</f>
        <v>657,5</v>
      </c>
      <c r="T17" s="15" t="str">
        <f>"387,7277"</f>
        <v>387,7277</v>
      </c>
      <c r="U17" s="13"/>
    </row>
    <row r="19" spans="1:21">
      <c r="G19" s="5"/>
    </row>
    <row r="21" spans="1:21" ht="18">
      <c r="B21" s="17" t="s">
        <v>57</v>
      </c>
      <c r="C21" s="17"/>
    </row>
    <row r="22" spans="1:21" ht="16">
      <c r="B22" s="18" t="s">
        <v>58</v>
      </c>
      <c r="C22" s="18"/>
    </row>
    <row r="23" spans="1:21" ht="14">
      <c r="B23" s="19"/>
      <c r="C23" s="20" t="s">
        <v>59</v>
      </c>
    </row>
    <row r="24" spans="1:21" ht="14">
      <c r="B24" s="21" t="s">
        <v>60</v>
      </c>
      <c r="C24" s="21" t="s">
        <v>61</v>
      </c>
      <c r="D24" s="21" t="s">
        <v>374</v>
      </c>
      <c r="E24" s="22" t="s">
        <v>62</v>
      </c>
      <c r="F24" s="21" t="s">
        <v>63</v>
      </c>
    </row>
    <row r="25" spans="1:21">
      <c r="B25" s="5" t="s">
        <v>46</v>
      </c>
      <c r="C25" s="5" t="s">
        <v>59</v>
      </c>
      <c r="D25" s="24" t="s">
        <v>64</v>
      </c>
      <c r="E25" s="25">
        <v>755</v>
      </c>
      <c r="F25" s="23">
        <v>447.03551828861202</v>
      </c>
    </row>
    <row r="26" spans="1:21">
      <c r="B26" s="5" t="s">
        <v>22</v>
      </c>
      <c r="C26" s="5" t="s">
        <v>59</v>
      </c>
      <c r="D26" s="24" t="s">
        <v>65</v>
      </c>
      <c r="E26" s="25">
        <v>690</v>
      </c>
      <c r="F26" s="23">
        <v>442.77302026748703</v>
      </c>
    </row>
    <row r="27" spans="1:21">
      <c r="B27" s="5" t="s">
        <v>30</v>
      </c>
      <c r="C27" s="5" t="s">
        <v>59</v>
      </c>
      <c r="D27" s="24" t="s">
        <v>65</v>
      </c>
      <c r="E27" s="25">
        <v>597.5</v>
      </c>
      <c r="F27" s="23">
        <v>392.31849908828701</v>
      </c>
      <c r="G27" s="5"/>
    </row>
  </sheetData>
  <mergeCells count="17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A12:R12"/>
    <mergeCell ref="A15:R15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2.33203125" style="5" bestFit="1" customWidth="1"/>
    <col min="7" max="9" width="5.5" style="24" customWidth="1"/>
    <col min="10" max="10" width="4.83203125" style="24" customWidth="1"/>
    <col min="11" max="13" width="5.5" style="24" customWidth="1"/>
    <col min="14" max="14" width="4.83203125" style="24" customWidth="1"/>
    <col min="15" max="15" width="7.83203125" style="6" bestFit="1" customWidth="1"/>
    <col min="16" max="16" width="8.5" style="6" bestFit="1" customWidth="1"/>
    <col min="17" max="17" width="19.83203125" style="5" bestFit="1" customWidth="1"/>
    <col min="18" max="16384" width="9.1640625" style="3"/>
  </cols>
  <sheetData>
    <row r="1" spans="1:17" s="2" customFormat="1" ht="29" customHeight="1">
      <c r="A1" s="53" t="s">
        <v>380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8</v>
      </c>
      <c r="H3" s="67"/>
      <c r="I3" s="67"/>
      <c r="J3" s="67"/>
      <c r="K3" s="67" t="s">
        <v>9</v>
      </c>
      <c r="L3" s="67"/>
      <c r="M3" s="67"/>
      <c r="N3" s="67"/>
      <c r="O3" s="65" t="s">
        <v>1</v>
      </c>
      <c r="P3" s="65" t="s">
        <v>3</v>
      </c>
      <c r="Q3" s="70" t="s">
        <v>2</v>
      </c>
    </row>
    <row r="4" spans="1:17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6"/>
      <c r="P4" s="66"/>
      <c r="Q4" s="71"/>
    </row>
    <row r="5" spans="1:17" ht="16">
      <c r="A5" s="51" t="s">
        <v>303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28" t="s">
        <v>66</v>
      </c>
      <c r="B6" s="7" t="s">
        <v>312</v>
      </c>
      <c r="C6" s="7" t="s">
        <v>304</v>
      </c>
      <c r="D6" s="7" t="s">
        <v>305</v>
      </c>
      <c r="E6" s="8" t="s">
        <v>405</v>
      </c>
      <c r="F6" s="7" t="s">
        <v>398</v>
      </c>
      <c r="G6" s="27" t="s">
        <v>132</v>
      </c>
      <c r="H6" s="26" t="s">
        <v>134</v>
      </c>
      <c r="I6" s="27" t="s">
        <v>134</v>
      </c>
      <c r="J6" s="28"/>
      <c r="K6" s="27" t="s">
        <v>124</v>
      </c>
      <c r="L6" s="27" t="s">
        <v>186</v>
      </c>
      <c r="M6" s="27" t="s">
        <v>306</v>
      </c>
      <c r="N6" s="28"/>
      <c r="O6" s="9" t="str">
        <f>"130,0"</f>
        <v>130,0</v>
      </c>
      <c r="P6" s="9" t="str">
        <f>"175,9160"</f>
        <v>175,9160</v>
      </c>
      <c r="Q6" s="7" t="s">
        <v>307</v>
      </c>
    </row>
    <row r="8" spans="1:17" ht="16">
      <c r="A8" s="49" t="s">
        <v>21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7">
      <c r="A9" s="28" t="s">
        <v>66</v>
      </c>
      <c r="B9" s="7" t="s">
        <v>314</v>
      </c>
      <c r="C9" s="7" t="s">
        <v>310</v>
      </c>
      <c r="D9" s="7" t="s">
        <v>311</v>
      </c>
      <c r="E9" s="8" t="s">
        <v>405</v>
      </c>
      <c r="F9" s="7" t="s">
        <v>399</v>
      </c>
      <c r="G9" s="27" t="s">
        <v>79</v>
      </c>
      <c r="H9" s="26" t="s">
        <v>107</v>
      </c>
      <c r="I9" s="26" t="s">
        <v>107</v>
      </c>
      <c r="J9" s="28"/>
      <c r="K9" s="27" t="s">
        <v>34</v>
      </c>
      <c r="L9" s="26" t="s">
        <v>35</v>
      </c>
      <c r="M9" s="26" t="s">
        <v>35</v>
      </c>
      <c r="N9" s="28"/>
      <c r="O9" s="9" t="str">
        <f>"360,0"</f>
        <v>360,0</v>
      </c>
      <c r="P9" s="9" t="str">
        <f>"234,8280"</f>
        <v>234,8280</v>
      </c>
      <c r="Q9" s="7" t="s">
        <v>29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28.83203125" style="5" bestFit="1" customWidth="1"/>
    <col min="7" max="9" width="5.5" style="24" customWidth="1"/>
    <col min="10" max="10" width="4.83203125" style="24" customWidth="1"/>
    <col min="11" max="13" width="5.5" style="24" customWidth="1"/>
    <col min="14" max="14" width="4.83203125" style="24" customWidth="1"/>
    <col min="15" max="15" width="7.83203125" style="6" bestFit="1" customWidth="1"/>
    <col min="16" max="16" width="8.5" style="6" bestFit="1" customWidth="1"/>
    <col min="17" max="17" width="15.33203125" style="5" bestFit="1" customWidth="1"/>
    <col min="18" max="16384" width="9.1640625" style="3"/>
  </cols>
  <sheetData>
    <row r="1" spans="1:17" s="2" customFormat="1" ht="29" customHeight="1">
      <c r="A1" s="53" t="s">
        <v>381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8</v>
      </c>
      <c r="H3" s="67"/>
      <c r="I3" s="67"/>
      <c r="J3" s="67"/>
      <c r="K3" s="67" t="s">
        <v>9</v>
      </c>
      <c r="L3" s="67"/>
      <c r="M3" s="67"/>
      <c r="N3" s="67"/>
      <c r="O3" s="65" t="s">
        <v>1</v>
      </c>
      <c r="P3" s="65" t="s">
        <v>3</v>
      </c>
      <c r="Q3" s="70" t="s">
        <v>2</v>
      </c>
    </row>
    <row r="4" spans="1:17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6"/>
      <c r="P4" s="66"/>
      <c r="Q4" s="71"/>
    </row>
    <row r="5" spans="1:17" ht="16">
      <c r="A5" s="51" t="s">
        <v>41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28" t="s">
        <v>66</v>
      </c>
      <c r="B6" s="7" t="s">
        <v>72</v>
      </c>
      <c r="C6" s="7" t="s">
        <v>42</v>
      </c>
      <c r="D6" s="7" t="s">
        <v>43</v>
      </c>
      <c r="E6" s="8" t="s">
        <v>405</v>
      </c>
      <c r="F6" s="43" t="s">
        <v>392</v>
      </c>
      <c r="G6" s="27" t="s">
        <v>44</v>
      </c>
      <c r="H6" s="26" t="s">
        <v>18</v>
      </c>
      <c r="I6" s="26" t="s">
        <v>18</v>
      </c>
      <c r="J6" s="28"/>
      <c r="K6" s="27" t="s">
        <v>34</v>
      </c>
      <c r="L6" s="27" t="s">
        <v>35</v>
      </c>
      <c r="M6" s="26" t="s">
        <v>25</v>
      </c>
      <c r="N6" s="28"/>
      <c r="O6" s="9" t="str">
        <f>"410,0"</f>
        <v>410,0</v>
      </c>
      <c r="P6" s="9" t="str">
        <f>"251,2890"</f>
        <v>251,2890</v>
      </c>
      <c r="Q6" s="7" t="s">
        <v>29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8"/>
  <sheetViews>
    <sheetView topLeftCell="A2" workbookViewId="0">
      <selection activeCell="E38" sqref="E38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43.33203125" style="5" customWidth="1"/>
    <col min="7" max="9" width="5.5" style="24" customWidth="1"/>
    <col min="10" max="10" width="4.83203125" style="24" customWidth="1"/>
    <col min="11" max="11" width="10.5" style="25" bestFit="1" customWidth="1"/>
    <col min="12" max="12" width="8.5" style="6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53" t="s">
        <v>382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8</v>
      </c>
      <c r="H3" s="67"/>
      <c r="I3" s="67"/>
      <c r="J3" s="67"/>
      <c r="K3" s="72" t="s">
        <v>183</v>
      </c>
      <c r="L3" s="65" t="s">
        <v>3</v>
      </c>
      <c r="M3" s="70" t="s">
        <v>2</v>
      </c>
    </row>
    <row r="4" spans="1:13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73"/>
      <c r="L4" s="66"/>
      <c r="M4" s="71"/>
    </row>
    <row r="5" spans="1:13" ht="16">
      <c r="A5" s="51" t="s">
        <v>229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31" t="s">
        <v>66</v>
      </c>
      <c r="B6" s="10" t="s">
        <v>272</v>
      </c>
      <c r="C6" s="10" t="s">
        <v>230</v>
      </c>
      <c r="D6" s="10" t="s">
        <v>231</v>
      </c>
      <c r="E6" s="11" t="s">
        <v>405</v>
      </c>
      <c r="F6" s="10" t="s">
        <v>392</v>
      </c>
      <c r="G6" s="29" t="s">
        <v>143</v>
      </c>
      <c r="H6" s="29" t="s">
        <v>232</v>
      </c>
      <c r="I6" s="30" t="s">
        <v>94</v>
      </c>
      <c r="J6" s="31"/>
      <c r="K6" s="48" t="str">
        <f>"62,5"</f>
        <v>62,5</v>
      </c>
      <c r="L6" s="12" t="str">
        <f>"73,8500"</f>
        <v>73,8500</v>
      </c>
      <c r="M6" s="10" t="s">
        <v>233</v>
      </c>
    </row>
    <row r="7" spans="1:13">
      <c r="A7" s="34" t="s">
        <v>69</v>
      </c>
      <c r="B7" s="13" t="s">
        <v>273</v>
      </c>
      <c r="C7" s="13" t="s">
        <v>234</v>
      </c>
      <c r="D7" s="13" t="s">
        <v>235</v>
      </c>
      <c r="E7" s="14" t="s">
        <v>405</v>
      </c>
      <c r="F7" s="13" t="s">
        <v>398</v>
      </c>
      <c r="G7" s="33" t="s">
        <v>134</v>
      </c>
      <c r="H7" s="32" t="s">
        <v>236</v>
      </c>
      <c r="I7" s="33" t="s">
        <v>126</v>
      </c>
      <c r="J7" s="34"/>
      <c r="K7" s="46" t="str">
        <f>"45,0"</f>
        <v>45,0</v>
      </c>
      <c r="L7" s="15" t="str">
        <f>"54,8730"</f>
        <v>54,8730</v>
      </c>
      <c r="M7" s="13"/>
    </row>
    <row r="9" spans="1:13" ht="16">
      <c r="A9" s="49" t="s">
        <v>82</v>
      </c>
      <c r="B9" s="49"/>
      <c r="C9" s="50"/>
      <c r="D9" s="50"/>
      <c r="E9" s="50"/>
      <c r="F9" s="50"/>
      <c r="G9" s="50"/>
      <c r="H9" s="50"/>
      <c r="I9" s="50"/>
      <c r="J9" s="50"/>
    </row>
    <row r="10" spans="1:13">
      <c r="A10" s="28" t="s">
        <v>71</v>
      </c>
      <c r="B10" s="7" t="s">
        <v>274</v>
      </c>
      <c r="C10" s="7" t="s">
        <v>237</v>
      </c>
      <c r="D10" s="7" t="s">
        <v>238</v>
      </c>
      <c r="E10" s="8" t="s">
        <v>405</v>
      </c>
      <c r="F10" s="7" t="s">
        <v>392</v>
      </c>
      <c r="G10" s="26" t="s">
        <v>124</v>
      </c>
      <c r="H10" s="26" t="s">
        <v>124</v>
      </c>
      <c r="I10" s="28"/>
      <c r="J10" s="28"/>
      <c r="K10" s="47">
        <v>0</v>
      </c>
      <c r="L10" s="9" t="str">
        <f>"0,0000"</f>
        <v>0,0000</v>
      </c>
      <c r="M10" s="7"/>
    </row>
    <row r="12" spans="1:13" ht="16">
      <c r="A12" s="49" t="s">
        <v>82</v>
      </c>
      <c r="B12" s="49"/>
      <c r="C12" s="50"/>
      <c r="D12" s="50"/>
      <c r="E12" s="50"/>
      <c r="F12" s="50"/>
      <c r="G12" s="50"/>
      <c r="H12" s="50"/>
      <c r="I12" s="50"/>
      <c r="J12" s="50"/>
    </row>
    <row r="13" spans="1:13">
      <c r="A13" s="28" t="s">
        <v>66</v>
      </c>
      <c r="B13" s="7" t="s">
        <v>175</v>
      </c>
      <c r="C13" s="7" t="s">
        <v>145</v>
      </c>
      <c r="D13" s="7" t="s">
        <v>146</v>
      </c>
      <c r="E13" s="8" t="s">
        <v>405</v>
      </c>
      <c r="F13" s="7" t="s">
        <v>394</v>
      </c>
      <c r="G13" s="26" t="s">
        <v>101</v>
      </c>
      <c r="H13" s="27" t="s">
        <v>101</v>
      </c>
      <c r="I13" s="26" t="s">
        <v>139</v>
      </c>
      <c r="J13" s="28"/>
      <c r="K13" s="47" t="str">
        <f>"115,0"</f>
        <v>115,0</v>
      </c>
      <c r="L13" s="9" t="str">
        <f>"89,5275"</f>
        <v>89,5275</v>
      </c>
      <c r="M13" s="7"/>
    </row>
    <row r="15" spans="1:13" ht="16">
      <c r="A15" s="49" t="s">
        <v>147</v>
      </c>
      <c r="B15" s="49"/>
      <c r="C15" s="50"/>
      <c r="D15" s="50"/>
      <c r="E15" s="50"/>
      <c r="F15" s="50"/>
      <c r="G15" s="50"/>
      <c r="H15" s="50"/>
      <c r="I15" s="50"/>
      <c r="J15" s="50"/>
    </row>
    <row r="16" spans="1:13">
      <c r="A16" s="31" t="s">
        <v>66</v>
      </c>
      <c r="B16" s="10" t="s">
        <v>275</v>
      </c>
      <c r="C16" s="10" t="s">
        <v>239</v>
      </c>
      <c r="D16" s="10" t="s">
        <v>240</v>
      </c>
      <c r="E16" s="11" t="s">
        <v>406</v>
      </c>
      <c r="F16" s="10" t="s">
        <v>395</v>
      </c>
      <c r="G16" s="29" t="s">
        <v>241</v>
      </c>
      <c r="H16" s="30" t="s">
        <v>164</v>
      </c>
      <c r="I16" s="29" t="s">
        <v>164</v>
      </c>
      <c r="J16" s="31"/>
      <c r="K16" s="48" t="str">
        <f>"107,5"</f>
        <v>107,5</v>
      </c>
      <c r="L16" s="12" t="str">
        <f>"77,3247"</f>
        <v>77,3247</v>
      </c>
      <c r="M16" s="10"/>
    </row>
    <row r="17" spans="1:13">
      <c r="A17" s="40" t="s">
        <v>66</v>
      </c>
      <c r="B17" s="35" t="s">
        <v>276</v>
      </c>
      <c r="C17" s="35" t="s">
        <v>243</v>
      </c>
      <c r="D17" s="35" t="s">
        <v>244</v>
      </c>
      <c r="E17" s="36" t="s">
        <v>405</v>
      </c>
      <c r="F17" s="35" t="s">
        <v>375</v>
      </c>
      <c r="G17" s="38" t="s">
        <v>245</v>
      </c>
      <c r="H17" s="39" t="s">
        <v>56</v>
      </c>
      <c r="I17" s="39" t="s">
        <v>56</v>
      </c>
      <c r="J17" s="40"/>
      <c r="K17" s="45" t="str">
        <f>"142,5"</f>
        <v>142,5</v>
      </c>
      <c r="L17" s="37" t="str">
        <f>"102,6000"</f>
        <v>102,6000</v>
      </c>
      <c r="M17" s="35"/>
    </row>
    <row r="18" spans="1:13">
      <c r="A18" s="40" t="s">
        <v>69</v>
      </c>
      <c r="B18" s="35" t="s">
        <v>277</v>
      </c>
      <c r="C18" s="35" t="s">
        <v>246</v>
      </c>
      <c r="D18" s="35" t="s">
        <v>247</v>
      </c>
      <c r="E18" s="36" t="s">
        <v>405</v>
      </c>
      <c r="F18" s="42" t="s">
        <v>392</v>
      </c>
      <c r="G18" s="38" t="s">
        <v>138</v>
      </c>
      <c r="H18" s="38" t="s">
        <v>139</v>
      </c>
      <c r="I18" s="39" t="s">
        <v>248</v>
      </c>
      <c r="J18" s="40"/>
      <c r="K18" s="45" t="str">
        <f>"125,0"</f>
        <v>125,0</v>
      </c>
      <c r="L18" s="37" t="str">
        <f>"90,0875"</f>
        <v>90,0875</v>
      </c>
      <c r="M18" s="35"/>
    </row>
    <row r="19" spans="1:13">
      <c r="A19" s="34" t="s">
        <v>181</v>
      </c>
      <c r="B19" s="13" t="s">
        <v>176</v>
      </c>
      <c r="C19" s="13" t="s">
        <v>249</v>
      </c>
      <c r="D19" s="13" t="s">
        <v>149</v>
      </c>
      <c r="E19" s="14" t="s">
        <v>405</v>
      </c>
      <c r="F19" s="13" t="s">
        <v>395</v>
      </c>
      <c r="G19" s="32" t="s">
        <v>93</v>
      </c>
      <c r="H19" s="32" t="s">
        <v>127</v>
      </c>
      <c r="I19" s="33" t="s">
        <v>138</v>
      </c>
      <c r="J19" s="34"/>
      <c r="K19" s="46" t="str">
        <f>"117,5"</f>
        <v>117,5</v>
      </c>
      <c r="L19" s="15" t="str">
        <f>"85,0935"</f>
        <v>85,0935</v>
      </c>
      <c r="M19" s="13"/>
    </row>
    <row r="21" spans="1:13" ht="16">
      <c r="A21" s="49" t="s">
        <v>10</v>
      </c>
      <c r="B21" s="49"/>
      <c r="C21" s="50"/>
      <c r="D21" s="50"/>
      <c r="E21" s="50"/>
      <c r="F21" s="50"/>
      <c r="G21" s="50"/>
      <c r="H21" s="50"/>
      <c r="I21" s="50"/>
      <c r="J21" s="50"/>
    </row>
    <row r="22" spans="1:13">
      <c r="A22" s="31" t="s">
        <v>71</v>
      </c>
      <c r="B22" s="10" t="s">
        <v>278</v>
      </c>
      <c r="C22" s="10" t="s">
        <v>250</v>
      </c>
      <c r="D22" s="10" t="s">
        <v>251</v>
      </c>
      <c r="E22" s="11" t="s">
        <v>405</v>
      </c>
      <c r="F22" s="10" t="s">
        <v>392</v>
      </c>
      <c r="G22" s="30" t="s">
        <v>13</v>
      </c>
      <c r="H22" s="30" t="s">
        <v>108</v>
      </c>
      <c r="I22" s="30" t="s">
        <v>108</v>
      </c>
      <c r="J22" s="31"/>
      <c r="K22" s="48">
        <v>0</v>
      </c>
      <c r="L22" s="12" t="str">
        <f>"0,0000"</f>
        <v>0,0000</v>
      </c>
      <c r="M22" s="10"/>
    </row>
    <row r="23" spans="1:13">
      <c r="A23" s="34" t="s">
        <v>66</v>
      </c>
      <c r="B23" s="13" t="s">
        <v>279</v>
      </c>
      <c r="C23" s="13" t="s">
        <v>252</v>
      </c>
      <c r="D23" s="13" t="s">
        <v>253</v>
      </c>
      <c r="E23" s="14" t="s">
        <v>408</v>
      </c>
      <c r="F23" s="13" t="s">
        <v>400</v>
      </c>
      <c r="G23" s="32" t="s">
        <v>44</v>
      </c>
      <c r="H23" s="33" t="s">
        <v>154</v>
      </c>
      <c r="I23" s="33" t="s">
        <v>154</v>
      </c>
      <c r="J23" s="34"/>
      <c r="K23" s="46" t="str">
        <f>"170,0"</f>
        <v>170,0</v>
      </c>
      <c r="L23" s="15" t="str">
        <f>"125,4679"</f>
        <v>125,4679</v>
      </c>
      <c r="M23" s="13"/>
    </row>
    <row r="25" spans="1:13" ht="16">
      <c r="A25" s="49" t="s">
        <v>21</v>
      </c>
      <c r="B25" s="49"/>
      <c r="C25" s="50"/>
      <c r="D25" s="50"/>
      <c r="E25" s="50"/>
      <c r="F25" s="50"/>
      <c r="G25" s="50"/>
      <c r="H25" s="50"/>
      <c r="I25" s="50"/>
      <c r="J25" s="50"/>
    </row>
    <row r="26" spans="1:13">
      <c r="A26" s="31" t="s">
        <v>66</v>
      </c>
      <c r="B26" s="10" t="s">
        <v>280</v>
      </c>
      <c r="C26" s="10" t="s">
        <v>255</v>
      </c>
      <c r="D26" s="10" t="s">
        <v>256</v>
      </c>
      <c r="E26" s="11" t="s">
        <v>405</v>
      </c>
      <c r="F26" s="10" t="s">
        <v>395</v>
      </c>
      <c r="G26" s="29" t="s">
        <v>28</v>
      </c>
      <c r="H26" s="29" t="s">
        <v>204</v>
      </c>
      <c r="I26" s="30" t="s">
        <v>44</v>
      </c>
      <c r="J26" s="31"/>
      <c r="K26" s="48" t="str">
        <f>"167,5"</f>
        <v>167,5</v>
      </c>
      <c r="L26" s="12" t="str">
        <f>"107,4178"</f>
        <v>107,4178</v>
      </c>
      <c r="M26" s="10"/>
    </row>
    <row r="27" spans="1:13">
      <c r="A27" s="40" t="s">
        <v>69</v>
      </c>
      <c r="B27" s="35" t="s">
        <v>281</v>
      </c>
      <c r="C27" s="35" t="s">
        <v>257</v>
      </c>
      <c r="D27" s="35" t="s">
        <v>258</v>
      </c>
      <c r="E27" s="36" t="s">
        <v>405</v>
      </c>
      <c r="F27" s="42" t="s">
        <v>392</v>
      </c>
      <c r="G27" s="38" t="s">
        <v>138</v>
      </c>
      <c r="H27" s="39" t="s">
        <v>36</v>
      </c>
      <c r="I27" s="38" t="s">
        <v>36</v>
      </c>
      <c r="J27" s="40"/>
      <c r="K27" s="45" t="str">
        <f>"132,5"</f>
        <v>132,5</v>
      </c>
      <c r="L27" s="37" t="str">
        <f>"85,2240"</f>
        <v>85,2240</v>
      </c>
      <c r="M27" s="35"/>
    </row>
    <row r="28" spans="1:13">
      <c r="A28" s="34" t="s">
        <v>66</v>
      </c>
      <c r="B28" s="13" t="s">
        <v>282</v>
      </c>
      <c r="C28" s="13" t="s">
        <v>259</v>
      </c>
      <c r="D28" s="13" t="s">
        <v>260</v>
      </c>
      <c r="E28" s="14" t="s">
        <v>408</v>
      </c>
      <c r="F28" s="13" t="s">
        <v>398</v>
      </c>
      <c r="G28" s="32" t="s">
        <v>79</v>
      </c>
      <c r="H28" s="32" t="s">
        <v>36</v>
      </c>
      <c r="I28" s="33" t="s">
        <v>107</v>
      </c>
      <c r="J28" s="34"/>
      <c r="K28" s="46" t="str">
        <f>"132,5"</f>
        <v>132,5</v>
      </c>
      <c r="L28" s="15" t="str">
        <f>"84,6410"</f>
        <v>84,6410</v>
      </c>
      <c r="M28" s="13"/>
    </row>
    <row r="30" spans="1:13" ht="16">
      <c r="A30" s="49" t="s">
        <v>41</v>
      </c>
      <c r="B30" s="49"/>
      <c r="C30" s="50"/>
      <c r="D30" s="50"/>
      <c r="E30" s="50"/>
      <c r="F30" s="50"/>
      <c r="G30" s="50"/>
      <c r="H30" s="50"/>
      <c r="I30" s="50"/>
      <c r="J30" s="50"/>
    </row>
    <row r="31" spans="1:13">
      <c r="A31" s="31" t="s">
        <v>66</v>
      </c>
      <c r="B31" s="10" t="s">
        <v>283</v>
      </c>
      <c r="C31" s="10" t="s">
        <v>261</v>
      </c>
      <c r="D31" s="10" t="s">
        <v>262</v>
      </c>
      <c r="E31" s="11" t="s">
        <v>405</v>
      </c>
      <c r="F31" s="10" t="s">
        <v>394</v>
      </c>
      <c r="G31" s="29" t="s">
        <v>28</v>
      </c>
      <c r="H31" s="29" t="s">
        <v>100</v>
      </c>
      <c r="I31" s="30" t="s">
        <v>44</v>
      </c>
      <c r="J31" s="31"/>
      <c r="K31" s="48" t="str">
        <f>"165,0"</f>
        <v>165,0</v>
      </c>
      <c r="L31" s="12" t="str">
        <f>"100,7820"</f>
        <v>100,7820</v>
      </c>
      <c r="M31" s="10" t="s">
        <v>29</v>
      </c>
    </row>
    <row r="32" spans="1:13">
      <c r="A32" s="40" t="s">
        <v>69</v>
      </c>
      <c r="B32" s="35" t="s">
        <v>284</v>
      </c>
      <c r="C32" s="35" t="s">
        <v>263</v>
      </c>
      <c r="D32" s="35" t="s">
        <v>264</v>
      </c>
      <c r="E32" s="36" t="s">
        <v>405</v>
      </c>
      <c r="F32" s="35" t="s">
        <v>399</v>
      </c>
      <c r="G32" s="38" t="s">
        <v>14</v>
      </c>
      <c r="H32" s="39" t="s">
        <v>99</v>
      </c>
      <c r="I32" s="39" t="s">
        <v>163</v>
      </c>
      <c r="J32" s="40"/>
      <c r="K32" s="45" t="str">
        <f>"150,0"</f>
        <v>150,0</v>
      </c>
      <c r="L32" s="37" t="str">
        <f>"92,3700"</f>
        <v>92,3700</v>
      </c>
      <c r="M32" s="35" t="s">
        <v>29</v>
      </c>
    </row>
    <row r="33" spans="1:13">
      <c r="A33" s="34" t="s">
        <v>66</v>
      </c>
      <c r="B33" s="13" t="s">
        <v>285</v>
      </c>
      <c r="C33" s="13" t="s">
        <v>265</v>
      </c>
      <c r="D33" s="13" t="s">
        <v>266</v>
      </c>
      <c r="E33" s="14" t="s">
        <v>408</v>
      </c>
      <c r="F33" s="13" t="s">
        <v>393</v>
      </c>
      <c r="G33" s="32" t="s">
        <v>28</v>
      </c>
      <c r="H33" s="32" t="s">
        <v>100</v>
      </c>
      <c r="I33" s="33" t="s">
        <v>44</v>
      </c>
      <c r="J33" s="34"/>
      <c r="K33" s="46" t="str">
        <f>"165,0"</f>
        <v>165,0</v>
      </c>
      <c r="L33" s="15" t="str">
        <f>"115,4143"</f>
        <v>115,4143</v>
      </c>
      <c r="M33" s="13"/>
    </row>
    <row r="35" spans="1:13" ht="16">
      <c r="A35" s="49" t="s">
        <v>211</v>
      </c>
      <c r="B35" s="49"/>
      <c r="C35" s="50"/>
      <c r="D35" s="50"/>
      <c r="E35" s="50"/>
      <c r="F35" s="50"/>
      <c r="G35" s="50"/>
      <c r="H35" s="50"/>
      <c r="I35" s="50"/>
      <c r="J35" s="50"/>
    </row>
    <row r="36" spans="1:13">
      <c r="A36" s="31" t="s">
        <v>66</v>
      </c>
      <c r="B36" s="10" t="s">
        <v>286</v>
      </c>
      <c r="C36" s="10" t="s">
        <v>268</v>
      </c>
      <c r="D36" s="10" t="s">
        <v>269</v>
      </c>
      <c r="E36" s="11" t="s">
        <v>405</v>
      </c>
      <c r="F36" s="10" t="s">
        <v>401</v>
      </c>
      <c r="G36" s="29" t="s">
        <v>44</v>
      </c>
      <c r="H36" s="29" t="s">
        <v>270</v>
      </c>
      <c r="I36" s="29" t="s">
        <v>194</v>
      </c>
      <c r="J36" s="31"/>
      <c r="K36" s="48" t="str">
        <f>"182,5"</f>
        <v>182,5</v>
      </c>
      <c r="L36" s="12" t="str">
        <f>"103,2038"</f>
        <v>103,2038</v>
      </c>
      <c r="M36" s="10"/>
    </row>
    <row r="37" spans="1:13">
      <c r="A37" s="34" t="s">
        <v>66</v>
      </c>
      <c r="B37" s="13" t="s">
        <v>286</v>
      </c>
      <c r="C37" s="13" t="s">
        <v>271</v>
      </c>
      <c r="D37" s="13" t="s">
        <v>269</v>
      </c>
      <c r="E37" s="14" t="s">
        <v>408</v>
      </c>
      <c r="F37" s="13" t="s">
        <v>401</v>
      </c>
      <c r="G37" s="32" t="s">
        <v>44</v>
      </c>
      <c r="H37" s="32" t="s">
        <v>270</v>
      </c>
      <c r="I37" s="32" t="s">
        <v>194</v>
      </c>
      <c r="J37" s="34"/>
      <c r="K37" s="46" t="str">
        <f>"182,5"</f>
        <v>182,5</v>
      </c>
      <c r="L37" s="15" t="str">
        <f>"116,8266"</f>
        <v>116,8266</v>
      </c>
      <c r="M37" s="13"/>
    </row>
    <row r="39" spans="1:13">
      <c r="G39" s="5"/>
      <c r="M39" s="6"/>
    </row>
    <row r="40" spans="1:13">
      <c r="M40" s="6"/>
    </row>
    <row r="41" spans="1:13" ht="18">
      <c r="B41" s="17" t="s">
        <v>57</v>
      </c>
      <c r="C41" s="17"/>
      <c r="G41" s="3"/>
      <c r="M41" s="6"/>
    </row>
    <row r="42" spans="1:13" ht="16">
      <c r="B42" s="18" t="s">
        <v>58</v>
      </c>
      <c r="C42" s="18"/>
      <c r="G42" s="3"/>
      <c r="M42" s="6"/>
    </row>
    <row r="43" spans="1:13">
      <c r="G43" s="3"/>
      <c r="M43" s="6"/>
    </row>
    <row r="44" spans="1:13" ht="14">
      <c r="B44" s="19"/>
      <c r="C44" s="20" t="s">
        <v>59</v>
      </c>
      <c r="G44" s="3"/>
      <c r="M44" s="6"/>
    </row>
    <row r="45" spans="1:13" ht="14">
      <c r="B45" s="21" t="s">
        <v>60</v>
      </c>
      <c r="C45" s="21" t="s">
        <v>61</v>
      </c>
      <c r="D45" s="21" t="s">
        <v>374</v>
      </c>
      <c r="E45" s="22" t="s">
        <v>216</v>
      </c>
      <c r="F45" s="21" t="s">
        <v>63</v>
      </c>
      <c r="G45" s="3"/>
      <c r="M45" s="6"/>
    </row>
    <row r="46" spans="1:13">
      <c r="B46" s="5" t="s">
        <v>254</v>
      </c>
      <c r="C46" s="5" t="s">
        <v>59</v>
      </c>
      <c r="D46" s="24" t="s">
        <v>65</v>
      </c>
      <c r="E46" s="25">
        <v>167.5</v>
      </c>
      <c r="F46" s="23">
        <v>107.417753785849</v>
      </c>
      <c r="G46" s="3"/>
      <c r="M46" s="6"/>
    </row>
    <row r="47" spans="1:13">
      <c r="B47" s="5" t="s">
        <v>267</v>
      </c>
      <c r="C47" s="5" t="s">
        <v>59</v>
      </c>
      <c r="D47" s="24" t="s">
        <v>217</v>
      </c>
      <c r="E47" s="25">
        <v>182.5</v>
      </c>
      <c r="F47" s="23">
        <v>103.203753829002</v>
      </c>
      <c r="G47" s="3"/>
      <c r="M47" s="6"/>
    </row>
    <row r="48" spans="1:13">
      <c r="B48" s="5" t="s">
        <v>242</v>
      </c>
      <c r="C48" s="5" t="s">
        <v>59</v>
      </c>
      <c r="D48" s="24" t="s">
        <v>170</v>
      </c>
      <c r="E48" s="25">
        <v>142.5</v>
      </c>
      <c r="F48" s="23">
        <v>102.600004076958</v>
      </c>
      <c r="G48" s="5"/>
      <c r="M48" s="6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5:J35"/>
    <mergeCell ref="B3:B4"/>
    <mergeCell ref="A9:J9"/>
    <mergeCell ref="A12:J12"/>
    <mergeCell ref="A15:J15"/>
    <mergeCell ref="A21:J21"/>
    <mergeCell ref="A25:J25"/>
    <mergeCell ref="A30:J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1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5.6640625" style="5" bestFit="1" customWidth="1"/>
    <col min="7" max="9" width="5.5" style="24" customWidth="1"/>
    <col min="10" max="10" width="4.83203125" style="24" customWidth="1"/>
    <col min="11" max="11" width="10.5" style="6" bestFit="1" customWidth="1"/>
    <col min="12" max="12" width="10" style="6" customWidth="1"/>
    <col min="13" max="13" width="19" style="5" customWidth="1"/>
    <col min="14" max="16384" width="9.1640625" style="3"/>
  </cols>
  <sheetData>
    <row r="1" spans="1:13" s="2" customFormat="1" ht="29" customHeight="1">
      <c r="A1" s="53" t="s">
        <v>383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8</v>
      </c>
      <c r="H3" s="67"/>
      <c r="I3" s="67"/>
      <c r="J3" s="67"/>
      <c r="K3" s="65" t="s">
        <v>183</v>
      </c>
      <c r="L3" s="65" t="s">
        <v>3</v>
      </c>
      <c r="M3" s="70" t="s">
        <v>2</v>
      </c>
    </row>
    <row r="4" spans="1:13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71"/>
    </row>
    <row r="5" spans="1:13" ht="16">
      <c r="A5" s="51" t="s">
        <v>128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8" t="s">
        <v>66</v>
      </c>
      <c r="B6" s="7" t="s">
        <v>218</v>
      </c>
      <c r="C6" s="7" t="s">
        <v>184</v>
      </c>
      <c r="D6" s="7" t="s">
        <v>185</v>
      </c>
      <c r="E6" s="8" t="s">
        <v>405</v>
      </c>
      <c r="F6" s="7" t="s">
        <v>392</v>
      </c>
      <c r="G6" s="27" t="s">
        <v>126</v>
      </c>
      <c r="H6" s="26" t="s">
        <v>137</v>
      </c>
      <c r="I6" s="26" t="s">
        <v>137</v>
      </c>
      <c r="J6" s="28"/>
      <c r="K6" s="9" t="str">
        <f>"50,0"</f>
        <v>50,0</v>
      </c>
      <c r="L6" s="9" t="str">
        <f>"55,7450"</f>
        <v>55,7450</v>
      </c>
      <c r="M6" s="7"/>
    </row>
    <row r="8" spans="1:13" ht="16">
      <c r="A8" s="49" t="s">
        <v>147</v>
      </c>
      <c r="B8" s="49"/>
      <c r="C8" s="50"/>
      <c r="D8" s="50"/>
      <c r="E8" s="50"/>
      <c r="F8" s="50"/>
      <c r="G8" s="50"/>
      <c r="H8" s="50"/>
      <c r="I8" s="50"/>
      <c r="J8" s="50"/>
    </row>
    <row r="9" spans="1:13">
      <c r="A9" s="28" t="s">
        <v>66</v>
      </c>
      <c r="B9" s="7" t="s">
        <v>219</v>
      </c>
      <c r="C9" s="7" t="s">
        <v>188</v>
      </c>
      <c r="D9" s="7" t="s">
        <v>189</v>
      </c>
      <c r="E9" s="8" t="s">
        <v>405</v>
      </c>
      <c r="F9" s="7" t="s">
        <v>392</v>
      </c>
      <c r="G9" s="26" t="s">
        <v>108</v>
      </c>
      <c r="H9" s="27" t="s">
        <v>14</v>
      </c>
      <c r="I9" s="27" t="s">
        <v>99</v>
      </c>
      <c r="J9" s="28"/>
      <c r="K9" s="9" t="str">
        <f>"155,0"</f>
        <v>155,0</v>
      </c>
      <c r="L9" s="9" t="str">
        <f>"111,1815"</f>
        <v>111,1815</v>
      </c>
      <c r="M9" s="7"/>
    </row>
    <row r="11" spans="1:13" ht="16">
      <c r="A11" s="49" t="s">
        <v>10</v>
      </c>
      <c r="B11" s="49"/>
      <c r="C11" s="50"/>
      <c r="D11" s="50"/>
      <c r="E11" s="50"/>
      <c r="F11" s="50"/>
      <c r="G11" s="50"/>
      <c r="H11" s="50"/>
      <c r="I11" s="50"/>
      <c r="J11" s="50"/>
    </row>
    <row r="12" spans="1:13">
      <c r="A12" s="28" t="s">
        <v>66</v>
      </c>
      <c r="B12" s="7" t="s">
        <v>220</v>
      </c>
      <c r="C12" s="7" t="s">
        <v>190</v>
      </c>
      <c r="D12" s="7" t="s">
        <v>191</v>
      </c>
      <c r="E12" s="8" t="s">
        <v>409</v>
      </c>
      <c r="F12" s="7" t="s">
        <v>398</v>
      </c>
      <c r="G12" s="27" t="s">
        <v>107</v>
      </c>
      <c r="H12" s="27" t="s">
        <v>13</v>
      </c>
      <c r="I12" s="27" t="s">
        <v>108</v>
      </c>
      <c r="J12" s="28"/>
      <c r="K12" s="9" t="str">
        <f>"145,0"</f>
        <v>145,0</v>
      </c>
      <c r="L12" s="9" t="str">
        <f>"141,0305"</f>
        <v>141,0305</v>
      </c>
      <c r="M12" s="7"/>
    </row>
    <row r="14" spans="1:13" ht="16">
      <c r="A14" s="49" t="s">
        <v>21</v>
      </c>
      <c r="B14" s="49"/>
      <c r="C14" s="50"/>
      <c r="D14" s="50"/>
      <c r="E14" s="50"/>
      <c r="F14" s="50"/>
      <c r="G14" s="50"/>
      <c r="H14" s="50"/>
      <c r="I14" s="50"/>
      <c r="J14" s="50"/>
    </row>
    <row r="15" spans="1:13">
      <c r="A15" s="28" t="s">
        <v>66</v>
      </c>
      <c r="B15" s="7" t="s">
        <v>221</v>
      </c>
      <c r="C15" s="7" t="s">
        <v>192</v>
      </c>
      <c r="D15" s="7" t="s">
        <v>193</v>
      </c>
      <c r="E15" s="8" t="s">
        <v>410</v>
      </c>
      <c r="F15" s="7" t="s">
        <v>392</v>
      </c>
      <c r="G15" s="27" t="s">
        <v>44</v>
      </c>
      <c r="H15" s="27" t="s">
        <v>194</v>
      </c>
      <c r="I15" s="27" t="s">
        <v>195</v>
      </c>
      <c r="J15" s="28"/>
      <c r="K15" s="9" t="str">
        <f>"187,5"</f>
        <v>187,5</v>
      </c>
      <c r="L15" s="9" t="str">
        <f>"137,6550"</f>
        <v>137,6550</v>
      </c>
      <c r="M15" s="7"/>
    </row>
    <row r="17" spans="1:13" ht="16">
      <c r="A17" s="49" t="s">
        <v>41</v>
      </c>
      <c r="B17" s="49"/>
      <c r="C17" s="50"/>
      <c r="D17" s="50"/>
      <c r="E17" s="50"/>
      <c r="F17" s="50"/>
      <c r="G17" s="50"/>
      <c r="H17" s="50"/>
      <c r="I17" s="50"/>
      <c r="J17" s="50"/>
    </row>
    <row r="18" spans="1:13">
      <c r="A18" s="31" t="s">
        <v>66</v>
      </c>
      <c r="B18" s="10" t="s">
        <v>222</v>
      </c>
      <c r="C18" s="10" t="s">
        <v>196</v>
      </c>
      <c r="D18" s="10" t="s">
        <v>43</v>
      </c>
      <c r="E18" s="11" t="s">
        <v>405</v>
      </c>
      <c r="F18" s="10" t="s">
        <v>392</v>
      </c>
      <c r="G18" s="29" t="s">
        <v>100</v>
      </c>
      <c r="H18" s="30" t="s">
        <v>154</v>
      </c>
      <c r="I18" s="30" t="s">
        <v>51</v>
      </c>
      <c r="J18" s="31"/>
      <c r="K18" s="12" t="str">
        <f>"165,0"</f>
        <v>165,0</v>
      </c>
      <c r="L18" s="12" t="str">
        <f>"101,1285"</f>
        <v>101,1285</v>
      </c>
      <c r="M18" s="10"/>
    </row>
    <row r="19" spans="1:13">
      <c r="A19" s="34" t="s">
        <v>69</v>
      </c>
      <c r="B19" s="13" t="s">
        <v>223</v>
      </c>
      <c r="C19" s="13" t="s">
        <v>197</v>
      </c>
      <c r="D19" s="13" t="s">
        <v>198</v>
      </c>
      <c r="E19" s="14" t="s">
        <v>405</v>
      </c>
      <c r="F19" s="13" t="s">
        <v>392</v>
      </c>
      <c r="G19" s="32" t="s">
        <v>14</v>
      </c>
      <c r="H19" s="32" t="s">
        <v>99</v>
      </c>
      <c r="I19" s="33" t="s">
        <v>28</v>
      </c>
      <c r="J19" s="34"/>
      <c r="K19" s="15" t="str">
        <f>"155,0"</f>
        <v>155,0</v>
      </c>
      <c r="L19" s="15" t="str">
        <f>"96,5960"</f>
        <v>96,5960</v>
      </c>
      <c r="M19" s="13"/>
    </row>
    <row r="21" spans="1:13" ht="16">
      <c r="A21" s="49" t="s">
        <v>45</v>
      </c>
      <c r="B21" s="49"/>
      <c r="C21" s="50"/>
      <c r="D21" s="50"/>
      <c r="E21" s="50"/>
      <c r="F21" s="50"/>
      <c r="G21" s="50"/>
      <c r="H21" s="50"/>
      <c r="I21" s="50"/>
      <c r="J21" s="50"/>
    </row>
    <row r="22" spans="1:13">
      <c r="A22" s="31" t="s">
        <v>66</v>
      </c>
      <c r="B22" s="10" t="s">
        <v>224</v>
      </c>
      <c r="C22" s="10" t="s">
        <v>200</v>
      </c>
      <c r="D22" s="10" t="s">
        <v>201</v>
      </c>
      <c r="E22" s="11" t="s">
        <v>405</v>
      </c>
      <c r="F22" s="10" t="s">
        <v>395</v>
      </c>
      <c r="G22" s="29" t="s">
        <v>18</v>
      </c>
      <c r="H22" s="29" t="s">
        <v>165</v>
      </c>
      <c r="I22" s="30" t="s">
        <v>102</v>
      </c>
      <c r="J22" s="31"/>
      <c r="K22" s="12" t="str">
        <f>"190,0"</f>
        <v>190,0</v>
      </c>
      <c r="L22" s="12" t="str">
        <f>"113,5060"</f>
        <v>113,5060</v>
      </c>
      <c r="M22" s="10"/>
    </row>
    <row r="23" spans="1:13">
      <c r="A23" s="34" t="s">
        <v>69</v>
      </c>
      <c r="B23" s="13" t="s">
        <v>225</v>
      </c>
      <c r="C23" s="13" t="s">
        <v>202</v>
      </c>
      <c r="D23" s="13" t="s">
        <v>203</v>
      </c>
      <c r="E23" s="14" t="s">
        <v>405</v>
      </c>
      <c r="F23" s="13" t="s">
        <v>392</v>
      </c>
      <c r="G23" s="32" t="s">
        <v>204</v>
      </c>
      <c r="H23" s="32" t="s">
        <v>205</v>
      </c>
      <c r="I23" s="33" t="s">
        <v>154</v>
      </c>
      <c r="J23" s="34"/>
      <c r="K23" s="15" t="str">
        <f>"172,5"</f>
        <v>172,5</v>
      </c>
      <c r="L23" s="15" t="str">
        <f>"103,1550"</f>
        <v>103,1550</v>
      </c>
      <c r="M23" s="13" t="s">
        <v>206</v>
      </c>
    </row>
    <row r="25" spans="1:13" ht="16">
      <c r="A25" s="49" t="s">
        <v>75</v>
      </c>
      <c r="B25" s="49"/>
      <c r="C25" s="50"/>
      <c r="D25" s="50"/>
      <c r="E25" s="50"/>
      <c r="F25" s="50"/>
      <c r="G25" s="50"/>
      <c r="H25" s="50"/>
      <c r="I25" s="50"/>
      <c r="J25" s="50"/>
    </row>
    <row r="26" spans="1:13">
      <c r="A26" s="31" t="s">
        <v>66</v>
      </c>
      <c r="B26" s="10" t="s">
        <v>226</v>
      </c>
      <c r="C26" s="10" t="s">
        <v>207</v>
      </c>
      <c r="D26" s="10" t="s">
        <v>208</v>
      </c>
      <c r="E26" s="11" t="s">
        <v>405</v>
      </c>
      <c r="F26" s="10" t="s">
        <v>390</v>
      </c>
      <c r="G26" s="29" t="s">
        <v>14</v>
      </c>
      <c r="H26" s="29" t="s">
        <v>28</v>
      </c>
      <c r="I26" s="30" t="s">
        <v>100</v>
      </c>
      <c r="J26" s="31"/>
      <c r="K26" s="12" t="str">
        <f>"160,0"</f>
        <v>160,0</v>
      </c>
      <c r="L26" s="12" t="str">
        <f>"91,4400"</f>
        <v>91,4400</v>
      </c>
      <c r="M26" s="10"/>
    </row>
    <row r="27" spans="1:13">
      <c r="A27" s="34" t="s">
        <v>66</v>
      </c>
      <c r="B27" s="13" t="s">
        <v>227</v>
      </c>
      <c r="C27" s="13" t="s">
        <v>209</v>
      </c>
      <c r="D27" s="13" t="s">
        <v>210</v>
      </c>
      <c r="E27" s="14" t="s">
        <v>408</v>
      </c>
      <c r="F27" s="13" t="s">
        <v>398</v>
      </c>
      <c r="G27" s="32" t="s">
        <v>100</v>
      </c>
      <c r="H27" s="32" t="s">
        <v>44</v>
      </c>
      <c r="I27" s="33" t="s">
        <v>154</v>
      </c>
      <c r="J27" s="34"/>
      <c r="K27" s="15" t="str">
        <f>"170,0"</f>
        <v>170,0</v>
      </c>
      <c r="L27" s="15" t="str">
        <f>"97,9710"</f>
        <v>97,9710</v>
      </c>
      <c r="M27" s="13"/>
    </row>
    <row r="29" spans="1:13" ht="16">
      <c r="A29" s="49" t="s">
        <v>211</v>
      </c>
      <c r="B29" s="49"/>
      <c r="C29" s="50"/>
      <c r="D29" s="50"/>
      <c r="E29" s="50"/>
      <c r="F29" s="50"/>
      <c r="G29" s="50"/>
      <c r="H29" s="50"/>
      <c r="I29" s="50"/>
      <c r="J29" s="50"/>
    </row>
    <row r="30" spans="1:13">
      <c r="A30" s="28" t="s">
        <v>66</v>
      </c>
      <c r="B30" s="7" t="s">
        <v>228</v>
      </c>
      <c r="C30" s="7" t="s">
        <v>213</v>
      </c>
      <c r="D30" s="7" t="s">
        <v>214</v>
      </c>
      <c r="E30" s="8" t="s">
        <v>405</v>
      </c>
      <c r="F30" s="43" t="s">
        <v>394</v>
      </c>
      <c r="G30" s="27" t="s">
        <v>106</v>
      </c>
      <c r="H30" s="27" t="s">
        <v>215</v>
      </c>
      <c r="I30" s="27" t="s">
        <v>33</v>
      </c>
      <c r="J30" s="28"/>
      <c r="K30" s="9" t="str">
        <f>"220,0"</f>
        <v>220,0</v>
      </c>
      <c r="L30" s="9" t="str">
        <f>"123,6400"</f>
        <v>123,6400</v>
      </c>
      <c r="M30" s="7"/>
    </row>
    <row r="32" spans="1:13">
      <c r="G32" s="5"/>
      <c r="K32" s="24"/>
      <c r="M32" s="6"/>
    </row>
    <row r="33" spans="2:13">
      <c r="K33" s="24"/>
      <c r="M33" s="6"/>
    </row>
    <row r="34" spans="2:13" ht="18">
      <c r="B34" s="17" t="s">
        <v>57</v>
      </c>
      <c r="C34" s="17"/>
      <c r="G34" s="3"/>
      <c r="K34" s="24"/>
      <c r="M34" s="6"/>
    </row>
    <row r="35" spans="2:13" ht="16">
      <c r="B35" s="18" t="s">
        <v>58</v>
      </c>
      <c r="C35" s="18"/>
      <c r="G35" s="3"/>
      <c r="K35" s="24"/>
      <c r="M35" s="6"/>
    </row>
    <row r="36" spans="2:13" ht="14">
      <c r="B36" s="19"/>
      <c r="C36" s="20" t="s">
        <v>59</v>
      </c>
      <c r="G36" s="3"/>
      <c r="K36" s="24"/>
      <c r="M36" s="6"/>
    </row>
    <row r="37" spans="2:13" ht="14">
      <c r="B37" s="21" t="s">
        <v>60</v>
      </c>
      <c r="C37" s="21" t="s">
        <v>61</v>
      </c>
      <c r="D37" s="21" t="s">
        <v>374</v>
      </c>
      <c r="E37" s="22" t="s">
        <v>216</v>
      </c>
      <c r="F37" s="21" t="s">
        <v>63</v>
      </c>
      <c r="G37" s="3"/>
      <c r="K37" s="24"/>
      <c r="M37" s="6"/>
    </row>
    <row r="38" spans="2:13">
      <c r="B38" s="5" t="s">
        <v>212</v>
      </c>
      <c r="C38" s="5" t="s">
        <v>59</v>
      </c>
      <c r="D38" s="24" t="s">
        <v>217</v>
      </c>
      <c r="E38" s="25">
        <v>220</v>
      </c>
      <c r="F38" s="23">
        <v>123.63999485969499</v>
      </c>
      <c r="G38" s="3"/>
      <c r="K38" s="24"/>
      <c r="M38" s="6"/>
    </row>
    <row r="39" spans="2:13">
      <c r="B39" s="5" t="s">
        <v>199</v>
      </c>
      <c r="C39" s="5" t="s">
        <v>59</v>
      </c>
      <c r="D39" s="24" t="s">
        <v>64</v>
      </c>
      <c r="E39" s="25">
        <v>190</v>
      </c>
      <c r="F39" s="23">
        <v>113.506001830101</v>
      </c>
      <c r="G39" s="3"/>
      <c r="K39" s="24"/>
      <c r="M39" s="6"/>
    </row>
    <row r="40" spans="2:13">
      <c r="B40" s="5" t="s">
        <v>187</v>
      </c>
      <c r="C40" s="5" t="s">
        <v>59</v>
      </c>
      <c r="D40" s="24" t="s">
        <v>170</v>
      </c>
      <c r="E40" s="25">
        <v>155</v>
      </c>
      <c r="F40" s="23">
        <v>111.18149966001501</v>
      </c>
      <c r="G40" s="5"/>
      <c r="K40" s="24"/>
      <c r="M40" s="6"/>
    </row>
    <row r="41" spans="2:13">
      <c r="E41" s="5"/>
      <c r="F41" s="16"/>
      <c r="G41" s="5"/>
      <c r="K41" s="24"/>
      <c r="M41" s="6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9:J29"/>
    <mergeCell ref="B3:B4"/>
    <mergeCell ref="A8:J8"/>
    <mergeCell ref="A11:J11"/>
    <mergeCell ref="A14:J14"/>
    <mergeCell ref="A17:J17"/>
    <mergeCell ref="A21:J21"/>
    <mergeCell ref="A25:J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5.6640625" style="5" customWidth="1"/>
    <col min="7" max="9" width="5.5" style="24" customWidth="1"/>
    <col min="10" max="10" width="4.83203125" style="24" customWidth="1"/>
    <col min="11" max="11" width="10.5" style="6" bestFit="1" customWidth="1"/>
    <col min="12" max="12" width="8.5" style="6" bestFit="1" customWidth="1"/>
    <col min="13" max="13" width="19.83203125" style="5" bestFit="1" customWidth="1"/>
    <col min="14" max="16384" width="9.1640625" style="3"/>
  </cols>
  <sheetData>
    <row r="1" spans="1:13" s="2" customFormat="1" ht="29" customHeight="1">
      <c r="A1" s="53" t="s">
        <v>384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391</v>
      </c>
      <c r="B3" s="68" t="s">
        <v>0</v>
      </c>
      <c r="C3" s="63" t="s">
        <v>403</v>
      </c>
      <c r="D3" s="63" t="s">
        <v>6</v>
      </c>
      <c r="E3" s="65" t="s">
        <v>404</v>
      </c>
      <c r="F3" s="67" t="s">
        <v>5</v>
      </c>
      <c r="G3" s="67" t="s">
        <v>9</v>
      </c>
      <c r="H3" s="67"/>
      <c r="I3" s="67"/>
      <c r="J3" s="67"/>
      <c r="K3" s="65" t="s">
        <v>183</v>
      </c>
      <c r="L3" s="65" t="s">
        <v>3</v>
      </c>
      <c r="M3" s="70" t="s">
        <v>2</v>
      </c>
    </row>
    <row r="4" spans="1:13" s="1" customFormat="1" ht="21" customHeight="1" thickBot="1">
      <c r="A4" s="62"/>
      <c r="B4" s="69"/>
      <c r="C4" s="64"/>
      <c r="D4" s="64"/>
      <c r="E4" s="66"/>
      <c r="F4" s="64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71"/>
    </row>
    <row r="5" spans="1:13" ht="16">
      <c r="A5" s="51" t="s">
        <v>303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8" t="s">
        <v>66</v>
      </c>
      <c r="B6" s="7" t="s">
        <v>312</v>
      </c>
      <c r="C6" s="7" t="s">
        <v>304</v>
      </c>
      <c r="D6" s="7" t="s">
        <v>305</v>
      </c>
      <c r="E6" s="8" t="s">
        <v>405</v>
      </c>
      <c r="F6" s="7" t="s">
        <v>398</v>
      </c>
      <c r="G6" s="27" t="s">
        <v>124</v>
      </c>
      <c r="H6" s="27" t="s">
        <v>186</v>
      </c>
      <c r="I6" s="27" t="s">
        <v>306</v>
      </c>
      <c r="J6" s="28"/>
      <c r="K6" s="9" t="str">
        <f>"87,5"</f>
        <v>87,5</v>
      </c>
      <c r="L6" s="9" t="str">
        <f>"118,4050"</f>
        <v>118,4050</v>
      </c>
      <c r="M6" s="7" t="s">
        <v>307</v>
      </c>
    </row>
    <row r="8" spans="1:13" ht="16">
      <c r="A8" s="49" t="s">
        <v>147</v>
      </c>
      <c r="B8" s="49"/>
      <c r="C8" s="50"/>
      <c r="D8" s="50"/>
      <c r="E8" s="50"/>
      <c r="F8" s="50"/>
      <c r="G8" s="50"/>
      <c r="H8" s="50"/>
      <c r="I8" s="50"/>
      <c r="J8" s="50"/>
    </row>
    <row r="9" spans="1:13">
      <c r="A9" s="28" t="s">
        <v>66</v>
      </c>
      <c r="B9" s="7" t="s">
        <v>313</v>
      </c>
      <c r="C9" s="7" t="s">
        <v>308</v>
      </c>
      <c r="D9" s="7" t="s">
        <v>309</v>
      </c>
      <c r="E9" s="8" t="s">
        <v>405</v>
      </c>
      <c r="F9" s="43" t="s">
        <v>392</v>
      </c>
      <c r="G9" s="27" t="s">
        <v>28</v>
      </c>
      <c r="H9" s="27" t="s">
        <v>44</v>
      </c>
      <c r="I9" s="27" t="s">
        <v>194</v>
      </c>
      <c r="J9" s="28"/>
      <c r="K9" s="9" t="str">
        <f>"182,5"</f>
        <v>182,5</v>
      </c>
      <c r="L9" s="9" t="str">
        <f>"136,1633"</f>
        <v>136,1633</v>
      </c>
      <c r="M9" s="7" t="s">
        <v>29</v>
      </c>
    </row>
    <row r="11" spans="1:13" ht="16">
      <c r="A11" s="49" t="s">
        <v>10</v>
      </c>
      <c r="B11" s="49"/>
      <c r="C11" s="50"/>
      <c r="D11" s="50"/>
      <c r="E11" s="50"/>
      <c r="F11" s="50"/>
      <c r="G11" s="50"/>
      <c r="H11" s="50"/>
      <c r="I11" s="50"/>
      <c r="J11" s="50"/>
    </row>
    <row r="12" spans="1:13">
      <c r="A12" s="28" t="s">
        <v>66</v>
      </c>
      <c r="B12" s="7" t="s">
        <v>180</v>
      </c>
      <c r="C12" s="7" t="s">
        <v>159</v>
      </c>
      <c r="D12" s="7" t="s">
        <v>160</v>
      </c>
      <c r="E12" s="8" t="s">
        <v>405</v>
      </c>
      <c r="F12" s="7" t="s">
        <v>397</v>
      </c>
      <c r="G12" s="27" t="s">
        <v>165</v>
      </c>
      <c r="H12" s="27" t="s">
        <v>166</v>
      </c>
      <c r="I12" s="27" t="s">
        <v>106</v>
      </c>
      <c r="J12" s="28"/>
      <c r="K12" s="9" t="str">
        <f>"205,0"</f>
        <v>205,0</v>
      </c>
      <c r="L12" s="9" t="str">
        <f>"137,3295"</f>
        <v>137,3295</v>
      </c>
      <c r="M12" s="7"/>
    </row>
    <row r="14" spans="1:13" ht="16">
      <c r="A14" s="49" t="s">
        <v>21</v>
      </c>
      <c r="B14" s="49"/>
      <c r="C14" s="50"/>
      <c r="D14" s="50"/>
      <c r="E14" s="50"/>
      <c r="F14" s="50"/>
      <c r="G14" s="50"/>
      <c r="H14" s="50"/>
      <c r="I14" s="50"/>
      <c r="J14" s="50"/>
    </row>
    <row r="15" spans="1:13">
      <c r="A15" s="28" t="s">
        <v>66</v>
      </c>
      <c r="B15" s="7" t="s">
        <v>314</v>
      </c>
      <c r="C15" s="7" t="s">
        <v>310</v>
      </c>
      <c r="D15" s="7" t="s">
        <v>311</v>
      </c>
      <c r="E15" s="8" t="s">
        <v>405</v>
      </c>
      <c r="F15" s="7" t="s">
        <v>399</v>
      </c>
      <c r="G15" s="27" t="s">
        <v>34</v>
      </c>
      <c r="H15" s="26" t="s">
        <v>35</v>
      </c>
      <c r="I15" s="26" t="s">
        <v>35</v>
      </c>
      <c r="J15" s="28"/>
      <c r="K15" s="9" t="str">
        <f>"230,0"</f>
        <v>230,0</v>
      </c>
      <c r="L15" s="9" t="str">
        <f>"150,0290"</f>
        <v>150,0290</v>
      </c>
      <c r="M15" s="7" t="s">
        <v>29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2023-11-15T16:20:20Z</dcterms:modified>
</cp:coreProperties>
</file>