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wnloads/"/>
    </mc:Choice>
  </mc:AlternateContent>
  <xr:revisionPtr revIDLastSave="0" documentId="13_ncr:1_{421C8630-1AAA-1945-BC2D-2FA4C9FFE493}" xr6:coauthVersionLast="45" xr6:coauthVersionMax="45" xr10:uidLastSave="{00000000-0000-0000-0000-000000000000}"/>
  <bookViews>
    <workbookView xWindow="0" yWindow="460" windowWidth="28800" windowHeight="16080" tabRatio="917" activeTab="9" xr2:uid="{00000000-000D-0000-FFFF-FFFF00000000}"/>
  </bookViews>
  <sheets>
    <sheet name="AM PL Raw" sheetId="11" r:id="rId1"/>
    <sheet name="PRO PL Raw" sheetId="6" r:id="rId2"/>
    <sheet name="AM PL CL" sheetId="10" r:id="rId3"/>
    <sheet name="PRO PL CL" sheetId="5" r:id="rId4"/>
    <sheet name="AM BP Raw" sheetId="17" r:id="rId5"/>
    <sheet name="PRO BP Raw" sheetId="13" r:id="rId6"/>
    <sheet name="PRO BP SP" sheetId="14" r:id="rId7"/>
    <sheet name="AM DL Raw" sheetId="23" r:id="rId8"/>
    <sheet name="PRO DL Raw" sheetId="19" r:id="rId9"/>
    <sheet name="PRO DL Raw Elite" sheetId="29" r:id="rId10"/>
  </sheets>
  <definedNames>
    <definedName name="_FilterDatabase" localSheetId="3" hidden="1">'PRO PL CL'!$A$1:$S$3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0" i="29" l="1"/>
  <c r="K20" i="29"/>
  <c r="L19" i="29"/>
  <c r="K19" i="29"/>
  <c r="L16" i="29"/>
  <c r="K16" i="29"/>
  <c r="L15" i="29"/>
  <c r="K15" i="29"/>
  <c r="L14" i="29"/>
  <c r="K14" i="29"/>
  <c r="L11" i="29"/>
  <c r="K11" i="29"/>
  <c r="L10" i="29"/>
  <c r="K10" i="29"/>
  <c r="L9" i="29"/>
  <c r="K9" i="29"/>
  <c r="L6" i="29"/>
  <c r="K6" i="29"/>
  <c r="L53" i="23"/>
  <c r="K53" i="23"/>
  <c r="L52" i="23"/>
  <c r="K52" i="23"/>
  <c r="L49" i="23"/>
  <c r="K49" i="23"/>
  <c r="L48" i="23"/>
  <c r="K48" i="23"/>
  <c r="L47" i="23"/>
  <c r="K47" i="23"/>
  <c r="L44" i="23"/>
  <c r="K44" i="23"/>
  <c r="L43" i="23"/>
  <c r="K43" i="23"/>
  <c r="L40" i="23"/>
  <c r="K40" i="23"/>
  <c r="L39" i="23"/>
  <c r="K39" i="23"/>
  <c r="L38" i="23"/>
  <c r="K38" i="23"/>
  <c r="L37" i="23"/>
  <c r="K37" i="23"/>
  <c r="L34" i="23"/>
  <c r="K34" i="23"/>
  <c r="L33" i="23"/>
  <c r="K33" i="23"/>
  <c r="L32" i="23"/>
  <c r="K32" i="23"/>
  <c r="L29" i="23"/>
  <c r="K29" i="23"/>
  <c r="L28" i="23"/>
  <c r="K28" i="23"/>
  <c r="L25" i="23"/>
  <c r="K25" i="23"/>
  <c r="L24" i="23"/>
  <c r="K24" i="23"/>
  <c r="L21" i="23"/>
  <c r="K21" i="23"/>
  <c r="L18" i="23"/>
  <c r="K18" i="23"/>
  <c r="L15" i="23"/>
  <c r="K15" i="23"/>
  <c r="L14" i="23"/>
  <c r="K14" i="23"/>
  <c r="L13" i="23"/>
  <c r="K13" i="23"/>
  <c r="L10" i="23"/>
  <c r="K10" i="23"/>
  <c r="L9" i="23"/>
  <c r="K9" i="23"/>
  <c r="L6" i="23"/>
  <c r="K6" i="23"/>
  <c r="L6" i="19"/>
  <c r="K6" i="19"/>
  <c r="L81" i="17"/>
  <c r="K81" i="17"/>
  <c r="L78" i="17"/>
  <c r="K78" i="17"/>
  <c r="L77" i="17"/>
  <c r="K77" i="17"/>
  <c r="L76" i="17"/>
  <c r="K76" i="17"/>
  <c r="L75" i="17"/>
  <c r="K75" i="17"/>
  <c r="L74" i="17"/>
  <c r="K74" i="17"/>
  <c r="L71" i="17"/>
  <c r="K71" i="17"/>
  <c r="L70" i="17"/>
  <c r="K70" i="17"/>
  <c r="L69" i="17"/>
  <c r="K69" i="17"/>
  <c r="L68" i="17"/>
  <c r="K68" i="17"/>
  <c r="L67" i="17"/>
  <c r="K67" i="17"/>
  <c r="L66" i="17"/>
  <c r="K66" i="17"/>
  <c r="L63" i="17"/>
  <c r="K63" i="17"/>
  <c r="L62" i="17"/>
  <c r="K62" i="17"/>
  <c r="L61" i="17"/>
  <c r="K61" i="17"/>
  <c r="L60" i="17"/>
  <c r="K60" i="17"/>
  <c r="L59" i="17"/>
  <c r="K59" i="17"/>
  <c r="L58" i="17"/>
  <c r="K58" i="17"/>
  <c r="L57" i="17"/>
  <c r="K57" i="17"/>
  <c r="L56" i="17"/>
  <c r="K56" i="17"/>
  <c r="L53" i="17"/>
  <c r="K53" i="17"/>
  <c r="L52" i="17"/>
  <c r="K52" i="17"/>
  <c r="L51" i="17"/>
  <c r="K51" i="17"/>
  <c r="L50" i="17"/>
  <c r="K50" i="17"/>
  <c r="L49" i="17"/>
  <c r="K49" i="17"/>
  <c r="L46" i="17"/>
  <c r="K46" i="17"/>
  <c r="L45" i="17"/>
  <c r="K45" i="17"/>
  <c r="L44" i="17"/>
  <c r="K44" i="17"/>
  <c r="L43" i="17"/>
  <c r="K43" i="17"/>
  <c r="L40" i="17"/>
  <c r="K40" i="17"/>
  <c r="L37" i="17"/>
  <c r="K37" i="17"/>
  <c r="L36" i="17"/>
  <c r="K36" i="17"/>
  <c r="L35" i="17"/>
  <c r="K35" i="17"/>
  <c r="L34" i="17"/>
  <c r="K34" i="17"/>
  <c r="L31" i="17"/>
  <c r="K31" i="17"/>
  <c r="L28" i="17"/>
  <c r="K28" i="17"/>
  <c r="L25" i="17"/>
  <c r="K25" i="17"/>
  <c r="L22" i="17"/>
  <c r="K22" i="17"/>
  <c r="L19" i="17"/>
  <c r="K19" i="17"/>
  <c r="L18" i="17"/>
  <c r="K18" i="17"/>
  <c r="L17" i="17"/>
  <c r="K17" i="17"/>
  <c r="L16" i="17"/>
  <c r="K16" i="17"/>
  <c r="L13" i="17"/>
  <c r="K13" i="17"/>
  <c r="L10" i="17"/>
  <c r="K10" i="17"/>
  <c r="L9" i="17"/>
  <c r="K9" i="17"/>
  <c r="L6" i="17"/>
  <c r="K6" i="17"/>
  <c r="L9" i="14"/>
  <c r="K9" i="14"/>
  <c r="L6" i="14"/>
  <c r="K6" i="14"/>
  <c r="L43" i="13"/>
  <c r="K43" i="13"/>
  <c r="L42" i="13"/>
  <c r="K42" i="13"/>
  <c r="L39" i="13"/>
  <c r="K39" i="13"/>
  <c r="L38" i="13"/>
  <c r="K38" i="13"/>
  <c r="L37" i="13"/>
  <c r="K37" i="13"/>
  <c r="L34" i="13"/>
  <c r="K34" i="13"/>
  <c r="L33" i="13"/>
  <c r="K33" i="13"/>
  <c r="L32" i="13"/>
  <c r="K32" i="13"/>
  <c r="L31" i="13"/>
  <c r="K31" i="13"/>
  <c r="L30" i="13"/>
  <c r="K30" i="13"/>
  <c r="L27" i="13"/>
  <c r="K27" i="13"/>
  <c r="L26" i="13"/>
  <c r="K26" i="13"/>
  <c r="L23" i="13"/>
  <c r="K23" i="13"/>
  <c r="L22" i="13"/>
  <c r="K22" i="13"/>
  <c r="L21" i="13"/>
  <c r="K21" i="13"/>
  <c r="L18" i="13"/>
  <c r="K18" i="13"/>
  <c r="L17" i="13"/>
  <c r="K17" i="13"/>
  <c r="L16" i="13"/>
  <c r="K16" i="13"/>
  <c r="L15" i="13"/>
  <c r="K15" i="13"/>
  <c r="L12" i="13"/>
  <c r="K12" i="13"/>
  <c r="L9" i="13"/>
  <c r="K9" i="13"/>
  <c r="L6" i="13"/>
  <c r="K6" i="13"/>
  <c r="T35" i="11"/>
  <c r="S35" i="11"/>
  <c r="T32" i="11"/>
  <c r="S32" i="11"/>
  <c r="T29" i="11"/>
  <c r="S29" i="11"/>
  <c r="T26" i="11"/>
  <c r="S26" i="11"/>
  <c r="T25" i="11"/>
  <c r="S25" i="11"/>
  <c r="T24" i="11"/>
  <c r="S24" i="11"/>
  <c r="T21" i="11"/>
  <c r="S21" i="11"/>
  <c r="T20" i="11"/>
  <c r="S20" i="11"/>
  <c r="T19" i="11"/>
  <c r="S19" i="11"/>
  <c r="T16" i="11"/>
  <c r="S16" i="11"/>
  <c r="T15" i="11"/>
  <c r="S15" i="11"/>
  <c r="T12" i="11"/>
  <c r="S12" i="11"/>
  <c r="T11" i="11"/>
  <c r="S11" i="11"/>
  <c r="T10" i="11"/>
  <c r="S10" i="11"/>
  <c r="T7" i="11"/>
  <c r="S7" i="11"/>
  <c r="T6" i="11"/>
  <c r="S6" i="11"/>
  <c r="T16" i="10"/>
  <c r="S16" i="10"/>
  <c r="T15" i="10"/>
  <c r="S15" i="10"/>
  <c r="T12" i="10"/>
  <c r="S12" i="10"/>
  <c r="T9" i="10"/>
  <c r="S9" i="10"/>
  <c r="T6" i="10"/>
  <c r="S6" i="10"/>
  <c r="T10" i="6"/>
  <c r="S10" i="6"/>
  <c r="T9" i="6"/>
  <c r="S9" i="6"/>
  <c r="T6" i="6"/>
  <c r="S6" i="6"/>
  <c r="T19" i="5"/>
  <c r="S19" i="5"/>
  <c r="T18" i="5"/>
  <c r="S18" i="5"/>
  <c r="S17" i="5"/>
  <c r="T14" i="5"/>
  <c r="S14" i="5"/>
  <c r="T13" i="5"/>
  <c r="S13" i="5"/>
  <c r="T12" i="5"/>
  <c r="S12" i="5"/>
  <c r="T9" i="5"/>
  <c r="S9" i="5"/>
  <c r="T6" i="5"/>
  <c r="S6" i="5"/>
</calcChain>
</file>

<file path=xl/sharedStrings.xml><?xml version="1.0" encoding="utf-8"?>
<sst xmlns="http://schemas.openxmlformats.org/spreadsheetml/2006/main" count="2623" uniqueCount="957">
  <si>
    <t>ФИО</t>
  </si>
  <si>
    <t>Сумма</t>
  </si>
  <si>
    <t>Тренер</t>
  </si>
  <si>
    <t>Очки</t>
  </si>
  <si>
    <t>Команда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</si>
  <si>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</si>
  <si>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</si>
  <si>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</si>
  <si>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</si>
  <si>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</si>
  <si>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</si>
  <si>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56</t>
  </si>
  <si>
    <t>Миганова Анастасия</t>
  </si>
  <si>
    <t>1. Миганова Анастасия</t>
  </si>
  <si>
    <t>Открытая (15.09.1993)/27</t>
  </si>
  <si>
    <t>55,70</t>
  </si>
  <si>
    <t xml:space="preserve">Лично </t>
  </si>
  <si>
    <t xml:space="preserve">Тольятти/Самарская область </t>
  </si>
  <si>
    <t>110,0</t>
  </si>
  <si>
    <t>120,0</t>
  </si>
  <si>
    <t>130,0</t>
  </si>
  <si>
    <t>60,0</t>
  </si>
  <si>
    <t>65,0</t>
  </si>
  <si>
    <t>70,0</t>
  </si>
  <si>
    <t>122,5</t>
  </si>
  <si>
    <t>132,5</t>
  </si>
  <si>
    <t>ВЕСОВАЯ КАТЕГОРИЯ   82.5</t>
  </si>
  <si>
    <t>Евсеев Роман</t>
  </si>
  <si>
    <t>1. Евсеев Роман</t>
  </si>
  <si>
    <t>Открытая (12.08.1993)/27</t>
  </si>
  <si>
    <t>81,80</t>
  </si>
  <si>
    <t xml:space="preserve">Дубна/Московская область </t>
  </si>
  <si>
    <t>200,0</t>
  </si>
  <si>
    <t>220,0</t>
  </si>
  <si>
    <t>230,0</t>
  </si>
  <si>
    <t>140,0</t>
  </si>
  <si>
    <t>147,5</t>
  </si>
  <si>
    <t>245,0</t>
  </si>
  <si>
    <t>ВЕСОВАЯ КАТЕГОРИЯ   100</t>
  </si>
  <si>
    <t>Замп Николай</t>
  </si>
  <si>
    <t>1. Замп Николай</t>
  </si>
  <si>
    <t>Открытая (02.03.1990)/30</t>
  </si>
  <si>
    <t>97,80</t>
  </si>
  <si>
    <t xml:space="preserve">Москва/ </t>
  </si>
  <si>
    <t>260,0</t>
  </si>
  <si>
    <t>275,0</t>
  </si>
  <si>
    <t>280,0</t>
  </si>
  <si>
    <t>150,0</t>
  </si>
  <si>
    <t>160,0</t>
  </si>
  <si>
    <t>170,0</t>
  </si>
  <si>
    <t>250,0</t>
  </si>
  <si>
    <t>270,0</t>
  </si>
  <si>
    <t xml:space="preserve"> </t>
  </si>
  <si>
    <t>-. Маренков Юрий</t>
  </si>
  <si>
    <t>Открытая (18.12.1976)/43</t>
  </si>
  <si>
    <t>99,90</t>
  </si>
  <si>
    <t xml:space="preserve">Королёв/Московская область </t>
  </si>
  <si>
    <t>290,0</t>
  </si>
  <si>
    <t>165,0</t>
  </si>
  <si>
    <t xml:space="preserve">Танаев М. </t>
  </si>
  <si>
    <t>Ветераны 40 - 44 (18.12.1976)/43</t>
  </si>
  <si>
    <t>ВЕСОВАЯ КАТЕГОРИЯ   110</t>
  </si>
  <si>
    <t>Ахлестин Сергей</t>
  </si>
  <si>
    <t>1. Ахлестин Сергей</t>
  </si>
  <si>
    <t>Открытая (15.09.1989)/31</t>
  </si>
  <si>
    <t>109,90</t>
  </si>
  <si>
    <t xml:space="preserve">Вольск/Саратовская область </t>
  </si>
  <si>
    <t>360,0</t>
  </si>
  <si>
    <t>380,0</t>
  </si>
  <si>
    <t>387,5</t>
  </si>
  <si>
    <t>210,0</t>
  </si>
  <si>
    <t>217,5</t>
  </si>
  <si>
    <t>Белов Антон</t>
  </si>
  <si>
    <t>2. Белов Антон</t>
  </si>
  <si>
    <t>Открытая (24.03.1985)/35</t>
  </si>
  <si>
    <t>106,20</t>
  </si>
  <si>
    <t>222,5</t>
  </si>
  <si>
    <t>305,0</t>
  </si>
  <si>
    <t>315,0</t>
  </si>
  <si>
    <t>Плотников Максим</t>
  </si>
  <si>
    <t>3. Плотников Максим</t>
  </si>
  <si>
    <t>Открытая (20.05.1983)/37</t>
  </si>
  <si>
    <t>107,20</t>
  </si>
  <si>
    <t>265,0</t>
  </si>
  <si>
    <t>167,5</t>
  </si>
  <si>
    <t>172,5</t>
  </si>
  <si>
    <t>240,0</t>
  </si>
  <si>
    <t>257,5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</si>
  <si>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</si>
  <si>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</si>
  <si>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</si>
  <si>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</si>
  <si>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</si>
  <si>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</si>
  <si>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</si>
  <si>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</si>
  <si>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</si>
  <si>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</si>
  <si>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</si>
  <si>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</si>
  <si>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</si>
  <si>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56</t>
  </si>
  <si>
    <t>322,5</t>
  </si>
  <si>
    <t>381,0660</t>
  </si>
  <si>
    <t xml:space="preserve">Мужчины </t>
  </si>
  <si>
    <t>110</t>
  </si>
  <si>
    <t>977,5</t>
  </si>
  <si>
    <t>575,4542</t>
  </si>
  <si>
    <t>802,5</t>
  </si>
  <si>
    <t>477,6480</t>
  </si>
  <si>
    <t>100</t>
  </si>
  <si>
    <t>690,0</t>
  </si>
  <si>
    <t>423,7980</t>
  </si>
  <si>
    <t>710,0</t>
  </si>
  <si>
    <t>421,2430</t>
  </si>
  <si>
    <t>82.5</t>
  </si>
  <si>
    <t>587,5</t>
  </si>
  <si>
    <t>395,6225</t>
  </si>
  <si>
    <t>ВЕСОВАЯ КАТЕГОРИЯ   75</t>
  </si>
  <si>
    <t>Талагаев Максим</t>
  </si>
  <si>
    <t>1. Талагаев Максим</t>
  </si>
  <si>
    <t>Открытая (06.05.1997)/23</t>
  </si>
  <si>
    <t>74,50</t>
  </si>
  <si>
    <t xml:space="preserve">Домодедово/Московская область </t>
  </si>
  <si>
    <t>185,0</t>
  </si>
  <si>
    <t>195,0</t>
  </si>
  <si>
    <t>135,0</t>
  </si>
  <si>
    <t>Столяров Яков</t>
  </si>
  <si>
    <t>1. Столяров Яков</t>
  </si>
  <si>
    <t>Открытая (24.05.1985)/35</t>
  </si>
  <si>
    <t>81,30</t>
  </si>
  <si>
    <t xml:space="preserve">Павловский Посад/Московская об </t>
  </si>
  <si>
    <t>127,5</t>
  </si>
  <si>
    <t>Молочков Алексей</t>
  </si>
  <si>
    <t>1. Молочков Алексей</t>
  </si>
  <si>
    <t>Ветераны 55 - 59 (08.08.1962)/58</t>
  </si>
  <si>
    <t>81,90</t>
  </si>
  <si>
    <t xml:space="preserve">Russia </t>
  </si>
  <si>
    <t>125,0</t>
  </si>
  <si>
    <t>180,0</t>
  </si>
  <si>
    <t>190,0</t>
  </si>
  <si>
    <t>75</t>
  </si>
  <si>
    <t>530,0</t>
  </si>
  <si>
    <t>379,4270</t>
  </si>
  <si>
    <t>537,5</t>
  </si>
  <si>
    <t>363,2962</t>
  </si>
  <si>
    <t xml:space="preserve">Ветераны </t>
  </si>
  <si>
    <t xml:space="preserve">Ветераны 55 - 59 </t>
  </si>
  <si>
    <t>500,0</t>
  </si>
  <si>
    <t>434,3570</t>
  </si>
  <si>
    <t>ВЕСОВАЯ КАТЕГОРИЯ   52</t>
  </si>
  <si>
    <t>Озернюк Инна</t>
  </si>
  <si>
    <t>1. Озернюк Инна</t>
  </si>
  <si>
    <t>Открытая (06.06.1989)/31</t>
  </si>
  <si>
    <t>51,30</t>
  </si>
  <si>
    <t>100,0</t>
  </si>
  <si>
    <t>105,0</t>
  </si>
  <si>
    <t>40,0</t>
  </si>
  <si>
    <t>45,0</t>
  </si>
  <si>
    <t>107,5</t>
  </si>
  <si>
    <t>ВЕСОВАЯ КАТЕГОРИЯ   60</t>
  </si>
  <si>
    <t>Сарычева Елизавета</t>
  </si>
  <si>
    <t>1. Сарычева Елизавета</t>
  </si>
  <si>
    <t>Открытая (16.09.1998)/22</t>
  </si>
  <si>
    <t>57,80</t>
  </si>
  <si>
    <t>145,0</t>
  </si>
  <si>
    <t>67,5</t>
  </si>
  <si>
    <t>72,5</t>
  </si>
  <si>
    <t>75,0</t>
  </si>
  <si>
    <t xml:space="preserve">Власова Н. </t>
  </si>
  <si>
    <t>ВЕСОВАЯ КАТЕГОРИЯ   67.5</t>
  </si>
  <si>
    <t>Волкова Мария</t>
  </si>
  <si>
    <t>1. Волкова Мария</t>
  </si>
  <si>
    <t>Открытая (03.01.1995)/25</t>
  </si>
  <si>
    <t>65,80</t>
  </si>
  <si>
    <t>155,0</t>
  </si>
  <si>
    <t>90,0</t>
  </si>
  <si>
    <t>97,5</t>
  </si>
  <si>
    <t>102,5</t>
  </si>
  <si>
    <t>152,5</t>
  </si>
  <si>
    <t>ВЕСОВАЯ КАТЕГОРИЯ   125</t>
  </si>
  <si>
    <t>Рак Иван</t>
  </si>
  <si>
    <t>1. Рак Иван</t>
  </si>
  <si>
    <t>Открытая (27.08.1974)/46</t>
  </si>
  <si>
    <t>122,80</t>
  </si>
  <si>
    <t xml:space="preserve">Дмитров/Московская область </t>
  </si>
  <si>
    <t>255,0</t>
  </si>
  <si>
    <t>162,5</t>
  </si>
  <si>
    <t>277,5</t>
  </si>
  <si>
    <t xml:space="preserve">Евстигнеев М. </t>
  </si>
  <si>
    <t>Ветераны 45 - 49 (27.08.1974)/46</t>
  </si>
  <si>
    <t>67.5</t>
  </si>
  <si>
    <t>405,0</t>
  </si>
  <si>
    <t>421,0785</t>
  </si>
  <si>
    <t>60</t>
  </si>
  <si>
    <t>340,0</t>
  </si>
  <si>
    <t>390,2520</t>
  </si>
  <si>
    <t>52</t>
  </si>
  <si>
    <t>247,5</t>
  </si>
  <si>
    <t>311,7757</t>
  </si>
  <si>
    <t>125</t>
  </si>
  <si>
    <t>727,5</t>
  </si>
  <si>
    <t>416,1300</t>
  </si>
  <si>
    <t xml:space="preserve">Ветераны 45 - 49 </t>
  </si>
  <si>
    <t>444,4269</t>
  </si>
  <si>
    <t>ВЕСОВАЯ КАТЕГОРИЯ   48</t>
  </si>
  <si>
    <t>Сучкова Екатерина</t>
  </si>
  <si>
    <t>1. Сучкова Екатерина</t>
  </si>
  <si>
    <t>Юниорки 20 - 23 (15.05.1997)/23</t>
  </si>
  <si>
    <t>44,80</t>
  </si>
  <si>
    <t>80,0</t>
  </si>
  <si>
    <t>85,0</t>
  </si>
  <si>
    <t>37,5</t>
  </si>
  <si>
    <t>42,5</t>
  </si>
  <si>
    <t>112,5</t>
  </si>
  <si>
    <t>115,0</t>
  </si>
  <si>
    <t xml:space="preserve">. </t>
  </si>
  <si>
    <t>Смирнова Елизавета</t>
  </si>
  <si>
    <t>1. Смирнова Елизавета</t>
  </si>
  <si>
    <t>Открытая (19.01.1995)/25</t>
  </si>
  <si>
    <t>48,00</t>
  </si>
  <si>
    <t>47,5</t>
  </si>
  <si>
    <t>52,5</t>
  </si>
  <si>
    <t>117,5</t>
  </si>
  <si>
    <t>Крекова Диана</t>
  </si>
  <si>
    <t>1. Крекова Диана</t>
  </si>
  <si>
    <t>Юниорки 20 - 23 (25.04.1998)/22</t>
  </si>
  <si>
    <t>63,80</t>
  </si>
  <si>
    <t xml:space="preserve">Зеленоград/Московская область </t>
  </si>
  <si>
    <t>95,0</t>
  </si>
  <si>
    <t>62,5</t>
  </si>
  <si>
    <t>Султанова Диана</t>
  </si>
  <si>
    <t>1. Султанова Диана</t>
  </si>
  <si>
    <t>Открытая (15.04.1995)/25</t>
  </si>
  <si>
    <t>66,70</t>
  </si>
  <si>
    <t>137,5</t>
  </si>
  <si>
    <t>142,5</t>
  </si>
  <si>
    <t>Остапенко Мария-Агата</t>
  </si>
  <si>
    <t>2. Остапенко Мария-Агата</t>
  </si>
  <si>
    <t>Открытая (26.03.1986)/34</t>
  </si>
  <si>
    <t>60,40</t>
  </si>
  <si>
    <t>Пулбере Милена</t>
  </si>
  <si>
    <t>1. Пулбере Милена</t>
  </si>
  <si>
    <t>Девушки 15-19 (03.04.2005)/15</t>
  </si>
  <si>
    <t>74,30</t>
  </si>
  <si>
    <t xml:space="preserve">Балашиха/Московская область </t>
  </si>
  <si>
    <t>55,0</t>
  </si>
  <si>
    <t>Открытая (03.04.2005)/15</t>
  </si>
  <si>
    <t>Чернов Олег</t>
  </si>
  <si>
    <t>1. Чернов Олег</t>
  </si>
  <si>
    <t>Открытая (04.06.1986)/34</t>
  </si>
  <si>
    <t>82,00</t>
  </si>
  <si>
    <t>205,0</t>
  </si>
  <si>
    <t>Дроздов Никита</t>
  </si>
  <si>
    <t>2. Дроздов Никита</t>
  </si>
  <si>
    <t>Открытая (18.01.1987)/33</t>
  </si>
  <si>
    <t>82,30</t>
  </si>
  <si>
    <t>175,0</t>
  </si>
  <si>
    <t>Гвоздев Алексей</t>
  </si>
  <si>
    <t>1. Гвоздев Алексей</t>
  </si>
  <si>
    <t>Ветераны 45 - 49 (27.03.1972)/48</t>
  </si>
  <si>
    <t>82,20</t>
  </si>
  <si>
    <t>192,5</t>
  </si>
  <si>
    <t>227,5</t>
  </si>
  <si>
    <t>ВЕСОВАЯ КАТЕГОРИЯ   90</t>
  </si>
  <si>
    <t>Ярлыков Максим</t>
  </si>
  <si>
    <t>1. Ярлыков Максим</t>
  </si>
  <si>
    <t>Открытая (16.10.1984)/35</t>
  </si>
  <si>
    <t>89,50</t>
  </si>
  <si>
    <t xml:space="preserve">Мытищи/Московская область </t>
  </si>
  <si>
    <t>235,0</t>
  </si>
  <si>
    <t>252,5</t>
  </si>
  <si>
    <t>262,5</t>
  </si>
  <si>
    <t>Сукиасян Тигран</t>
  </si>
  <si>
    <t>2. Сукиасян Тигран</t>
  </si>
  <si>
    <t>Открытая (22.12.1987)/32</t>
  </si>
  <si>
    <t>88,70</t>
  </si>
  <si>
    <t>207,5</t>
  </si>
  <si>
    <t>215,0</t>
  </si>
  <si>
    <t>157,5</t>
  </si>
  <si>
    <t>Филиппов Дмитрий</t>
  </si>
  <si>
    <t>3. Филиппов Дмитрий</t>
  </si>
  <si>
    <t>Открытая (22.02.1988)/32</t>
  </si>
  <si>
    <t>87,30</t>
  </si>
  <si>
    <t>212,5</t>
  </si>
  <si>
    <t>Третьяков Сергей</t>
  </si>
  <si>
    <t>1. Третьяков Сергей</t>
  </si>
  <si>
    <t>Ветераны 40 - 44 (17.08.1978)/42</t>
  </si>
  <si>
    <t xml:space="preserve">Краснозаводск/Московская облас </t>
  </si>
  <si>
    <t>Лисицкий Илья</t>
  </si>
  <si>
    <t>1. Лисицкий Илья</t>
  </si>
  <si>
    <t>Открытая (19.08.1993)/27</t>
  </si>
  <si>
    <t>100,10</t>
  </si>
  <si>
    <t>225,0</t>
  </si>
  <si>
    <t>ВЕСОВАЯ КАТЕГОРИЯ   140</t>
  </si>
  <si>
    <t>Шуров Антон</t>
  </si>
  <si>
    <t>1. Шуров Антон</t>
  </si>
  <si>
    <t>Юниоры 20 - 23 (01.06.2000)/20</t>
  </si>
  <si>
    <t>132,20</t>
  </si>
  <si>
    <t xml:space="preserve">Девушки </t>
  </si>
  <si>
    <t xml:space="preserve">Юноши 15-19 </t>
  </si>
  <si>
    <t>258,2010</t>
  </si>
  <si>
    <t xml:space="preserve">Юниорки </t>
  </si>
  <si>
    <t xml:space="preserve">Юниоры 20 - 23 </t>
  </si>
  <si>
    <t>343,0755</t>
  </si>
  <si>
    <t>48</t>
  </si>
  <si>
    <t>232,5</t>
  </si>
  <si>
    <t>323,4075</t>
  </si>
  <si>
    <t>324,4780</t>
  </si>
  <si>
    <t>282,5</t>
  </si>
  <si>
    <t>313,3490</t>
  </si>
  <si>
    <t>285,0</t>
  </si>
  <si>
    <t>293,3790</t>
  </si>
  <si>
    <t xml:space="preserve">Юниоры </t>
  </si>
  <si>
    <t>140</t>
  </si>
  <si>
    <t>705,0</t>
  </si>
  <si>
    <t>397,5495</t>
  </si>
  <si>
    <t>90</t>
  </si>
  <si>
    <t>675,0</t>
  </si>
  <si>
    <t>432,1350</t>
  </si>
  <si>
    <t>575,0</t>
  </si>
  <si>
    <t>369,8400</t>
  </si>
  <si>
    <t>552,5</t>
  </si>
  <si>
    <t>358,4067</t>
  </si>
  <si>
    <t>515,0</t>
  </si>
  <si>
    <t>346,2860</t>
  </si>
  <si>
    <t>482,5</t>
  </si>
  <si>
    <t>323,7092</t>
  </si>
  <si>
    <t>304,1500</t>
  </si>
  <si>
    <t>520,0</t>
  </si>
  <si>
    <t>382,9934</t>
  </si>
  <si>
    <t xml:space="preserve">Ветераны 40 - 44 </t>
  </si>
  <si>
    <t>325,7717</t>
  </si>
  <si>
    <t>-. Вишнякова Наталия</t>
  </si>
  <si>
    <t>Ветераны 40 - 44 (10.05.1980)/40</t>
  </si>
  <si>
    <t>58,20</t>
  </si>
  <si>
    <t xml:space="preserve">Кимовск/Тульская область </t>
  </si>
  <si>
    <t>Яцменко Анна</t>
  </si>
  <si>
    <t>1. Яцменко Анна</t>
  </si>
  <si>
    <t>Открытая (03.04.1990)/30</t>
  </si>
  <si>
    <t>67,20</t>
  </si>
  <si>
    <t>Власова Надежда</t>
  </si>
  <si>
    <t>1. Власова Надежда</t>
  </si>
  <si>
    <t>Открытая (24.01.1982)/38</t>
  </si>
  <si>
    <t>72,00</t>
  </si>
  <si>
    <t>Буханцев Антон</t>
  </si>
  <si>
    <t>1. Буханцев Антон</t>
  </si>
  <si>
    <t>Открытая (22.06.1991)/29</t>
  </si>
  <si>
    <t>76,40</t>
  </si>
  <si>
    <t xml:space="preserve">Яруков С. </t>
  </si>
  <si>
    <t>Ремизевич Евгений</t>
  </si>
  <si>
    <t>2. Ремизевич Евгений</t>
  </si>
  <si>
    <t>Открытая (03.03.1992)/28</t>
  </si>
  <si>
    <t>80,60</t>
  </si>
  <si>
    <t>Кондаков Алексей</t>
  </si>
  <si>
    <t>1. Кондаков Алексей</t>
  </si>
  <si>
    <t>Ветераны 50 - 54 (22.07.1970)/50</t>
  </si>
  <si>
    <t>82,10</t>
  </si>
  <si>
    <t>Хуснетдинов Амир</t>
  </si>
  <si>
    <t>1. Хуснетдинов Амир</t>
  </si>
  <si>
    <t>Ветераны 70 - 74 (01.03.1948)/72</t>
  </si>
  <si>
    <t>Любимский Семен</t>
  </si>
  <si>
    <t>1. Любимский Семен</t>
  </si>
  <si>
    <t>Открытая (31.03.1986)/34</t>
  </si>
  <si>
    <t>88,10</t>
  </si>
  <si>
    <t xml:space="preserve">Туапсе/Краснодарский край </t>
  </si>
  <si>
    <t>Петрокович Николай</t>
  </si>
  <si>
    <t>1. Петрокович Николай</t>
  </si>
  <si>
    <t>Ветераны 40 - 44 (17.08.1979)/41</t>
  </si>
  <si>
    <t>85,00</t>
  </si>
  <si>
    <t>Семенов Сергей</t>
  </si>
  <si>
    <t>1. Семенов Сергей</t>
  </si>
  <si>
    <t>Ветераны 60 - 64 (01.04.1959)/61</t>
  </si>
  <si>
    <t>88,30</t>
  </si>
  <si>
    <t xml:space="preserve">Тамбов/Тамбовская область </t>
  </si>
  <si>
    <t>Петросян Артур</t>
  </si>
  <si>
    <t>1. Петросян Артур</t>
  </si>
  <si>
    <t>Ветераны 50 - 54 (23.02.1970)/50</t>
  </si>
  <si>
    <t>95,80</t>
  </si>
  <si>
    <t>177,5</t>
  </si>
  <si>
    <t>Таушунаев Эдуард</t>
  </si>
  <si>
    <t>2. Таушунаев Эдуард</t>
  </si>
  <si>
    <t>Ветераны 50 - 54 (16.05.1966)/54</t>
  </si>
  <si>
    <t>95,90</t>
  </si>
  <si>
    <t>Евтеев Алексей</t>
  </si>
  <si>
    <t>1. Евтеев Алексей</t>
  </si>
  <si>
    <t>Открытая (08.08.1994)/26</t>
  </si>
  <si>
    <t>102,20</t>
  </si>
  <si>
    <t xml:space="preserve">Беловалов Е. </t>
  </si>
  <si>
    <t>Лисицын Сергей</t>
  </si>
  <si>
    <t>3. Лисицын Сергей</t>
  </si>
  <si>
    <t>Открытая (26.10.1970)/49</t>
  </si>
  <si>
    <t>109,10</t>
  </si>
  <si>
    <t xml:space="preserve">Нахабино/Московская область </t>
  </si>
  <si>
    <t>197,5</t>
  </si>
  <si>
    <t xml:space="preserve">Крылова Е. </t>
  </si>
  <si>
    <t>1. Лисицын Сергей</t>
  </si>
  <si>
    <t>Ветераны 45 - 49 (26.10.1970)/49</t>
  </si>
  <si>
    <t>Герштанский Сергей</t>
  </si>
  <si>
    <t>2. Герштанский Сергей</t>
  </si>
  <si>
    <t>Ветераны 45 - 49 (06.04.1974)/46</t>
  </si>
  <si>
    <t>107,30</t>
  </si>
  <si>
    <t>Фролов Алексей</t>
  </si>
  <si>
    <t>1. Фролов Алексей</t>
  </si>
  <si>
    <t>Открытая (10.05.1994)/26</t>
  </si>
  <si>
    <t>115,70</t>
  </si>
  <si>
    <t>Иванов Андрей</t>
  </si>
  <si>
    <t>2. Иванов Андрей</t>
  </si>
  <si>
    <t>Открытая (22.02.1976)/44</t>
  </si>
  <si>
    <t>115,80</t>
  </si>
  <si>
    <t xml:space="preserve">Егорьевск/Московская область </t>
  </si>
  <si>
    <t>Ищенко Виталий</t>
  </si>
  <si>
    <t>1. Ищенко Виталий</t>
  </si>
  <si>
    <t>Ветераны 45 - 49 (03.07.1975)/45</t>
  </si>
  <si>
    <t>115,50</t>
  </si>
  <si>
    <t>Чернышев Андрей</t>
  </si>
  <si>
    <t>1. Чернышев Андрей</t>
  </si>
  <si>
    <t>Открытая (24.08.1981)/39</t>
  </si>
  <si>
    <t>127,50</t>
  </si>
  <si>
    <t xml:space="preserve">Ивантеевка/Московская область </t>
  </si>
  <si>
    <t>182,5</t>
  </si>
  <si>
    <t>Аладышев Сергей</t>
  </si>
  <si>
    <t>1. Аладышев Сергей</t>
  </si>
  <si>
    <t>Ветераны 45 - 49 (08.05.1971)/49</t>
  </si>
  <si>
    <t>137,80</t>
  </si>
  <si>
    <t xml:space="preserve">Ржев/Тверская область </t>
  </si>
  <si>
    <t xml:space="preserve">Результат </t>
  </si>
  <si>
    <t>126,8800</t>
  </si>
  <si>
    <t>61,4340</t>
  </si>
  <si>
    <t>138,8050</t>
  </si>
  <si>
    <t>129,4560</t>
  </si>
  <si>
    <t>125,3750</t>
  </si>
  <si>
    <t>118,9205</t>
  </si>
  <si>
    <t>112,9625</t>
  </si>
  <si>
    <t>110,2000</t>
  </si>
  <si>
    <t>103,5870</t>
  </si>
  <si>
    <t>84,4320</t>
  </si>
  <si>
    <t>81,5400</t>
  </si>
  <si>
    <t>139,5424</t>
  </si>
  <si>
    <t xml:space="preserve">Ветераны 50 - 54 </t>
  </si>
  <si>
    <t>122,5457</t>
  </si>
  <si>
    <t>117,8720</t>
  </si>
  <si>
    <t xml:space="preserve">Ветераны 70 - 74 </t>
  </si>
  <si>
    <t>115,6901</t>
  </si>
  <si>
    <t>112,2305</t>
  </si>
  <si>
    <t>110,0908</t>
  </si>
  <si>
    <t xml:space="preserve">Ветераны 60 - 64 </t>
  </si>
  <si>
    <t>110,0825</t>
  </si>
  <si>
    <t>109,9993</t>
  </si>
  <si>
    <t>99,7822</t>
  </si>
  <si>
    <t>68,1505</t>
  </si>
  <si>
    <t>Результат</t>
  </si>
  <si>
    <t>Карпов Денис</t>
  </si>
  <si>
    <t>1. Карпов Денис</t>
  </si>
  <si>
    <t>Открытая (20.04.1981)/39</t>
  </si>
  <si>
    <t>98,70</t>
  </si>
  <si>
    <t>Брехов Роман</t>
  </si>
  <si>
    <t>1. Брехов Роман</t>
  </si>
  <si>
    <t>Открытая (24.02.1990)/30</t>
  </si>
  <si>
    <t>107,90</t>
  </si>
  <si>
    <t xml:space="preserve">Соловьёв В. </t>
  </si>
  <si>
    <t>164,3078</t>
  </si>
  <si>
    <t>146,8320</t>
  </si>
  <si>
    <t>-. Грушевская Вероника</t>
  </si>
  <si>
    <t>Юниорки 20 - 23 (04.07.1999)/21</t>
  </si>
  <si>
    <t>-. Кравцова Галина</t>
  </si>
  <si>
    <t>Открытая (29.11.1986)/33</t>
  </si>
  <si>
    <t>52,00</t>
  </si>
  <si>
    <t>Толстикова Светлана</t>
  </si>
  <si>
    <t>1. Толстикова Светлана</t>
  </si>
  <si>
    <t>Ветераны 50 - 54 (04.08.1967)/53</t>
  </si>
  <si>
    <t>35,0</t>
  </si>
  <si>
    <t>Гусева Евгения</t>
  </si>
  <si>
    <t>1. Гусева Евгения</t>
  </si>
  <si>
    <t>Открытая (29.09.1976)/43</t>
  </si>
  <si>
    <t>59,80</t>
  </si>
  <si>
    <t>57,5</t>
  </si>
  <si>
    <t xml:space="preserve">Нетребина Г. </t>
  </si>
  <si>
    <t>Кричмар Ольга</t>
  </si>
  <si>
    <t>1. Кричмар Ольга</t>
  </si>
  <si>
    <t>Открытая (09.03.1982)/38</t>
  </si>
  <si>
    <t>61,40</t>
  </si>
  <si>
    <t>Подопригора Анастасия</t>
  </si>
  <si>
    <t>1. Подопригора Анастасия</t>
  </si>
  <si>
    <t>Ветераны 40 - 44 (03.10.1977)/42</t>
  </si>
  <si>
    <t>66,30</t>
  </si>
  <si>
    <t>Груздева Анастасия</t>
  </si>
  <si>
    <t>2. Груздева Анастасия</t>
  </si>
  <si>
    <t>Ветераны 40 - 44 (12.08.1979)/41</t>
  </si>
  <si>
    <t>65,10</t>
  </si>
  <si>
    <t xml:space="preserve">Фрязино/Московская область </t>
  </si>
  <si>
    <t>Ермолаева Анна</t>
  </si>
  <si>
    <t>1. Ермолаева Анна</t>
  </si>
  <si>
    <t>Ветераны 45 - 49 (27.04.1975)/45</t>
  </si>
  <si>
    <t>66,80</t>
  </si>
  <si>
    <t>82,5</t>
  </si>
  <si>
    <t>Поднебесная Ирина</t>
  </si>
  <si>
    <t>1. Поднебесная Ирина</t>
  </si>
  <si>
    <t>Ветераны 40 - 44 (28.02.1977)/43</t>
  </si>
  <si>
    <t>Логинова Анастасия</t>
  </si>
  <si>
    <t>1. Логинова Анастасия</t>
  </si>
  <si>
    <t>Открытая (04.04.1995)/25</t>
  </si>
  <si>
    <t>83,90</t>
  </si>
  <si>
    <t>Вышинский Никита</t>
  </si>
  <si>
    <t>1. Вышинский Никита</t>
  </si>
  <si>
    <t>Юноши 15-19 (30.11.2007)/12</t>
  </si>
  <si>
    <t>47,90</t>
  </si>
  <si>
    <t>30,0</t>
  </si>
  <si>
    <t>Тибилов Георгий</t>
  </si>
  <si>
    <t>1. Тибилов Георгий</t>
  </si>
  <si>
    <t>Юниоры 20 - 23 (24.11.1997)/22</t>
  </si>
  <si>
    <t>60,00</t>
  </si>
  <si>
    <t xml:space="preserve">Владикавказ/Северная Осетия - Алания </t>
  </si>
  <si>
    <t>Беспелюхин Алексей</t>
  </si>
  <si>
    <t>1. Беспелюхин Алексей</t>
  </si>
  <si>
    <t>Юноши 15-19 (01.10.2003)/16</t>
  </si>
  <si>
    <t>67,50</t>
  </si>
  <si>
    <t xml:space="preserve">Красногорск/Московская область </t>
  </si>
  <si>
    <t>Агафонов Андрей</t>
  </si>
  <si>
    <t>2. Агафонов Андрей</t>
  </si>
  <si>
    <t>Юноши 15-19 (25.08.2003)/17</t>
  </si>
  <si>
    <t>61,10</t>
  </si>
  <si>
    <t xml:space="preserve">Наро-Фоминск/Московская област </t>
  </si>
  <si>
    <t>Мирошников Глеб</t>
  </si>
  <si>
    <t>3. Мирошников Глеб</t>
  </si>
  <si>
    <t>Юноши 15-19 (10.07.2004)/16</t>
  </si>
  <si>
    <t>64,50</t>
  </si>
  <si>
    <t xml:space="preserve">Видное/Московская область </t>
  </si>
  <si>
    <t>50,0</t>
  </si>
  <si>
    <t>Злобин Игорь</t>
  </si>
  <si>
    <t>1. Злобин Игорь</t>
  </si>
  <si>
    <t>Ветераны 50 - 54 (17.03.1966)/54</t>
  </si>
  <si>
    <t>67,00</t>
  </si>
  <si>
    <t>Соков Илья</t>
  </si>
  <si>
    <t>1. Соков Илья</t>
  </si>
  <si>
    <t>Юниоры 20 - 23 (13.02.1997)/23</t>
  </si>
  <si>
    <t>72,60</t>
  </si>
  <si>
    <t xml:space="preserve">Рак И. </t>
  </si>
  <si>
    <t>Борисов Даниил</t>
  </si>
  <si>
    <t>1. Борисов Даниил</t>
  </si>
  <si>
    <t>Юниоры 20 - 23 (04.12.1998)/21</t>
  </si>
  <si>
    <t>80,20</t>
  </si>
  <si>
    <t>Кожевников Алексей</t>
  </si>
  <si>
    <t>1. Кожевников Алексей</t>
  </si>
  <si>
    <t>Открытая (20.12.1983)/36</t>
  </si>
  <si>
    <t>Захаров Алексей</t>
  </si>
  <si>
    <t>2. Захаров Алексей</t>
  </si>
  <si>
    <t>Открытая (07.07.1988)/32</t>
  </si>
  <si>
    <t>82,50</t>
  </si>
  <si>
    <t>-. Бобкин Михаил</t>
  </si>
  <si>
    <t>Открытая (12.01.1983)/37</t>
  </si>
  <si>
    <t>81,20</t>
  </si>
  <si>
    <t>Мищенко Артем</t>
  </si>
  <si>
    <t>1. Мищенко Артем</t>
  </si>
  <si>
    <t>Открытая (26.06.1984)/36</t>
  </si>
  <si>
    <t>87,90</t>
  </si>
  <si>
    <t xml:space="preserve">Чокаев У. </t>
  </si>
  <si>
    <t>Дымов Олег</t>
  </si>
  <si>
    <t>1. Дымов Олег</t>
  </si>
  <si>
    <t>Ветераны 50 - 54 (02.05.1970)/50</t>
  </si>
  <si>
    <t>89,00</t>
  </si>
  <si>
    <t>Галкин Андрей</t>
  </si>
  <si>
    <t>1. Галкин Андрей</t>
  </si>
  <si>
    <t>Ветераны 55 - 59 (04.08.1963)/57</t>
  </si>
  <si>
    <t>85,70</t>
  </si>
  <si>
    <t>Смирнов Леонид</t>
  </si>
  <si>
    <t>1. Смирнов Леонид</t>
  </si>
  <si>
    <t>Ветераны 60 - 64 (26.09.1957)/62</t>
  </si>
  <si>
    <t>89,90</t>
  </si>
  <si>
    <t>Мурзаханов Калимулла</t>
  </si>
  <si>
    <t>1. Мурзаханов Калимулла</t>
  </si>
  <si>
    <t>Ветераны 65 - 69 (29.07.1955)/65</t>
  </si>
  <si>
    <t>88,50</t>
  </si>
  <si>
    <t xml:space="preserve">Санкт-Петербург/ </t>
  </si>
  <si>
    <t>Тарасов Антон</t>
  </si>
  <si>
    <t>1. Тарасов Антон</t>
  </si>
  <si>
    <t>Открытая (09.11.1986)/33</t>
  </si>
  <si>
    <t>98,00</t>
  </si>
  <si>
    <t>Наумов Павел</t>
  </si>
  <si>
    <t>2. Наумов Павел</t>
  </si>
  <si>
    <t>Открытая (12.07.1985)/35</t>
  </si>
  <si>
    <t>95,30</t>
  </si>
  <si>
    <t>Даниелян Максим</t>
  </si>
  <si>
    <t>3. Даниелян Максим</t>
  </si>
  <si>
    <t>Открытая (25.01.1995)/25</t>
  </si>
  <si>
    <t>99,20</t>
  </si>
  <si>
    <t>Бурдин Виталий</t>
  </si>
  <si>
    <t>4. Бурдин Виталий</t>
  </si>
  <si>
    <t>Открытая (04.09.1981)/39</t>
  </si>
  <si>
    <t>93,70</t>
  </si>
  <si>
    <t xml:space="preserve">Железнодорожный/Московская обл </t>
  </si>
  <si>
    <t>-. Мартышин Александр</t>
  </si>
  <si>
    <t>Открытая (15.10.1986)/33</t>
  </si>
  <si>
    <t>90,90</t>
  </si>
  <si>
    <t xml:space="preserve">Сергиев Посад/Московская облас </t>
  </si>
  <si>
    <t>Брагин Андрей</t>
  </si>
  <si>
    <t>1. Брагин Андрей</t>
  </si>
  <si>
    <t>Ветераны 40 - 44 (07.05.1976)/44</t>
  </si>
  <si>
    <t>Сибирко Анатолий</t>
  </si>
  <si>
    <t>2. Сибирко Анатолий</t>
  </si>
  <si>
    <t>Ветераны 40 - 44 (15.05.1977)/43</t>
  </si>
  <si>
    <t>93,40</t>
  </si>
  <si>
    <t>-. Зайцев Дмитрий</t>
  </si>
  <si>
    <t>Ветераны 40 - 44 (16.10.1976)/43</t>
  </si>
  <si>
    <t>97,10</t>
  </si>
  <si>
    <t xml:space="preserve">Московская область/Московская </t>
  </si>
  <si>
    <t>Гришин Евгений</t>
  </si>
  <si>
    <t>1. Гришин Евгений</t>
  </si>
  <si>
    <t>Открытая (05.07.1987)/33</t>
  </si>
  <si>
    <t>106,80</t>
  </si>
  <si>
    <t>Журкин Ян</t>
  </si>
  <si>
    <t>2. Журкин Ян</t>
  </si>
  <si>
    <t>Открытая (05.11.1985)/34</t>
  </si>
  <si>
    <t>106,00</t>
  </si>
  <si>
    <t>Никифоров Максим</t>
  </si>
  <si>
    <t>3. Никифоров Максим</t>
  </si>
  <si>
    <t>Открытая (19.05.1982)/38</t>
  </si>
  <si>
    <t>101,10</t>
  </si>
  <si>
    <t>Бакулин Руслан</t>
  </si>
  <si>
    <t>4. Бакулин Руслан</t>
  </si>
  <si>
    <t>Открытая (18.06.1988)/32</t>
  </si>
  <si>
    <t>106,90</t>
  </si>
  <si>
    <t>Ремин Кирилл</t>
  </si>
  <si>
    <t>1. Ремин Кирилл</t>
  </si>
  <si>
    <t>Ветераны 45 - 49 (13.08.1975)/45</t>
  </si>
  <si>
    <t>103,30</t>
  </si>
  <si>
    <t xml:space="preserve">Пушнин М. </t>
  </si>
  <si>
    <t>Буханцев Павел</t>
  </si>
  <si>
    <t>1. Буханцев Павел</t>
  </si>
  <si>
    <t>Ветераны 50 - 54 (02.08.1969)/51</t>
  </si>
  <si>
    <t>108,90</t>
  </si>
  <si>
    <t xml:space="preserve">Кондаков А. </t>
  </si>
  <si>
    <t>Бабуев Саидмагомед</t>
  </si>
  <si>
    <t>1. Бабуев Саидмагомед</t>
  </si>
  <si>
    <t>Открытая (12.01.1988)/32</t>
  </si>
  <si>
    <t xml:space="preserve">Звенигород/Московская область </t>
  </si>
  <si>
    <t>Хачатрян Георгий</t>
  </si>
  <si>
    <t>2. Хачатрян Георгий</t>
  </si>
  <si>
    <t>Открытая (23.07.1986)/34</t>
  </si>
  <si>
    <t>119,00</t>
  </si>
  <si>
    <t xml:space="preserve">Лосино-Петровский/Московская область </t>
  </si>
  <si>
    <t>202,5</t>
  </si>
  <si>
    <t>Открытая (18.03.1987)/33</t>
  </si>
  <si>
    <t>118,10</t>
  </si>
  <si>
    <t>Докучаев Анатолий</t>
  </si>
  <si>
    <t>1. Докучаев Анатолий</t>
  </si>
  <si>
    <t>Ветераны 40 - 44 (08.07.1976)/44</t>
  </si>
  <si>
    <t>122,60</t>
  </si>
  <si>
    <t>Чубаров Владимир</t>
  </si>
  <si>
    <t>1. Чубаров Владимир</t>
  </si>
  <si>
    <t>Ветераны 55 - 59 (03.04.1964)/56</t>
  </si>
  <si>
    <t>125,00</t>
  </si>
  <si>
    <t>Зуйков Евгений</t>
  </si>
  <si>
    <t>1. Зуйков Евгений</t>
  </si>
  <si>
    <t>129,60</t>
  </si>
  <si>
    <t xml:space="preserve">Беловал Е. </t>
  </si>
  <si>
    <t>87,6160</t>
  </si>
  <si>
    <t>69,8625</t>
  </si>
  <si>
    <t>57,9995</t>
  </si>
  <si>
    <t>86,7885</t>
  </si>
  <si>
    <t>79,0934</t>
  </si>
  <si>
    <t>59,0390</t>
  </si>
  <si>
    <t>47,6271</t>
  </si>
  <si>
    <t>37,2109</t>
  </si>
  <si>
    <t xml:space="preserve">Юноши </t>
  </si>
  <si>
    <t>82,8825</t>
  </si>
  <si>
    <t>71,3150</t>
  </si>
  <si>
    <t>48,0240</t>
  </si>
  <si>
    <t>37,5480</t>
  </si>
  <si>
    <t>98,0835</t>
  </si>
  <si>
    <t>94,8090</t>
  </si>
  <si>
    <t>74,9760</t>
  </si>
  <si>
    <t>121,6685</t>
  </si>
  <si>
    <t>119,5655</t>
  </si>
  <si>
    <t>117,4950</t>
  </si>
  <si>
    <t>116,0800</t>
  </si>
  <si>
    <t>115,2200</t>
  </si>
  <si>
    <t>112,8790</t>
  </si>
  <si>
    <t>108,8588</t>
  </si>
  <si>
    <t>107,2080</t>
  </si>
  <si>
    <t>101,2440</t>
  </si>
  <si>
    <t>99,3760</t>
  </si>
  <si>
    <t>96,9600</t>
  </si>
  <si>
    <t>91,5900</t>
  </si>
  <si>
    <t>89,0850</t>
  </si>
  <si>
    <t>80,7940</t>
  </si>
  <si>
    <t>62,6000</t>
  </si>
  <si>
    <t>121,8733</t>
  </si>
  <si>
    <t>117,1452</t>
  </si>
  <si>
    <t>116,3289</t>
  </si>
  <si>
    <t>116,0917</t>
  </si>
  <si>
    <t xml:space="preserve">Ветераны 65 - 69 </t>
  </si>
  <si>
    <t>109,6088</t>
  </si>
  <si>
    <t>107,8073</t>
  </si>
  <si>
    <t>106,7818</t>
  </si>
  <si>
    <t>105,9328</t>
  </si>
  <si>
    <t>103,9975</t>
  </si>
  <si>
    <t>98,0514</t>
  </si>
  <si>
    <t>93,7184</t>
  </si>
  <si>
    <t>Старов Дмитрий</t>
  </si>
  <si>
    <t>1. Старов Дмитрий</t>
  </si>
  <si>
    <t>Ветераны 45 - 49 (01.02.1973)/47</t>
  </si>
  <si>
    <t>123,70</t>
  </si>
  <si>
    <t>292,5</t>
  </si>
  <si>
    <t>302,5</t>
  </si>
  <si>
    <t>180,7446</t>
  </si>
  <si>
    <t>Павлова Марина</t>
  </si>
  <si>
    <t>1. Павлова Марина</t>
  </si>
  <si>
    <t>Ветераны 45 - 49 (19.04.1973)/47</t>
  </si>
  <si>
    <t>56,00</t>
  </si>
  <si>
    <t xml:space="preserve">Лыткарино/Московская область </t>
  </si>
  <si>
    <t>Литвиненко Екатерина</t>
  </si>
  <si>
    <t>1. Литвиненко Екатерина</t>
  </si>
  <si>
    <t>Открытая (27.05.1985)/35</t>
  </si>
  <si>
    <t xml:space="preserve">Озёры/Московская область </t>
  </si>
  <si>
    <t>Жемерикина Мария</t>
  </si>
  <si>
    <t>1. Жемерикина Мария</t>
  </si>
  <si>
    <t>Ветераны 40 - 44 (02.09.1978)/42</t>
  </si>
  <si>
    <t>59,30</t>
  </si>
  <si>
    <t>Большакова Светлана</t>
  </si>
  <si>
    <t>1. Большакова Светлана</t>
  </si>
  <si>
    <t>Ветераны 45 - 49 (27.05.1975)/45</t>
  </si>
  <si>
    <t>66,10</t>
  </si>
  <si>
    <t>Сердюченко Елена</t>
  </si>
  <si>
    <t>2. Сердюченко Елена</t>
  </si>
  <si>
    <t>Ветераны 45 - 49 (15.01.1972)/48</t>
  </si>
  <si>
    <t>63,00</t>
  </si>
  <si>
    <t>Васильева Екатерина</t>
  </si>
  <si>
    <t>1. Васильева Екатерина</t>
  </si>
  <si>
    <t>Открытая (07.09.1976)/44</t>
  </si>
  <si>
    <t>72,80</t>
  </si>
  <si>
    <t>Зайковская Светлана</t>
  </si>
  <si>
    <t>1. Зайковская Светлана</t>
  </si>
  <si>
    <t>Открытая (24.07.1989)/31</t>
  </si>
  <si>
    <t>Константинов Сергей</t>
  </si>
  <si>
    <t>1. Константинов Сергей</t>
  </si>
  <si>
    <t>Открытая (12.10.1979)/40</t>
  </si>
  <si>
    <t>74,20</t>
  </si>
  <si>
    <t xml:space="preserve">Калининград/Калининградская область </t>
  </si>
  <si>
    <t>Копырин Иван</t>
  </si>
  <si>
    <t>1. Копырин Иван</t>
  </si>
  <si>
    <t>Ветераны 50 - 54 (25.10.1967)/52</t>
  </si>
  <si>
    <t>74,70</t>
  </si>
  <si>
    <t xml:space="preserve">Якутск/Якутия </t>
  </si>
  <si>
    <t>Подгорнов Никита</t>
  </si>
  <si>
    <t>1. Подгорнов Никита</t>
  </si>
  <si>
    <t>Открытая (06.06.1996)/24</t>
  </si>
  <si>
    <t>80,30</t>
  </si>
  <si>
    <t>Скокин Виктор</t>
  </si>
  <si>
    <t>1. Скокин Виктор</t>
  </si>
  <si>
    <t>Ветераны 60 - 64 (20.06.1957)/63</t>
  </si>
  <si>
    <t>77,90</t>
  </si>
  <si>
    <t xml:space="preserve">Воскресенск/Московская область </t>
  </si>
  <si>
    <t>Кондрашин Иван</t>
  </si>
  <si>
    <t>1. Кондрашин Иван</t>
  </si>
  <si>
    <t>Открытая (29.09.1987)/32</t>
  </si>
  <si>
    <t>2. Филиппов Дмитрий</t>
  </si>
  <si>
    <t>Гаврилов Денис</t>
  </si>
  <si>
    <t>1. Гаврилов Денис</t>
  </si>
  <si>
    <t>Открытая (27.10.1986)/33</t>
  </si>
  <si>
    <t xml:space="preserve">Орехово-Зуево/Московская облас </t>
  </si>
  <si>
    <t>237,5</t>
  </si>
  <si>
    <t>Проскурнин Иван</t>
  </si>
  <si>
    <t>2. Проскурнин Иван</t>
  </si>
  <si>
    <t>Открытая (02.08.1993)/27</t>
  </si>
  <si>
    <t>99,60</t>
  </si>
  <si>
    <t>Мызенков Михаил</t>
  </si>
  <si>
    <t>3. Мызенков Михаил</t>
  </si>
  <si>
    <t>Открытая (12.02.1985)/35</t>
  </si>
  <si>
    <t>91,20</t>
  </si>
  <si>
    <t>Баттахов Петр</t>
  </si>
  <si>
    <t>1. Баттахов Петр</t>
  </si>
  <si>
    <t>Ветераны 65 - 69 (21.04.1952)/68</t>
  </si>
  <si>
    <t>99,30</t>
  </si>
  <si>
    <t>Кулебякин Руслан</t>
  </si>
  <si>
    <t>1. Кулебякин Руслан</t>
  </si>
  <si>
    <t>Открытая (26.02.1991)/29</t>
  </si>
  <si>
    <t xml:space="preserve">Таганрог/Ростовская область </t>
  </si>
  <si>
    <t>273,0</t>
  </si>
  <si>
    <t>Шляхитский Александр</t>
  </si>
  <si>
    <t>1. Шляхитский Александр</t>
  </si>
  <si>
    <t>Ветераны 40 - 44 (09.02.1980)/40</t>
  </si>
  <si>
    <t>104,10</t>
  </si>
  <si>
    <t xml:space="preserve">Новомосковск/Тульская область </t>
  </si>
  <si>
    <t>267,5</t>
  </si>
  <si>
    <t>Дьячев Андрей</t>
  </si>
  <si>
    <t>1. Дьячев Андрей</t>
  </si>
  <si>
    <t>Открытая (15.04.1984)/36</t>
  </si>
  <si>
    <t>111,00</t>
  </si>
  <si>
    <t>Баранов Михаил</t>
  </si>
  <si>
    <t>1. Баранов Михаил</t>
  </si>
  <si>
    <t>Ветераны 60 - 64 (02.03.1957)/63</t>
  </si>
  <si>
    <t>123,50</t>
  </si>
  <si>
    <t xml:space="preserve">Санкт-Петербург </t>
  </si>
  <si>
    <t>242,5</t>
  </si>
  <si>
    <t>Михалин Антон</t>
  </si>
  <si>
    <t>1. Михалин Антон</t>
  </si>
  <si>
    <t>Открытая (05.01.1987)/33</t>
  </si>
  <si>
    <t>139,20</t>
  </si>
  <si>
    <t>297,5</t>
  </si>
  <si>
    <t>Филатов Артем</t>
  </si>
  <si>
    <t>2. Филатов Артем</t>
  </si>
  <si>
    <t>Открытая (26.09.1986)/33</t>
  </si>
  <si>
    <t>137,90</t>
  </si>
  <si>
    <t>145,3350</t>
  </si>
  <si>
    <t>144,1160</t>
  </si>
  <si>
    <t>135,0205</t>
  </si>
  <si>
    <t>125,5760</t>
  </si>
  <si>
    <t>161,2457</t>
  </si>
  <si>
    <t>146,4043</t>
  </si>
  <si>
    <t>126,2362</t>
  </si>
  <si>
    <t>67,7452</t>
  </si>
  <si>
    <t>164,3985</t>
  </si>
  <si>
    <t>154,4660</t>
  </si>
  <si>
    <t>152,5940</t>
  </si>
  <si>
    <t>151,5448</t>
  </si>
  <si>
    <t>151,0110</t>
  </si>
  <si>
    <t>145,7300</t>
  </si>
  <si>
    <t>143,5800</t>
  </si>
  <si>
    <t>137,8487</t>
  </si>
  <si>
    <t>120,4980</t>
  </si>
  <si>
    <t>118,8720</t>
  </si>
  <si>
    <t>117,6210</t>
  </si>
  <si>
    <t>222,0490</t>
  </si>
  <si>
    <t>193,7452</t>
  </si>
  <si>
    <t>192,3666</t>
  </si>
  <si>
    <t>182,6589</t>
  </si>
  <si>
    <t>169,5236</t>
  </si>
  <si>
    <t>160,3395</t>
  </si>
  <si>
    <t>151,9329</t>
  </si>
  <si>
    <t>Попов Максим</t>
  </si>
  <si>
    <t>Открытая (03.09.1984)/36</t>
  </si>
  <si>
    <t>70,60</t>
  </si>
  <si>
    <t>1. Попов Максим</t>
  </si>
  <si>
    <t>Поляков Артем</t>
  </si>
  <si>
    <t>1. Поляков Артем</t>
  </si>
  <si>
    <t>Открытая (05.12.1994)/25</t>
  </si>
  <si>
    <t>86,50</t>
  </si>
  <si>
    <t>310,0</t>
  </si>
  <si>
    <t>332,5</t>
  </si>
  <si>
    <t>Таштамиров Руслан</t>
  </si>
  <si>
    <t>2. Таштамиров Руслан</t>
  </si>
  <si>
    <t>Открытая (15.07.1988)/32</t>
  </si>
  <si>
    <t>317,5</t>
  </si>
  <si>
    <t>Ломанов Кирилл</t>
  </si>
  <si>
    <t>3. Ломанов Кирилл</t>
  </si>
  <si>
    <t>Открытая (15.07.1987)/33</t>
  </si>
  <si>
    <t>90,00</t>
  </si>
  <si>
    <t>Кравченко Евгений</t>
  </si>
  <si>
    <t>1. Кравченко Евгений</t>
  </si>
  <si>
    <t>Открытая (03.11.1986)/33</t>
  </si>
  <si>
    <t>96,50</t>
  </si>
  <si>
    <t xml:space="preserve">Нижневартовск/Ханты-Мансийский АО </t>
  </si>
  <si>
    <t>375,0</t>
  </si>
  <si>
    <t>Гущин Сергей</t>
  </si>
  <si>
    <t>2. Гущин Сергей</t>
  </si>
  <si>
    <t>Открытая (15.11.1974)/45</t>
  </si>
  <si>
    <t>100,00</t>
  </si>
  <si>
    <t>370,0</t>
  </si>
  <si>
    <t>Яруков Станислав</t>
  </si>
  <si>
    <t>3. Яруков Станислав</t>
  </si>
  <si>
    <t>Открытая (12.07.1990)/30</t>
  </si>
  <si>
    <t>385,0</t>
  </si>
  <si>
    <t>Ким Михаил</t>
  </si>
  <si>
    <t>2. Ким Михаил</t>
  </si>
  <si>
    <t>Открытая (20.06.1980)/40</t>
  </si>
  <si>
    <t>101,20</t>
  </si>
  <si>
    <t>350,0</t>
  </si>
  <si>
    <t>231,6375</t>
  </si>
  <si>
    <t>224,1090</t>
  </si>
  <si>
    <t>223,7060</t>
  </si>
  <si>
    <t>219,0960</t>
  </si>
  <si>
    <t>210,2377</t>
  </si>
  <si>
    <t>202,3065</t>
  </si>
  <si>
    <t>195,4312</t>
  </si>
  <si>
    <t>190,4020</t>
  </si>
  <si>
    <t>185,1360</t>
  </si>
  <si>
    <t>Открытый всероссийский турнир WPF "PROдвижение" 2020
WPF с ДК Пауэрлифтинг классический
Москва 19 - 20 сентября 2020 г.</t>
  </si>
  <si>
    <t>Открытый всероссийский турнир WPF "PROдвижение" 2020
WPF с ДК Пауэрлифтинг безэкипировочный
Москва 19 - 20 сентября 2020 г.</t>
  </si>
  <si>
    <t>Открытый всероссийский турнир WPF "PROдвижение" 2020
WPF с ДК Жим лежа безэкипировочный
Москва 19 - 20 сентября 2020 г.</t>
  </si>
  <si>
    <t>Открытый всероссийский турнир WPF "PROдвижение" 2020
WPF с ДК Становая тяга безэкипировочная
Москва 19 - 20 сентября 2020 г.</t>
  </si>
  <si>
    <t>Открытый всероссийский турнир WPF "PROдвижение" 2020
WPF Становая тяга безэкипировочная ЭЛИТА
Москва 19 - 20 сентября 2020 г.</t>
  </si>
  <si>
    <t>Открытый всероссийский турнир WPF "PROдвижение" 2020
WPF Пауэрлифтинг классический
Москва 19 - 20 сентября 2020 г.</t>
  </si>
  <si>
    <t>Открытый всероссийский турнир WPF "PROдвижение" 2020
WPF Пауэрлифтинг безэкипировочный
Москва 19 - 20 сентября 2020 г.</t>
  </si>
  <si>
    <t>Открытый всероссийский турнир WPF "PROдвижение" 2020
WPF Жим лежа в однослойной экипировке
Москва 19 - 20 сентября 2020 г.</t>
  </si>
  <si>
    <t>Открытый всероссийский турнир WPF "PROдвижение" 2020
WPF Жим лежа безэкипировочный
Москва 19 - 20 сентября 2020 г.</t>
  </si>
  <si>
    <t>Открытый всероссийский турнир WPF "PROдвижение" 2020
WPF Становая тяга безэкипировочная
Москва 19 - 20 сентября 2020 г.</t>
  </si>
  <si>
    <t>="575,4542"</t>
  </si>
  <si>
    <t>3. Анатольев Кирилл</t>
  </si>
  <si>
    <t>Анатольев Кирилл</t>
  </si>
  <si>
    <t>Андреев В.</t>
  </si>
  <si>
    <t>Таштамиров Р.</t>
  </si>
  <si>
    <t>Устинов Н.</t>
  </si>
  <si>
    <t>Макунина М.</t>
  </si>
  <si>
    <t>Лилеев А.</t>
  </si>
  <si>
    <t>Большакова С.</t>
  </si>
  <si>
    <t>Петрокович Н.</t>
  </si>
  <si>
    <t>Лазарев В.</t>
  </si>
  <si>
    <t>Хламков А.</t>
  </si>
  <si>
    <t>Филиппов Д.</t>
  </si>
  <si>
    <t>Семенов С.</t>
  </si>
  <si>
    <t>Юдаев А.</t>
  </si>
  <si>
    <t>Проскурнин И.</t>
  </si>
  <si>
    <t>Мызенков М.</t>
  </si>
  <si>
    <t>Баттахов П.</t>
  </si>
  <si>
    <t>Стародубский С.</t>
  </si>
  <si>
    <t>Шляхитский А.</t>
  </si>
  <si>
    <t>Шумский С.</t>
  </si>
  <si>
    <t>Балугин Н.</t>
  </si>
  <si>
    <t>Соколов Н.</t>
  </si>
  <si>
    <t>Мурзабеков Б.</t>
  </si>
  <si>
    <t>Калита И.</t>
  </si>
  <si>
    <t>Лакалин А.</t>
  </si>
  <si>
    <t>Хуснетдинова Т.</t>
  </si>
  <si>
    <t>Любимский С.</t>
  </si>
  <si>
    <t>Петросян А.</t>
  </si>
  <si>
    <t>Белов А.</t>
  </si>
  <si>
    <t>Фролов А.</t>
  </si>
  <si>
    <t>Клостер Э.</t>
  </si>
  <si>
    <t>Чекренев А.</t>
  </si>
  <si>
    <t>Дымов О.</t>
  </si>
  <si>
    <t>Беляев Р.</t>
  </si>
  <si>
    <t>Брехов Р.</t>
  </si>
  <si>
    <t>Мякишев С.</t>
  </si>
  <si>
    <t>Агафонов Е.</t>
  </si>
  <si>
    <t>Киреев В.</t>
  </si>
  <si>
    <t>Волков В.</t>
  </si>
  <si>
    <t>Домашевский А.</t>
  </si>
  <si>
    <t>Смирнов Л.</t>
  </si>
  <si>
    <t>Исаков П.</t>
  </si>
  <si>
    <t>Свиридов Д.</t>
  </si>
  <si>
    <t>Чевордаев В.</t>
  </si>
  <si>
    <t>Никифоров М.</t>
  </si>
  <si>
    <t>Докучаев А.</t>
  </si>
  <si>
    <t>Луговой А.</t>
  </si>
  <si>
    <t>Шабров А.</t>
  </si>
  <si>
    <t>Сапунков К.</t>
  </si>
  <si>
    <t>Рыжих В.</t>
  </si>
  <si>
    <t>Болдин И.</t>
  </si>
  <si>
    <t>Антипов Д.</t>
  </si>
  <si>
    <t>Смирнова Е.</t>
  </si>
  <si>
    <t>Нечпал В.</t>
  </si>
  <si>
    <t>Ярлыков М.</t>
  </si>
  <si>
    <t>Собцов Д.</t>
  </si>
  <si>
    <t>Кляузов С.</t>
  </si>
  <si>
    <t>Панферова М.</t>
  </si>
  <si>
    <t xml:space="preserve">
Дата рождения/Возраст</t>
  </si>
  <si>
    <t>Возрастная группа</t>
  </si>
  <si>
    <t>J</t>
  </si>
  <si>
    <t>O</t>
  </si>
  <si>
    <t>T</t>
  </si>
  <si>
    <t>M2</t>
  </si>
  <si>
    <t>M1</t>
  </si>
  <si>
    <t>M4</t>
  </si>
  <si>
    <t>M3</t>
  </si>
  <si>
    <t>M5</t>
  </si>
  <si>
    <t>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</si>
</sst>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left"/>
    </xf>
    <xf numFmtId="49" fontId="0" fillId="0" borderId="7" xfId="0" applyNumberFormat="1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7" xfId="0" applyNumberFormat="1" applyFont="1" applyFill="1" applyBorder="1" applyAlignment="1">
      <alignment horizontal="left"/>
    </xf>
    <xf numFmtId="49" fontId="1" fillId="0" borderId="7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7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U81"/>
  <sheetViews>
    <sheetView topLeftCell="A9" workbookViewId="0">
      <selection activeCell="D35" sqref="D35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8.5" style="4" bestFit="1" customWidth="1"/>
    <col min="5" max="5" width="22.6640625" style="4" bestFit="1" customWidth="1"/>
    <col min="6" max="6" width="31.6640625" style="4" bestFit="1" customWidth="1"/>
    <col min="7" max="9" width="5.5" style="3" customWidth="1"/>
    <col min="10" max="10" width="4.83203125" style="3" customWidth="1"/>
    <col min="11" max="13" width="5.5" style="3" customWidth="1"/>
    <col min="14" max="14" width="4.83203125" style="3" customWidth="1"/>
    <col min="15" max="18" width="5.5" style="3" customWidth="1"/>
    <col min="19" max="19" width="7.83203125" style="20" bestFit="1" customWidth="1"/>
    <col min="20" max="20" width="8.5" style="2" bestFit="1" customWidth="1"/>
    <col min="21" max="21" width="32.5" style="4" bestFit="1" customWidth="1"/>
    <col min="22" max="16384" width="9.1640625" style="3"/>
  </cols>
  <sheetData>
    <row r="1" spans="1:21" s="2" customFormat="1" ht="29" customHeight="1">
      <c r="A1" s="42" t="s">
        <v>878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>
      <c r="A3" s="48" t="s">
        <v>0</v>
      </c>
      <c r="B3" s="50" t="s">
        <v>946</v>
      </c>
      <c r="C3" s="50" t="s">
        <v>7</v>
      </c>
      <c r="D3" s="36" t="s">
        <v>947</v>
      </c>
      <c r="E3" s="36" t="s">
        <v>4</v>
      </c>
      <c r="F3" s="36" t="s">
        <v>6</v>
      </c>
      <c r="G3" s="36" t="s">
        <v>8</v>
      </c>
      <c r="H3" s="36"/>
      <c r="I3" s="36"/>
      <c r="J3" s="36"/>
      <c r="K3" s="36" t="s">
        <v>9</v>
      </c>
      <c r="L3" s="36"/>
      <c r="M3" s="36"/>
      <c r="N3" s="36"/>
      <c r="O3" s="36" t="s">
        <v>10</v>
      </c>
      <c r="P3" s="36"/>
      <c r="Q3" s="36"/>
      <c r="R3" s="36"/>
      <c r="S3" s="36" t="s">
        <v>1</v>
      </c>
      <c r="T3" s="36" t="s">
        <v>3</v>
      </c>
      <c r="U3" s="38" t="s">
        <v>2</v>
      </c>
    </row>
    <row r="4" spans="1:21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7"/>
      <c r="T4" s="37"/>
      <c r="U4" s="39"/>
    </row>
    <row r="5" spans="1:21" ht="16">
      <c r="A5" s="40" t="s">
        <v>205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10" t="s">
        <v>207</v>
      </c>
      <c r="B6" s="10" t="s">
        <v>208</v>
      </c>
      <c r="C6" s="10" t="s">
        <v>209</v>
      </c>
      <c r="D6" s="10" t="s">
        <v>948</v>
      </c>
      <c r="E6" s="10" t="s">
        <v>16</v>
      </c>
      <c r="F6" s="10" t="s">
        <v>43</v>
      </c>
      <c r="G6" s="11" t="s">
        <v>168</v>
      </c>
      <c r="H6" s="11" t="s">
        <v>210</v>
      </c>
      <c r="I6" s="12" t="s">
        <v>211</v>
      </c>
      <c r="J6" s="12"/>
      <c r="K6" s="11" t="s">
        <v>212</v>
      </c>
      <c r="L6" s="11" t="s">
        <v>157</v>
      </c>
      <c r="M6" s="12" t="s">
        <v>213</v>
      </c>
      <c r="N6" s="12"/>
      <c r="O6" s="11" t="s">
        <v>159</v>
      </c>
      <c r="P6" s="11" t="s">
        <v>214</v>
      </c>
      <c r="Q6" s="12" t="s">
        <v>215</v>
      </c>
      <c r="R6" s="12"/>
      <c r="S6" s="23" t="str">
        <f>"232,5"</f>
        <v>232,5</v>
      </c>
      <c r="T6" s="24" t="str">
        <f>"323,4075"</f>
        <v>323,4075</v>
      </c>
      <c r="U6" s="10"/>
    </row>
    <row r="7" spans="1:21">
      <c r="A7" s="16" t="s">
        <v>218</v>
      </c>
      <c r="B7" s="16" t="s">
        <v>219</v>
      </c>
      <c r="C7" s="16" t="s">
        <v>220</v>
      </c>
      <c r="D7" s="16" t="s">
        <v>949</v>
      </c>
      <c r="E7" s="16" t="s">
        <v>16</v>
      </c>
      <c r="F7" s="16" t="s">
        <v>43</v>
      </c>
      <c r="G7" s="17" t="s">
        <v>23</v>
      </c>
      <c r="H7" s="17" t="s">
        <v>168</v>
      </c>
      <c r="I7" s="17" t="s">
        <v>210</v>
      </c>
      <c r="J7" s="18"/>
      <c r="K7" s="17" t="s">
        <v>221</v>
      </c>
      <c r="L7" s="18" t="s">
        <v>222</v>
      </c>
      <c r="M7" s="18" t="s">
        <v>222</v>
      </c>
      <c r="N7" s="18"/>
      <c r="O7" s="17" t="s">
        <v>159</v>
      </c>
      <c r="P7" s="17" t="s">
        <v>214</v>
      </c>
      <c r="Q7" s="17" t="s">
        <v>223</v>
      </c>
      <c r="R7" s="18"/>
      <c r="S7" s="27" t="str">
        <f>"245,0"</f>
        <v>245,0</v>
      </c>
      <c r="T7" s="28" t="str">
        <f>"324,4780"</f>
        <v>324,4780</v>
      </c>
      <c r="U7" s="16" t="s">
        <v>940</v>
      </c>
    </row>
    <row r="9" spans="1:21" ht="16">
      <c r="A9" s="35" t="s">
        <v>170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21">
      <c r="A10" s="10" t="s">
        <v>225</v>
      </c>
      <c r="B10" s="10" t="s">
        <v>226</v>
      </c>
      <c r="C10" s="10" t="s">
        <v>227</v>
      </c>
      <c r="D10" s="10" t="s">
        <v>948</v>
      </c>
      <c r="E10" s="10" t="s">
        <v>16</v>
      </c>
      <c r="F10" s="10" t="s">
        <v>228</v>
      </c>
      <c r="G10" s="12" t="s">
        <v>229</v>
      </c>
      <c r="H10" s="11" t="s">
        <v>159</v>
      </c>
      <c r="I10" s="11" t="s">
        <v>215</v>
      </c>
      <c r="J10" s="12"/>
      <c r="K10" s="11" t="s">
        <v>230</v>
      </c>
      <c r="L10" s="11" t="s">
        <v>166</v>
      </c>
      <c r="M10" s="11" t="s">
        <v>167</v>
      </c>
      <c r="N10" s="12"/>
      <c r="O10" s="11" t="s">
        <v>24</v>
      </c>
      <c r="P10" s="11" t="s">
        <v>20</v>
      </c>
      <c r="Q10" s="11" t="s">
        <v>126</v>
      </c>
      <c r="R10" s="12"/>
      <c r="S10" s="23" t="str">
        <f>"322,5"</f>
        <v>322,5</v>
      </c>
      <c r="T10" s="24" t="str">
        <f>"343,0755"</f>
        <v>343,0755</v>
      </c>
      <c r="U10" s="10"/>
    </row>
    <row r="11" spans="1:21">
      <c r="A11" s="13" t="s">
        <v>232</v>
      </c>
      <c r="B11" s="13" t="s">
        <v>233</v>
      </c>
      <c r="C11" s="13" t="s">
        <v>234</v>
      </c>
      <c r="D11" s="13" t="s">
        <v>949</v>
      </c>
      <c r="E11" s="13" t="s">
        <v>16</v>
      </c>
      <c r="F11" s="13" t="s">
        <v>43</v>
      </c>
      <c r="G11" s="14" t="s">
        <v>211</v>
      </c>
      <c r="H11" s="14" t="s">
        <v>229</v>
      </c>
      <c r="I11" s="14" t="s">
        <v>155</v>
      </c>
      <c r="J11" s="15"/>
      <c r="K11" s="14" t="s">
        <v>158</v>
      </c>
      <c r="L11" s="15" t="s">
        <v>222</v>
      </c>
      <c r="M11" s="15" t="s">
        <v>222</v>
      </c>
      <c r="N11" s="15"/>
      <c r="O11" s="14" t="s">
        <v>138</v>
      </c>
      <c r="P11" s="15" t="s">
        <v>235</v>
      </c>
      <c r="Q11" s="14" t="s">
        <v>35</v>
      </c>
      <c r="R11" s="14" t="s">
        <v>236</v>
      </c>
      <c r="S11" s="25" t="str">
        <f>"285,0"</f>
        <v>285,0</v>
      </c>
      <c r="T11" s="26" t="str">
        <f>"293,3790"</f>
        <v>293,3790</v>
      </c>
      <c r="U11" s="13"/>
    </row>
    <row r="12" spans="1:21">
      <c r="A12" s="16" t="s">
        <v>238</v>
      </c>
      <c r="B12" s="16" t="s">
        <v>239</v>
      </c>
      <c r="C12" s="16" t="s">
        <v>240</v>
      </c>
      <c r="D12" s="16" t="s">
        <v>949</v>
      </c>
      <c r="E12" s="16" t="s">
        <v>16</v>
      </c>
      <c r="F12" s="16" t="s">
        <v>31</v>
      </c>
      <c r="G12" s="17" t="s">
        <v>176</v>
      </c>
      <c r="H12" s="17" t="s">
        <v>155</v>
      </c>
      <c r="I12" s="17" t="s">
        <v>156</v>
      </c>
      <c r="J12" s="18"/>
      <c r="K12" s="17" t="s">
        <v>21</v>
      </c>
      <c r="L12" s="17" t="s">
        <v>22</v>
      </c>
      <c r="M12" s="18" t="s">
        <v>23</v>
      </c>
      <c r="N12" s="18"/>
      <c r="O12" s="17" t="s">
        <v>176</v>
      </c>
      <c r="P12" s="17" t="s">
        <v>156</v>
      </c>
      <c r="Q12" s="17" t="s">
        <v>214</v>
      </c>
      <c r="R12" s="18"/>
      <c r="S12" s="27" t="str">
        <f>"282,5"</f>
        <v>282,5</v>
      </c>
      <c r="T12" s="28" t="str">
        <f>"313,3490"</f>
        <v>313,3490</v>
      </c>
      <c r="U12" s="16" t="s">
        <v>935</v>
      </c>
    </row>
    <row r="14" spans="1:21" ht="16">
      <c r="A14" s="35" t="s">
        <v>118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21">
      <c r="A15" s="10" t="s">
        <v>242</v>
      </c>
      <c r="B15" s="10" t="s">
        <v>243</v>
      </c>
      <c r="C15" s="10" t="s">
        <v>244</v>
      </c>
      <c r="D15" s="10" t="s">
        <v>950</v>
      </c>
      <c r="E15" s="10" t="s">
        <v>16</v>
      </c>
      <c r="F15" s="10" t="s">
        <v>245</v>
      </c>
      <c r="G15" s="11" t="s">
        <v>211</v>
      </c>
      <c r="H15" s="11" t="s">
        <v>229</v>
      </c>
      <c r="I15" s="11" t="s">
        <v>156</v>
      </c>
      <c r="J15" s="12"/>
      <c r="K15" s="11" t="s">
        <v>222</v>
      </c>
      <c r="L15" s="11" t="s">
        <v>246</v>
      </c>
      <c r="M15" s="11" t="s">
        <v>21</v>
      </c>
      <c r="N15" s="12"/>
      <c r="O15" s="11" t="s">
        <v>211</v>
      </c>
      <c r="P15" s="11" t="s">
        <v>229</v>
      </c>
      <c r="Q15" s="11" t="s">
        <v>156</v>
      </c>
      <c r="R15" s="12"/>
      <c r="S15" s="23" t="str">
        <f>"270,0"</f>
        <v>270,0</v>
      </c>
      <c r="T15" s="24" t="str">
        <f>"258,2010"</f>
        <v>258,2010</v>
      </c>
      <c r="U15" s="10" t="s">
        <v>941</v>
      </c>
    </row>
    <row r="16" spans="1:21">
      <c r="A16" s="16" t="s">
        <v>242</v>
      </c>
      <c r="B16" s="16" t="s">
        <v>247</v>
      </c>
      <c r="C16" s="16" t="s">
        <v>244</v>
      </c>
      <c r="D16" s="16" t="s">
        <v>949</v>
      </c>
      <c r="E16" s="16" t="s">
        <v>16</v>
      </c>
      <c r="F16" s="16" t="s">
        <v>245</v>
      </c>
      <c r="G16" s="17" t="s">
        <v>211</v>
      </c>
      <c r="H16" s="17" t="s">
        <v>229</v>
      </c>
      <c r="I16" s="17" t="s">
        <v>156</v>
      </c>
      <c r="J16" s="18"/>
      <c r="K16" s="17" t="s">
        <v>222</v>
      </c>
      <c r="L16" s="17" t="s">
        <v>246</v>
      </c>
      <c r="M16" s="17" t="s">
        <v>21</v>
      </c>
      <c r="N16" s="18"/>
      <c r="O16" s="17" t="s">
        <v>211</v>
      </c>
      <c r="P16" s="17" t="s">
        <v>229</v>
      </c>
      <c r="Q16" s="17" t="s">
        <v>156</v>
      </c>
      <c r="R16" s="18"/>
      <c r="S16" s="27" t="str">
        <f>"270,0"</f>
        <v>270,0</v>
      </c>
      <c r="T16" s="28" t="str">
        <f>"258,2010"</f>
        <v>258,2010</v>
      </c>
      <c r="U16" s="16" t="s">
        <v>941</v>
      </c>
    </row>
    <row r="18" spans="1:21" ht="16">
      <c r="A18" s="35" t="s">
        <v>26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21">
      <c r="A19" s="10" t="s">
        <v>249</v>
      </c>
      <c r="B19" s="10" t="s">
        <v>250</v>
      </c>
      <c r="C19" s="10" t="s">
        <v>251</v>
      </c>
      <c r="D19" s="10" t="s">
        <v>949</v>
      </c>
      <c r="E19" s="10" t="s">
        <v>16</v>
      </c>
      <c r="F19" s="10" t="s">
        <v>43</v>
      </c>
      <c r="G19" s="11" t="s">
        <v>124</v>
      </c>
      <c r="H19" s="11" t="s">
        <v>125</v>
      </c>
      <c r="I19" s="12" t="s">
        <v>252</v>
      </c>
      <c r="J19" s="12"/>
      <c r="K19" s="11" t="s">
        <v>18</v>
      </c>
      <c r="L19" s="11" t="s">
        <v>215</v>
      </c>
      <c r="M19" s="12" t="s">
        <v>223</v>
      </c>
      <c r="N19" s="12"/>
      <c r="O19" s="11" t="s">
        <v>140</v>
      </c>
      <c r="P19" s="11" t="s">
        <v>252</v>
      </c>
      <c r="Q19" s="12" t="s">
        <v>33</v>
      </c>
      <c r="R19" s="12"/>
      <c r="S19" s="23" t="str">
        <f>"515,0"</f>
        <v>515,0</v>
      </c>
      <c r="T19" s="24" t="str">
        <f>"346,2860"</f>
        <v>346,2860</v>
      </c>
      <c r="U19" s="10"/>
    </row>
    <row r="20" spans="1:21">
      <c r="A20" s="13" t="s">
        <v>254</v>
      </c>
      <c r="B20" s="13" t="s">
        <v>255</v>
      </c>
      <c r="C20" s="13" t="s">
        <v>256</v>
      </c>
      <c r="D20" s="13" t="s">
        <v>949</v>
      </c>
      <c r="E20" s="13" t="s">
        <v>16</v>
      </c>
      <c r="F20" s="13" t="s">
        <v>43</v>
      </c>
      <c r="G20" s="14" t="s">
        <v>165</v>
      </c>
      <c r="H20" s="14" t="s">
        <v>48</v>
      </c>
      <c r="I20" s="14" t="s">
        <v>257</v>
      </c>
      <c r="J20" s="15"/>
      <c r="K20" s="14" t="s">
        <v>229</v>
      </c>
      <c r="L20" s="15" t="s">
        <v>159</v>
      </c>
      <c r="M20" s="14" t="s">
        <v>159</v>
      </c>
      <c r="N20" s="15"/>
      <c r="O20" s="14" t="s">
        <v>58</v>
      </c>
      <c r="P20" s="14" t="s">
        <v>139</v>
      </c>
      <c r="Q20" s="14" t="s">
        <v>32</v>
      </c>
      <c r="R20" s="15"/>
      <c r="S20" s="25" t="str">
        <f>"482,5"</f>
        <v>482,5</v>
      </c>
      <c r="T20" s="26" t="str">
        <f>"323,7092"</f>
        <v>323,7092</v>
      </c>
      <c r="U20" s="13"/>
    </row>
    <row r="21" spans="1:21">
      <c r="A21" s="16" t="s">
        <v>259</v>
      </c>
      <c r="B21" s="16" t="s">
        <v>260</v>
      </c>
      <c r="C21" s="16" t="s">
        <v>261</v>
      </c>
      <c r="D21" s="16" t="s">
        <v>951</v>
      </c>
      <c r="E21" s="16" t="s">
        <v>16</v>
      </c>
      <c r="F21" s="16" t="s">
        <v>43</v>
      </c>
      <c r="G21" s="17" t="s">
        <v>257</v>
      </c>
      <c r="H21" s="17" t="s">
        <v>140</v>
      </c>
      <c r="I21" s="18" t="s">
        <v>262</v>
      </c>
      <c r="J21" s="18"/>
      <c r="K21" s="17" t="s">
        <v>156</v>
      </c>
      <c r="L21" s="17" t="s">
        <v>18</v>
      </c>
      <c r="M21" s="18" t="s">
        <v>214</v>
      </c>
      <c r="N21" s="18"/>
      <c r="O21" s="17" t="s">
        <v>33</v>
      </c>
      <c r="P21" s="18" t="s">
        <v>263</v>
      </c>
      <c r="Q21" s="18" t="s">
        <v>263</v>
      </c>
      <c r="R21" s="18"/>
      <c r="S21" s="27" t="str">
        <f>"520,0"</f>
        <v>520,0</v>
      </c>
      <c r="T21" s="28" t="str">
        <f>"382,9934"</f>
        <v>382,9934</v>
      </c>
      <c r="U21" s="16"/>
    </row>
    <row r="23" spans="1:21" ht="16">
      <c r="A23" s="35" t="s">
        <v>264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21">
      <c r="A24" s="10" t="s">
        <v>266</v>
      </c>
      <c r="B24" s="10" t="s">
        <v>267</v>
      </c>
      <c r="C24" s="10" t="s">
        <v>268</v>
      </c>
      <c r="D24" s="10" t="s">
        <v>949</v>
      </c>
      <c r="E24" s="10" t="s">
        <v>16</v>
      </c>
      <c r="F24" s="10" t="s">
        <v>269</v>
      </c>
      <c r="G24" s="11" t="s">
        <v>270</v>
      </c>
      <c r="H24" s="11" t="s">
        <v>37</v>
      </c>
      <c r="I24" s="12" t="s">
        <v>271</v>
      </c>
      <c r="J24" s="12"/>
      <c r="K24" s="11" t="s">
        <v>47</v>
      </c>
      <c r="L24" s="11" t="s">
        <v>48</v>
      </c>
      <c r="M24" s="12" t="s">
        <v>58</v>
      </c>
      <c r="N24" s="12"/>
      <c r="O24" s="11" t="s">
        <v>186</v>
      </c>
      <c r="P24" s="11" t="s">
        <v>272</v>
      </c>
      <c r="Q24" s="11" t="s">
        <v>51</v>
      </c>
      <c r="R24" s="12"/>
      <c r="S24" s="23" t="str">
        <f>"675,0"</f>
        <v>675,0</v>
      </c>
      <c r="T24" s="24" t="str">
        <f>"432,1350"</f>
        <v>432,1350</v>
      </c>
      <c r="U24" s="10" t="s">
        <v>942</v>
      </c>
    </row>
    <row r="25" spans="1:21">
      <c r="A25" s="13" t="s">
        <v>274</v>
      </c>
      <c r="B25" s="13" t="s">
        <v>275</v>
      </c>
      <c r="C25" s="13" t="s">
        <v>276</v>
      </c>
      <c r="D25" s="13" t="s">
        <v>949</v>
      </c>
      <c r="E25" s="13" t="s">
        <v>16</v>
      </c>
      <c r="F25" s="13" t="s">
        <v>43</v>
      </c>
      <c r="G25" s="14" t="s">
        <v>32</v>
      </c>
      <c r="H25" s="14" t="s">
        <v>277</v>
      </c>
      <c r="I25" s="15" t="s">
        <v>278</v>
      </c>
      <c r="J25" s="15"/>
      <c r="K25" s="14" t="s">
        <v>36</v>
      </c>
      <c r="L25" s="15" t="s">
        <v>175</v>
      </c>
      <c r="M25" s="14" t="s">
        <v>279</v>
      </c>
      <c r="N25" s="15"/>
      <c r="O25" s="14" t="s">
        <v>70</v>
      </c>
      <c r="P25" s="15" t="s">
        <v>278</v>
      </c>
      <c r="Q25" s="15" t="s">
        <v>278</v>
      </c>
      <c r="R25" s="15"/>
      <c r="S25" s="25" t="str">
        <f>"575,0"</f>
        <v>575,0</v>
      </c>
      <c r="T25" s="26" t="str">
        <f>"369,8400"</f>
        <v>369,8400</v>
      </c>
      <c r="U25" s="13" t="s">
        <v>943</v>
      </c>
    </row>
    <row r="26" spans="1:21">
      <c r="A26" s="16" t="s">
        <v>281</v>
      </c>
      <c r="B26" s="16" t="s">
        <v>282</v>
      </c>
      <c r="C26" s="16" t="s">
        <v>283</v>
      </c>
      <c r="D26" s="16" t="s">
        <v>949</v>
      </c>
      <c r="E26" s="16" t="s">
        <v>16</v>
      </c>
      <c r="F26" s="16" t="s">
        <v>43</v>
      </c>
      <c r="G26" s="17" t="s">
        <v>125</v>
      </c>
      <c r="H26" s="17" t="s">
        <v>277</v>
      </c>
      <c r="I26" s="18" t="s">
        <v>278</v>
      </c>
      <c r="J26" s="18"/>
      <c r="K26" s="17" t="s">
        <v>138</v>
      </c>
      <c r="L26" s="17" t="s">
        <v>20</v>
      </c>
      <c r="M26" s="17" t="s">
        <v>25</v>
      </c>
      <c r="N26" s="18"/>
      <c r="O26" s="17" t="s">
        <v>32</v>
      </c>
      <c r="P26" s="17" t="s">
        <v>70</v>
      </c>
      <c r="Q26" s="17" t="s">
        <v>284</v>
      </c>
      <c r="R26" s="18"/>
      <c r="S26" s="27" t="str">
        <f>"552,5"</f>
        <v>552,5</v>
      </c>
      <c r="T26" s="28" t="str">
        <f>"358,4067"</f>
        <v>358,4067</v>
      </c>
      <c r="U26" s="16" t="s">
        <v>899</v>
      </c>
    </row>
    <row r="28" spans="1:21" ht="16">
      <c r="A28" s="35" t="s">
        <v>38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21">
      <c r="A29" s="7" t="s">
        <v>286</v>
      </c>
      <c r="B29" s="7" t="s">
        <v>287</v>
      </c>
      <c r="C29" s="7" t="s">
        <v>42</v>
      </c>
      <c r="D29" s="7" t="s">
        <v>952</v>
      </c>
      <c r="E29" s="7" t="s">
        <v>16</v>
      </c>
      <c r="F29" s="7" t="s">
        <v>288</v>
      </c>
      <c r="G29" s="8" t="s">
        <v>47</v>
      </c>
      <c r="H29" s="8" t="s">
        <v>58</v>
      </c>
      <c r="I29" s="8" t="s">
        <v>139</v>
      </c>
      <c r="J29" s="9"/>
      <c r="K29" s="8" t="s">
        <v>20</v>
      </c>
      <c r="L29" s="8" t="s">
        <v>35</v>
      </c>
      <c r="M29" s="9" t="s">
        <v>47</v>
      </c>
      <c r="N29" s="9"/>
      <c r="O29" s="8" t="s">
        <v>139</v>
      </c>
      <c r="P29" s="8" t="s">
        <v>32</v>
      </c>
      <c r="Q29" s="9" t="s">
        <v>33</v>
      </c>
      <c r="R29" s="9"/>
      <c r="S29" s="21" t="str">
        <f>"520,0"</f>
        <v>520,0</v>
      </c>
      <c r="T29" s="22" t="str">
        <f>"325,7717"</f>
        <v>325,7717</v>
      </c>
      <c r="U29" s="7" t="s">
        <v>944</v>
      </c>
    </row>
    <row r="31" spans="1:21" ht="16">
      <c r="A31" s="35" t="s">
        <v>61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1:21">
      <c r="A32" s="7" t="s">
        <v>290</v>
      </c>
      <c r="B32" s="7" t="s">
        <v>291</v>
      </c>
      <c r="C32" s="7" t="s">
        <v>292</v>
      </c>
      <c r="D32" s="7" t="s">
        <v>949</v>
      </c>
      <c r="E32" s="7" t="s">
        <v>16</v>
      </c>
      <c r="F32" s="7" t="s">
        <v>43</v>
      </c>
      <c r="G32" s="8" t="s">
        <v>58</v>
      </c>
      <c r="H32" s="8" t="s">
        <v>257</v>
      </c>
      <c r="I32" s="9" t="s">
        <v>124</v>
      </c>
      <c r="J32" s="9"/>
      <c r="K32" s="8" t="s">
        <v>155</v>
      </c>
      <c r="L32" s="8" t="s">
        <v>18</v>
      </c>
      <c r="M32" s="9" t="s">
        <v>214</v>
      </c>
      <c r="N32" s="9"/>
      <c r="O32" s="8" t="s">
        <v>252</v>
      </c>
      <c r="P32" s="8" t="s">
        <v>278</v>
      </c>
      <c r="Q32" s="9" t="s">
        <v>293</v>
      </c>
      <c r="R32" s="9"/>
      <c r="S32" s="21" t="str">
        <f>"500,0"</f>
        <v>500,0</v>
      </c>
      <c r="T32" s="22" t="str">
        <f>"304,1500"</f>
        <v>304,1500</v>
      </c>
      <c r="U32" s="7" t="s">
        <v>945</v>
      </c>
    </row>
    <row r="34" spans="1:21" ht="16">
      <c r="A34" s="35" t="s">
        <v>294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</row>
    <row r="35" spans="1:21">
      <c r="A35" s="7" t="s">
        <v>296</v>
      </c>
      <c r="B35" s="7" t="s">
        <v>297</v>
      </c>
      <c r="C35" s="7" t="s">
        <v>298</v>
      </c>
      <c r="D35" s="7" t="s">
        <v>948</v>
      </c>
      <c r="E35" s="7" t="s">
        <v>16</v>
      </c>
      <c r="F35" s="7" t="s">
        <v>43</v>
      </c>
      <c r="G35" s="8" t="s">
        <v>34</v>
      </c>
      <c r="H35" s="8" t="s">
        <v>50</v>
      </c>
      <c r="I35" s="9" t="s">
        <v>44</v>
      </c>
      <c r="J35" s="9"/>
      <c r="K35" s="8" t="s">
        <v>48</v>
      </c>
      <c r="L35" s="8" t="s">
        <v>49</v>
      </c>
      <c r="M35" s="8" t="s">
        <v>257</v>
      </c>
      <c r="N35" s="9"/>
      <c r="O35" s="8" t="s">
        <v>50</v>
      </c>
      <c r="P35" s="8" t="s">
        <v>51</v>
      </c>
      <c r="Q35" s="8" t="s">
        <v>46</v>
      </c>
      <c r="R35" s="9"/>
      <c r="S35" s="21" t="str">
        <f>"705,0"</f>
        <v>705,0</v>
      </c>
      <c r="T35" s="22" t="str">
        <f>"397,5495"</f>
        <v>397,5495</v>
      </c>
      <c r="U35" s="7" t="s">
        <v>934</v>
      </c>
    </row>
    <row r="37" spans="1:21" ht="16">
      <c r="E37" s="19" t="s">
        <v>88</v>
      </c>
    </row>
    <row r="38" spans="1:21" ht="16">
      <c r="E38" s="19" t="s">
        <v>89</v>
      </c>
    </row>
    <row r="39" spans="1:21" ht="16">
      <c r="E39" s="19" t="s">
        <v>90</v>
      </c>
    </row>
    <row r="40" spans="1:21" ht="16">
      <c r="E40" s="19" t="s">
        <v>91</v>
      </c>
    </row>
    <row r="41" spans="1:21" ht="16">
      <c r="E41" s="19" t="s">
        <v>91</v>
      </c>
    </row>
    <row r="42" spans="1:21" ht="16">
      <c r="E42" s="19" t="s">
        <v>92</v>
      </c>
    </row>
    <row r="43" spans="1:21" ht="16">
      <c r="E43" s="19"/>
    </row>
    <row r="45" spans="1:21" ht="18">
      <c r="A45" s="29" t="s">
        <v>93</v>
      </c>
      <c r="B45" s="29"/>
    </row>
    <row r="46" spans="1:21" ht="16">
      <c r="A46" s="30" t="s">
        <v>94</v>
      </c>
      <c r="B46" s="30"/>
    </row>
    <row r="47" spans="1:21" ht="14">
      <c r="A47" s="32"/>
      <c r="B47" s="33" t="s">
        <v>299</v>
      </c>
    </row>
    <row r="48" spans="1:21" ht="14">
      <c r="A48" s="6" t="s">
        <v>96</v>
      </c>
      <c r="B48" s="6" t="s">
        <v>97</v>
      </c>
      <c r="C48" s="6" t="s">
        <v>98</v>
      </c>
      <c r="D48" s="6" t="s">
        <v>99</v>
      </c>
      <c r="E48" s="6" t="s">
        <v>100</v>
      </c>
    </row>
    <row r="49" spans="1:5">
      <c r="A49" s="31" t="s">
        <v>241</v>
      </c>
      <c r="B49" s="4" t="s">
        <v>300</v>
      </c>
      <c r="C49" s="4" t="s">
        <v>141</v>
      </c>
      <c r="D49" s="4" t="s">
        <v>51</v>
      </c>
      <c r="E49" s="20" t="s">
        <v>301</v>
      </c>
    </row>
    <row r="51" spans="1:5" ht="14">
      <c r="A51" s="32"/>
      <c r="B51" s="33" t="s">
        <v>302</v>
      </c>
    </row>
    <row r="52" spans="1:5" ht="14">
      <c r="A52" s="6" t="s">
        <v>96</v>
      </c>
      <c r="B52" s="6" t="s">
        <v>97</v>
      </c>
      <c r="C52" s="6" t="s">
        <v>98</v>
      </c>
      <c r="D52" s="6" t="s">
        <v>99</v>
      </c>
      <c r="E52" s="6" t="s">
        <v>100</v>
      </c>
    </row>
    <row r="53" spans="1:5">
      <c r="A53" s="31" t="s">
        <v>224</v>
      </c>
      <c r="B53" s="4" t="s">
        <v>303</v>
      </c>
      <c r="C53" s="4" t="s">
        <v>191</v>
      </c>
      <c r="D53" s="4" t="s">
        <v>102</v>
      </c>
      <c r="E53" s="20" t="s">
        <v>304</v>
      </c>
    </row>
    <row r="54" spans="1:5">
      <c r="A54" s="31" t="s">
        <v>206</v>
      </c>
      <c r="B54" s="4" t="s">
        <v>303</v>
      </c>
      <c r="C54" s="4" t="s">
        <v>305</v>
      </c>
      <c r="D54" s="4" t="s">
        <v>306</v>
      </c>
      <c r="E54" s="20" t="s">
        <v>307</v>
      </c>
    </row>
    <row r="56" spans="1:5" ht="14">
      <c r="A56" s="32"/>
      <c r="B56" s="33" t="s">
        <v>95</v>
      </c>
    </row>
    <row r="57" spans="1:5" ht="14">
      <c r="A57" s="6" t="s">
        <v>96</v>
      </c>
      <c r="B57" s="6" t="s">
        <v>97</v>
      </c>
      <c r="C57" s="6" t="s">
        <v>98</v>
      </c>
      <c r="D57" s="6" t="s">
        <v>99</v>
      </c>
      <c r="E57" s="6" t="s">
        <v>100</v>
      </c>
    </row>
    <row r="58" spans="1:5">
      <c r="A58" s="31" t="s">
        <v>217</v>
      </c>
      <c r="B58" s="4" t="s">
        <v>95</v>
      </c>
      <c r="C58" s="4" t="s">
        <v>305</v>
      </c>
      <c r="D58" s="4" t="s">
        <v>37</v>
      </c>
      <c r="E58" s="20" t="s">
        <v>308</v>
      </c>
    </row>
    <row r="59" spans="1:5">
      <c r="A59" s="31" t="s">
        <v>237</v>
      </c>
      <c r="B59" s="4" t="s">
        <v>95</v>
      </c>
      <c r="C59" s="4" t="s">
        <v>191</v>
      </c>
      <c r="D59" s="4" t="s">
        <v>309</v>
      </c>
      <c r="E59" s="20" t="s">
        <v>310</v>
      </c>
    </row>
    <row r="60" spans="1:5">
      <c r="A60" s="31" t="s">
        <v>231</v>
      </c>
      <c r="B60" s="4" t="s">
        <v>95</v>
      </c>
      <c r="C60" s="4" t="s">
        <v>191</v>
      </c>
      <c r="D60" s="4" t="s">
        <v>311</v>
      </c>
      <c r="E60" s="20" t="s">
        <v>312</v>
      </c>
    </row>
    <row r="61" spans="1:5">
      <c r="A61" s="31" t="s">
        <v>241</v>
      </c>
      <c r="B61" s="4" t="s">
        <v>95</v>
      </c>
      <c r="C61" s="4" t="s">
        <v>141</v>
      </c>
      <c r="D61" s="4" t="s">
        <v>51</v>
      </c>
      <c r="E61" s="20" t="s">
        <v>301</v>
      </c>
    </row>
    <row r="64" spans="1:5" ht="16">
      <c r="A64" s="30" t="s">
        <v>104</v>
      </c>
      <c r="B64" s="30"/>
    </row>
    <row r="65" spans="1:5" ht="14">
      <c r="A65" s="32"/>
      <c r="B65" s="33" t="s">
        <v>313</v>
      </c>
    </row>
    <row r="66" spans="1:5" ht="14">
      <c r="A66" s="6" t="s">
        <v>96</v>
      </c>
      <c r="B66" s="6" t="s">
        <v>97</v>
      </c>
      <c r="C66" s="6" t="s">
        <v>98</v>
      </c>
      <c r="D66" s="6" t="s">
        <v>99</v>
      </c>
      <c r="E66" s="6" t="s">
        <v>100</v>
      </c>
    </row>
    <row r="67" spans="1:5">
      <c r="A67" s="31" t="s">
        <v>295</v>
      </c>
      <c r="B67" s="4" t="s">
        <v>303</v>
      </c>
      <c r="C67" s="4" t="s">
        <v>314</v>
      </c>
      <c r="D67" s="4" t="s">
        <v>315</v>
      </c>
      <c r="E67" s="20" t="s">
        <v>316</v>
      </c>
    </row>
    <row r="69" spans="1:5" ht="14">
      <c r="A69" s="32"/>
      <c r="B69" s="33" t="s">
        <v>95</v>
      </c>
    </row>
    <row r="70" spans="1:5" ht="14">
      <c r="A70" s="6" t="s">
        <v>96</v>
      </c>
      <c r="B70" s="6" t="s">
        <v>97</v>
      </c>
      <c r="C70" s="6" t="s">
        <v>98</v>
      </c>
      <c r="D70" s="6" t="s">
        <v>99</v>
      </c>
      <c r="E70" s="6" t="s">
        <v>100</v>
      </c>
    </row>
    <row r="71" spans="1:5">
      <c r="A71" s="31" t="s">
        <v>265</v>
      </c>
      <c r="B71" s="4" t="s">
        <v>95</v>
      </c>
      <c r="C71" s="4" t="s">
        <v>317</v>
      </c>
      <c r="D71" s="4" t="s">
        <v>318</v>
      </c>
      <c r="E71" s="20" t="s">
        <v>319</v>
      </c>
    </row>
    <row r="72" spans="1:5">
      <c r="A72" s="31" t="s">
        <v>273</v>
      </c>
      <c r="B72" s="4" t="s">
        <v>95</v>
      </c>
      <c r="C72" s="4" t="s">
        <v>317</v>
      </c>
      <c r="D72" s="4" t="s">
        <v>320</v>
      </c>
      <c r="E72" s="20" t="s">
        <v>321</v>
      </c>
    </row>
    <row r="73" spans="1:5">
      <c r="A73" s="31" t="s">
        <v>280</v>
      </c>
      <c r="B73" s="4" t="s">
        <v>95</v>
      </c>
      <c r="C73" s="4" t="s">
        <v>317</v>
      </c>
      <c r="D73" s="4" t="s">
        <v>322</v>
      </c>
      <c r="E73" s="20" t="s">
        <v>323</v>
      </c>
    </row>
    <row r="74" spans="1:5">
      <c r="A74" s="31" t="s">
        <v>248</v>
      </c>
      <c r="B74" s="4" t="s">
        <v>95</v>
      </c>
      <c r="C74" s="4" t="s">
        <v>115</v>
      </c>
      <c r="D74" s="4" t="s">
        <v>324</v>
      </c>
      <c r="E74" s="20" t="s">
        <v>325</v>
      </c>
    </row>
    <row r="75" spans="1:5">
      <c r="A75" s="31" t="s">
        <v>253</v>
      </c>
      <c r="B75" s="4" t="s">
        <v>95</v>
      </c>
      <c r="C75" s="4" t="s">
        <v>115</v>
      </c>
      <c r="D75" s="4" t="s">
        <v>326</v>
      </c>
      <c r="E75" s="20" t="s">
        <v>327</v>
      </c>
    </row>
    <row r="76" spans="1:5">
      <c r="A76" s="31" t="s">
        <v>289</v>
      </c>
      <c r="B76" s="4" t="s">
        <v>95</v>
      </c>
      <c r="C76" s="4" t="s">
        <v>105</v>
      </c>
      <c r="D76" s="4" t="s">
        <v>148</v>
      </c>
      <c r="E76" s="20" t="s">
        <v>328</v>
      </c>
    </row>
    <row r="78" spans="1:5" ht="14">
      <c r="A78" s="32"/>
      <c r="B78" s="33" t="s">
        <v>146</v>
      </c>
    </row>
    <row r="79" spans="1:5" ht="14">
      <c r="A79" s="6" t="s">
        <v>96</v>
      </c>
      <c r="B79" s="6" t="s">
        <v>97</v>
      </c>
      <c r="C79" s="6" t="s">
        <v>98</v>
      </c>
      <c r="D79" s="6" t="s">
        <v>99</v>
      </c>
      <c r="E79" s="6" t="s">
        <v>100</v>
      </c>
    </row>
    <row r="80" spans="1:5">
      <c r="A80" s="31" t="s">
        <v>258</v>
      </c>
      <c r="B80" s="4" t="s">
        <v>203</v>
      </c>
      <c r="C80" s="4" t="s">
        <v>115</v>
      </c>
      <c r="D80" s="4" t="s">
        <v>329</v>
      </c>
      <c r="E80" s="20" t="s">
        <v>330</v>
      </c>
    </row>
    <row r="81" spans="1:5">
      <c r="A81" s="31" t="s">
        <v>285</v>
      </c>
      <c r="B81" s="4" t="s">
        <v>331</v>
      </c>
      <c r="C81" s="4" t="s">
        <v>110</v>
      </c>
      <c r="D81" s="4" t="s">
        <v>329</v>
      </c>
      <c r="E81" s="20" t="s">
        <v>332</v>
      </c>
    </row>
  </sheetData>
  <mergeCells count="21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34:R34"/>
    <mergeCell ref="A9:R9"/>
    <mergeCell ref="A14:R14"/>
    <mergeCell ref="A18:R18"/>
    <mergeCell ref="A23:R23"/>
    <mergeCell ref="A28:R28"/>
    <mergeCell ref="A31:R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42"/>
  <sheetViews>
    <sheetView tabSelected="1" workbookViewId="0">
      <selection activeCell="D21" sqref="D21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5.5" style="4" bestFit="1" customWidth="1"/>
    <col min="7" max="9" width="5.5" style="3" customWidth="1"/>
    <col min="10" max="10" width="4.83203125" style="3" customWidth="1"/>
    <col min="11" max="11" width="13" style="20" customWidth="1"/>
    <col min="12" max="12" width="8.5" style="2" bestFit="1" customWidth="1"/>
    <col min="13" max="13" width="29.83203125" style="4" bestFit="1" customWidth="1"/>
    <col min="14" max="16384" width="9.1640625" style="3"/>
  </cols>
  <sheetData>
    <row r="1" spans="1:13" s="2" customFormat="1" ht="29" customHeight="1">
      <c r="A1" s="42" t="s">
        <v>881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946</v>
      </c>
      <c r="C3" s="50" t="s">
        <v>7</v>
      </c>
      <c r="D3" s="36" t="s">
        <v>947</v>
      </c>
      <c r="E3" s="36" t="s">
        <v>4</v>
      </c>
      <c r="F3" s="36" t="s">
        <v>6</v>
      </c>
      <c r="G3" s="36" t="s">
        <v>10</v>
      </c>
      <c r="H3" s="36"/>
      <c r="I3" s="36"/>
      <c r="J3" s="36"/>
      <c r="K3" s="36" t="s">
        <v>451</v>
      </c>
      <c r="L3" s="36" t="s">
        <v>3</v>
      </c>
      <c r="M3" s="38" t="s">
        <v>2</v>
      </c>
    </row>
    <row r="4" spans="1:13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6">
      <c r="A5" s="40" t="s">
        <v>118</v>
      </c>
      <c r="B5" s="41"/>
      <c r="C5" s="41"/>
      <c r="D5" s="41"/>
      <c r="E5" s="41"/>
      <c r="F5" s="41"/>
      <c r="G5" s="41"/>
      <c r="H5" s="41"/>
      <c r="I5" s="41"/>
      <c r="J5" s="41"/>
    </row>
    <row r="6" spans="1:13">
      <c r="A6" s="7" t="s">
        <v>833</v>
      </c>
      <c r="B6" s="7" t="s">
        <v>831</v>
      </c>
      <c r="C6" s="7" t="s">
        <v>832</v>
      </c>
      <c r="D6" s="7" t="s">
        <v>949</v>
      </c>
      <c r="E6" s="7" t="s">
        <v>16</v>
      </c>
      <c r="F6" s="7" t="s">
        <v>43</v>
      </c>
      <c r="G6" s="8" t="s">
        <v>272</v>
      </c>
      <c r="H6" s="9" t="s">
        <v>309</v>
      </c>
      <c r="I6" s="9"/>
      <c r="J6" s="9"/>
      <c r="K6" s="21" t="str">
        <f>"262,5"</f>
        <v>262,5</v>
      </c>
      <c r="L6" s="22" t="str">
        <f>"195,4312"</f>
        <v>195,4312</v>
      </c>
      <c r="M6" s="7" t="s">
        <v>892</v>
      </c>
    </row>
    <row r="8" spans="1:13" ht="16">
      <c r="A8" s="35" t="s">
        <v>264</v>
      </c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10" t="s">
        <v>835</v>
      </c>
      <c r="B9" s="10" t="s">
        <v>836</v>
      </c>
      <c r="C9" s="10" t="s">
        <v>837</v>
      </c>
      <c r="D9" s="10" t="s">
        <v>949</v>
      </c>
      <c r="E9" s="10" t="s">
        <v>16</v>
      </c>
      <c r="F9" s="10" t="s">
        <v>43</v>
      </c>
      <c r="G9" s="11" t="s">
        <v>838</v>
      </c>
      <c r="H9" s="11" t="s">
        <v>102</v>
      </c>
      <c r="I9" s="12" t="s">
        <v>839</v>
      </c>
      <c r="J9" s="12"/>
      <c r="K9" s="23" t="str">
        <f>"322,5"</f>
        <v>322,5</v>
      </c>
      <c r="L9" s="24" t="str">
        <f>"210,2377"</f>
        <v>210,2377</v>
      </c>
      <c r="M9" s="10" t="s">
        <v>52</v>
      </c>
    </row>
    <row r="10" spans="1:13">
      <c r="A10" s="13" t="s">
        <v>841</v>
      </c>
      <c r="B10" s="13" t="s">
        <v>842</v>
      </c>
      <c r="C10" s="13" t="s">
        <v>502</v>
      </c>
      <c r="D10" s="13" t="s">
        <v>949</v>
      </c>
      <c r="E10" s="13" t="s">
        <v>16</v>
      </c>
      <c r="F10" s="13" t="s">
        <v>43</v>
      </c>
      <c r="G10" s="14" t="s">
        <v>311</v>
      </c>
      <c r="H10" s="14" t="s">
        <v>77</v>
      </c>
      <c r="I10" s="15" t="s">
        <v>843</v>
      </c>
      <c r="J10" s="15"/>
      <c r="K10" s="25" t="str">
        <f>"305,0"</f>
        <v>305,0</v>
      </c>
      <c r="L10" s="26" t="str">
        <f>"202,3065"</f>
        <v>202,3065</v>
      </c>
      <c r="M10" s="13" t="s">
        <v>891</v>
      </c>
    </row>
    <row r="11" spans="1:13">
      <c r="A11" s="16" t="s">
        <v>845</v>
      </c>
      <c r="B11" s="16" t="s">
        <v>846</v>
      </c>
      <c r="C11" s="16" t="s">
        <v>847</v>
      </c>
      <c r="D11" s="16" t="s">
        <v>949</v>
      </c>
      <c r="E11" s="16" t="s">
        <v>16</v>
      </c>
      <c r="F11" s="16" t="s">
        <v>43</v>
      </c>
      <c r="G11" s="17" t="s">
        <v>57</v>
      </c>
      <c r="H11" s="18" t="s">
        <v>838</v>
      </c>
      <c r="I11" s="18" t="s">
        <v>838</v>
      </c>
      <c r="J11" s="18"/>
      <c r="K11" s="27" t="str">
        <f>"290,0"</f>
        <v>290,0</v>
      </c>
      <c r="L11" s="28" t="str">
        <f>"185,1360"</f>
        <v>185,1360</v>
      </c>
      <c r="M11" s="16"/>
    </row>
    <row r="13" spans="1:13" ht="16">
      <c r="A13" s="35" t="s">
        <v>38</v>
      </c>
      <c r="B13" s="35"/>
      <c r="C13" s="35"/>
      <c r="D13" s="35"/>
      <c r="E13" s="35"/>
      <c r="F13" s="35"/>
      <c r="G13" s="35"/>
      <c r="H13" s="35"/>
      <c r="I13" s="35"/>
      <c r="J13" s="35"/>
    </row>
    <row r="14" spans="1:13">
      <c r="A14" s="10" t="s">
        <v>849</v>
      </c>
      <c r="B14" s="10" t="s">
        <v>850</v>
      </c>
      <c r="C14" s="10" t="s">
        <v>851</v>
      </c>
      <c r="D14" s="10" t="s">
        <v>949</v>
      </c>
      <c r="E14" s="10" t="s">
        <v>16</v>
      </c>
      <c r="F14" s="10" t="s">
        <v>852</v>
      </c>
      <c r="G14" s="11" t="s">
        <v>195</v>
      </c>
      <c r="H14" s="11" t="s">
        <v>67</v>
      </c>
      <c r="I14" s="11" t="s">
        <v>853</v>
      </c>
      <c r="J14" s="12"/>
      <c r="K14" s="23" t="str">
        <f>"375,0"</f>
        <v>375,0</v>
      </c>
      <c r="L14" s="24" t="str">
        <f>"231,6375"</f>
        <v>231,6375</v>
      </c>
      <c r="M14" s="10"/>
    </row>
    <row r="15" spans="1:13">
      <c r="A15" s="13" t="s">
        <v>855</v>
      </c>
      <c r="B15" s="13" t="s">
        <v>856</v>
      </c>
      <c r="C15" s="13" t="s">
        <v>857</v>
      </c>
      <c r="D15" s="13" t="s">
        <v>949</v>
      </c>
      <c r="E15" s="13" t="s">
        <v>16</v>
      </c>
      <c r="F15" s="13" t="s">
        <v>43</v>
      </c>
      <c r="G15" s="14" t="s">
        <v>195</v>
      </c>
      <c r="H15" s="14" t="s">
        <v>67</v>
      </c>
      <c r="I15" s="15" t="s">
        <v>858</v>
      </c>
      <c r="J15" s="15"/>
      <c r="K15" s="25" t="str">
        <f>"360,0"</f>
        <v>360,0</v>
      </c>
      <c r="L15" s="26" t="str">
        <f>"219,0960"</f>
        <v>219,0960</v>
      </c>
      <c r="M15" s="13"/>
    </row>
    <row r="16" spans="1:13">
      <c r="A16" s="16" t="s">
        <v>860</v>
      </c>
      <c r="B16" s="16" t="s">
        <v>861</v>
      </c>
      <c r="C16" s="16" t="s">
        <v>42</v>
      </c>
      <c r="D16" s="16" t="s">
        <v>949</v>
      </c>
      <c r="E16" s="16" t="s">
        <v>16</v>
      </c>
      <c r="F16" s="16" t="s">
        <v>43</v>
      </c>
      <c r="G16" s="17" t="s">
        <v>838</v>
      </c>
      <c r="H16" s="18" t="s">
        <v>839</v>
      </c>
      <c r="I16" s="18"/>
      <c r="J16" s="18"/>
      <c r="K16" s="27" t="str">
        <f>"310,0"</f>
        <v>310,0</v>
      </c>
      <c r="L16" s="28" t="str">
        <f>"190,4020"</f>
        <v>190,4020</v>
      </c>
      <c r="M16" s="16" t="s">
        <v>631</v>
      </c>
    </row>
    <row r="18" spans="1:13" ht="16">
      <c r="A18" s="35" t="s">
        <v>61</v>
      </c>
      <c r="B18" s="35"/>
      <c r="C18" s="35"/>
      <c r="D18" s="35"/>
      <c r="E18" s="35"/>
      <c r="F18" s="35"/>
      <c r="G18" s="35"/>
      <c r="H18" s="35"/>
      <c r="I18" s="35"/>
      <c r="J18" s="35"/>
    </row>
    <row r="19" spans="1:13">
      <c r="A19" s="10" t="s">
        <v>63</v>
      </c>
      <c r="B19" s="10" t="s">
        <v>64</v>
      </c>
      <c r="C19" s="10" t="s">
        <v>65</v>
      </c>
      <c r="D19" s="10" t="s">
        <v>949</v>
      </c>
      <c r="E19" s="10" t="s">
        <v>16</v>
      </c>
      <c r="F19" s="10" t="s">
        <v>66</v>
      </c>
      <c r="G19" s="11" t="s">
        <v>67</v>
      </c>
      <c r="H19" s="11" t="s">
        <v>68</v>
      </c>
      <c r="I19" s="12" t="s">
        <v>862</v>
      </c>
      <c r="J19" s="12"/>
      <c r="K19" s="23" t="str">
        <f>"380,0"</f>
        <v>380,0</v>
      </c>
      <c r="L19" s="24" t="str">
        <f>"223,7060"</f>
        <v>223,7060</v>
      </c>
      <c r="M19" s="10" t="s">
        <v>890</v>
      </c>
    </row>
    <row r="20" spans="1:13">
      <c r="A20" s="16" t="s">
        <v>864</v>
      </c>
      <c r="B20" s="16" t="s">
        <v>865</v>
      </c>
      <c r="C20" s="16" t="s">
        <v>866</v>
      </c>
      <c r="D20" s="16" t="s">
        <v>949</v>
      </c>
      <c r="E20" s="16" t="s">
        <v>16</v>
      </c>
      <c r="F20" s="16" t="s">
        <v>43</v>
      </c>
      <c r="G20" s="17" t="s">
        <v>867</v>
      </c>
      <c r="H20" s="18" t="s">
        <v>858</v>
      </c>
      <c r="I20" s="17" t="s">
        <v>858</v>
      </c>
      <c r="J20" s="18"/>
      <c r="K20" s="27" t="str">
        <f>"370,0"</f>
        <v>370,0</v>
      </c>
      <c r="L20" s="28" t="str">
        <f>"224,1090"</f>
        <v>224,1090</v>
      </c>
      <c r="M20" s="16"/>
    </row>
    <row r="22" spans="1:13" ht="16">
      <c r="E22" s="19" t="s">
        <v>88</v>
      </c>
    </row>
    <row r="23" spans="1:13" ht="16">
      <c r="E23" s="19" t="s">
        <v>89</v>
      </c>
    </row>
    <row r="24" spans="1:13" ht="16">
      <c r="E24" s="19" t="s">
        <v>90</v>
      </c>
    </row>
    <row r="25" spans="1:13" ht="16">
      <c r="E25" s="19" t="s">
        <v>91</v>
      </c>
    </row>
    <row r="26" spans="1:13" ht="16">
      <c r="E26" s="19" t="s">
        <v>91</v>
      </c>
    </row>
    <row r="27" spans="1:13" ht="16">
      <c r="E27" s="19" t="s">
        <v>92</v>
      </c>
    </row>
    <row r="28" spans="1:13" ht="16">
      <c r="E28" s="19"/>
    </row>
    <row r="30" spans="1:13" ht="18">
      <c r="A30" s="29" t="s">
        <v>93</v>
      </c>
      <c r="B30" s="29"/>
    </row>
    <row r="31" spans="1:13" ht="16">
      <c r="A31" s="30" t="s">
        <v>104</v>
      </c>
      <c r="B31" s="30"/>
    </row>
    <row r="32" spans="1:13" ht="14">
      <c r="A32" s="32"/>
      <c r="B32" s="33" t="s">
        <v>95</v>
      </c>
    </row>
    <row r="33" spans="1:5" ht="14">
      <c r="A33" s="6" t="s">
        <v>96</v>
      </c>
      <c r="B33" s="6" t="s">
        <v>97</v>
      </c>
      <c r="C33" s="34" t="s">
        <v>98</v>
      </c>
      <c r="D33" s="34" t="s">
        <v>426</v>
      </c>
      <c r="E33" s="6" t="s">
        <v>100</v>
      </c>
    </row>
    <row r="34" spans="1:5">
      <c r="A34" s="31" t="s">
        <v>848</v>
      </c>
      <c r="B34" s="4" t="s">
        <v>95</v>
      </c>
      <c r="C34" s="4" t="s">
        <v>110</v>
      </c>
      <c r="D34" s="4" t="s">
        <v>853</v>
      </c>
      <c r="E34" s="20" t="s">
        <v>868</v>
      </c>
    </row>
    <row r="35" spans="1:5">
      <c r="A35" s="31" t="s">
        <v>863</v>
      </c>
      <c r="B35" s="4" t="s">
        <v>95</v>
      </c>
      <c r="C35" s="4" t="s">
        <v>105</v>
      </c>
      <c r="D35" s="4" t="s">
        <v>858</v>
      </c>
      <c r="E35" s="20" t="s">
        <v>869</v>
      </c>
    </row>
    <row r="36" spans="1:5">
      <c r="A36" s="31" t="s">
        <v>62</v>
      </c>
      <c r="B36" s="4" t="s">
        <v>95</v>
      </c>
      <c r="C36" s="4" t="s">
        <v>105</v>
      </c>
      <c r="D36" s="4" t="s">
        <v>68</v>
      </c>
      <c r="E36" s="20" t="s">
        <v>870</v>
      </c>
    </row>
    <row r="37" spans="1:5">
      <c r="A37" s="31" t="s">
        <v>854</v>
      </c>
      <c r="B37" s="4" t="s">
        <v>95</v>
      </c>
      <c r="C37" s="4" t="s">
        <v>110</v>
      </c>
      <c r="D37" s="4" t="s">
        <v>67</v>
      </c>
      <c r="E37" s="20" t="s">
        <v>871</v>
      </c>
    </row>
    <row r="38" spans="1:5">
      <c r="A38" s="31" t="s">
        <v>834</v>
      </c>
      <c r="B38" s="4" t="s">
        <v>95</v>
      </c>
      <c r="C38" s="4" t="s">
        <v>317</v>
      </c>
      <c r="D38" s="4" t="s">
        <v>102</v>
      </c>
      <c r="E38" s="20" t="s">
        <v>872</v>
      </c>
    </row>
    <row r="39" spans="1:5">
      <c r="A39" s="31" t="s">
        <v>840</v>
      </c>
      <c r="B39" s="4" t="s">
        <v>95</v>
      </c>
      <c r="C39" s="4" t="s">
        <v>317</v>
      </c>
      <c r="D39" s="4" t="s">
        <v>77</v>
      </c>
      <c r="E39" s="20" t="s">
        <v>873</v>
      </c>
    </row>
    <row r="40" spans="1:5">
      <c r="A40" s="31" t="s">
        <v>830</v>
      </c>
      <c r="B40" s="4" t="s">
        <v>95</v>
      </c>
      <c r="C40" s="4" t="s">
        <v>141</v>
      </c>
      <c r="D40" s="4" t="s">
        <v>272</v>
      </c>
      <c r="E40" s="20" t="s">
        <v>874</v>
      </c>
    </row>
    <row r="41" spans="1:5">
      <c r="A41" s="31" t="s">
        <v>859</v>
      </c>
      <c r="B41" s="4" t="s">
        <v>95</v>
      </c>
      <c r="C41" s="4" t="s">
        <v>110</v>
      </c>
      <c r="D41" s="4" t="s">
        <v>838</v>
      </c>
      <c r="E41" s="20" t="s">
        <v>875</v>
      </c>
    </row>
    <row r="42" spans="1:5">
      <c r="A42" s="31" t="s">
        <v>844</v>
      </c>
      <c r="B42" s="4" t="s">
        <v>95</v>
      </c>
      <c r="C42" s="4" t="s">
        <v>317</v>
      </c>
      <c r="D42" s="4" t="s">
        <v>57</v>
      </c>
      <c r="E42" s="20" t="s">
        <v>876</v>
      </c>
    </row>
  </sheetData>
  <mergeCells count="15"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3:J13"/>
    <mergeCell ref="A18:J18"/>
    <mergeCell ref="K3:K4"/>
    <mergeCell ref="L3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U29"/>
  <sheetViews>
    <sheetView workbookViewId="0">
      <selection sqref="A1:U2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8.5" style="4" bestFit="1" customWidth="1"/>
    <col min="5" max="5" width="22.6640625" style="4" bestFit="1" customWidth="1"/>
    <col min="6" max="6" width="31.83203125" style="4" bestFit="1" customWidth="1"/>
    <col min="7" max="9" width="5.5" style="3" customWidth="1"/>
    <col min="10" max="10" width="4.83203125" style="3" customWidth="1"/>
    <col min="11" max="13" width="5.5" style="3" customWidth="1"/>
    <col min="14" max="14" width="4.83203125" style="3" customWidth="1"/>
    <col min="15" max="17" width="5.5" style="3" customWidth="1"/>
    <col min="18" max="18" width="4.83203125" style="3" customWidth="1"/>
    <col min="19" max="19" width="7.83203125" style="20" bestFit="1" customWidth="1"/>
    <col min="20" max="20" width="8.5" style="2" bestFit="1" customWidth="1"/>
    <col min="21" max="21" width="12.83203125" style="4" bestFit="1" customWidth="1"/>
    <col min="22" max="16384" width="9.1640625" style="3"/>
  </cols>
  <sheetData>
    <row r="1" spans="1:21" s="2" customFormat="1" ht="29" customHeight="1">
      <c r="A1" s="42" t="s">
        <v>883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>
      <c r="A3" s="48" t="s">
        <v>0</v>
      </c>
      <c r="B3" s="50" t="s">
        <v>946</v>
      </c>
      <c r="C3" s="50" t="s">
        <v>7</v>
      </c>
      <c r="D3" s="36" t="s">
        <v>947</v>
      </c>
      <c r="E3" s="36" t="s">
        <v>4</v>
      </c>
      <c r="F3" s="36" t="s">
        <v>6</v>
      </c>
      <c r="G3" s="36" t="s">
        <v>8</v>
      </c>
      <c r="H3" s="36"/>
      <c r="I3" s="36"/>
      <c r="J3" s="36"/>
      <c r="K3" s="36" t="s">
        <v>9</v>
      </c>
      <c r="L3" s="36"/>
      <c r="M3" s="36"/>
      <c r="N3" s="36"/>
      <c r="O3" s="36" t="s">
        <v>10</v>
      </c>
      <c r="P3" s="36"/>
      <c r="Q3" s="36"/>
      <c r="R3" s="36"/>
      <c r="S3" s="36" t="s">
        <v>1</v>
      </c>
      <c r="T3" s="36" t="s">
        <v>3</v>
      </c>
      <c r="U3" s="38" t="s">
        <v>2</v>
      </c>
    </row>
    <row r="4" spans="1:21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7"/>
      <c r="T4" s="37"/>
      <c r="U4" s="39"/>
    </row>
    <row r="5" spans="1:21" ht="16">
      <c r="A5" s="40" t="s">
        <v>118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7" t="s">
        <v>120</v>
      </c>
      <c r="B6" s="7" t="s">
        <v>121</v>
      </c>
      <c r="C6" s="7" t="s">
        <v>122</v>
      </c>
      <c r="D6" s="7" t="s">
        <v>949</v>
      </c>
      <c r="E6" s="7" t="s">
        <v>16</v>
      </c>
      <c r="F6" s="7" t="s">
        <v>123</v>
      </c>
      <c r="G6" s="8" t="s">
        <v>124</v>
      </c>
      <c r="H6" s="9" t="s">
        <v>125</v>
      </c>
      <c r="I6" s="9" t="s">
        <v>32</v>
      </c>
      <c r="J6" s="9"/>
      <c r="K6" s="8" t="s">
        <v>20</v>
      </c>
      <c r="L6" s="8" t="s">
        <v>126</v>
      </c>
      <c r="M6" s="9" t="s">
        <v>35</v>
      </c>
      <c r="N6" s="9"/>
      <c r="O6" s="8" t="s">
        <v>32</v>
      </c>
      <c r="P6" s="8" t="s">
        <v>70</v>
      </c>
      <c r="Q6" s="9" t="s">
        <v>33</v>
      </c>
      <c r="R6" s="9"/>
      <c r="S6" s="21" t="str">
        <f>"530,0"</f>
        <v>530,0</v>
      </c>
      <c r="T6" s="22" t="str">
        <f>"379,4270"</f>
        <v>379,4270</v>
      </c>
      <c r="U6" s="7" t="s">
        <v>937</v>
      </c>
    </row>
    <row r="8" spans="1:21" ht="16">
      <c r="A8" s="35" t="s">
        <v>26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21">
      <c r="A9" s="10" t="s">
        <v>128</v>
      </c>
      <c r="B9" s="10" t="s">
        <v>129</v>
      </c>
      <c r="C9" s="10" t="s">
        <v>130</v>
      </c>
      <c r="D9" s="10" t="s">
        <v>949</v>
      </c>
      <c r="E9" s="10" t="s">
        <v>16</v>
      </c>
      <c r="F9" s="10" t="s">
        <v>131</v>
      </c>
      <c r="G9" s="11" t="s">
        <v>48</v>
      </c>
      <c r="H9" s="11" t="s">
        <v>49</v>
      </c>
      <c r="I9" s="11" t="s">
        <v>124</v>
      </c>
      <c r="J9" s="12"/>
      <c r="K9" s="11" t="s">
        <v>18</v>
      </c>
      <c r="L9" s="11" t="s">
        <v>24</v>
      </c>
      <c r="M9" s="12" t="s">
        <v>132</v>
      </c>
      <c r="N9" s="12"/>
      <c r="O9" s="11" t="s">
        <v>32</v>
      </c>
      <c r="P9" s="11" t="s">
        <v>34</v>
      </c>
      <c r="Q9" s="12"/>
      <c r="R9" s="12"/>
      <c r="S9" s="23" t="str">
        <f>"537,5"</f>
        <v>537,5</v>
      </c>
      <c r="T9" s="24" t="str">
        <f>"363,2962"</f>
        <v>363,2962</v>
      </c>
      <c r="U9" s="10" t="s">
        <v>938</v>
      </c>
    </row>
    <row r="10" spans="1:21">
      <c r="A10" s="16" t="s">
        <v>134</v>
      </c>
      <c r="B10" s="16" t="s">
        <v>135</v>
      </c>
      <c r="C10" s="16" t="s">
        <v>136</v>
      </c>
      <c r="D10" s="16" t="s">
        <v>953</v>
      </c>
      <c r="E10" s="16" t="s">
        <v>16</v>
      </c>
      <c r="F10" s="16" t="s">
        <v>43</v>
      </c>
      <c r="G10" s="18" t="s">
        <v>47</v>
      </c>
      <c r="H10" s="18" t="s">
        <v>48</v>
      </c>
      <c r="I10" s="17" t="s">
        <v>49</v>
      </c>
      <c r="J10" s="18"/>
      <c r="K10" s="17" t="s">
        <v>19</v>
      </c>
      <c r="L10" s="17" t="s">
        <v>138</v>
      </c>
      <c r="M10" s="17" t="s">
        <v>20</v>
      </c>
      <c r="N10" s="18"/>
      <c r="O10" s="17" t="s">
        <v>139</v>
      </c>
      <c r="P10" s="17" t="s">
        <v>140</v>
      </c>
      <c r="Q10" s="17" t="s">
        <v>32</v>
      </c>
      <c r="R10" s="18"/>
      <c r="S10" s="27" t="str">
        <f>"500,0"</f>
        <v>500,0</v>
      </c>
      <c r="T10" s="28" t="str">
        <f>"434,3570"</f>
        <v>434,3570</v>
      </c>
      <c r="U10" s="16" t="s">
        <v>939</v>
      </c>
    </row>
    <row r="12" spans="1:21" ht="16">
      <c r="E12" s="19" t="s">
        <v>88</v>
      </c>
    </row>
    <row r="13" spans="1:21" ht="16">
      <c r="E13" s="19" t="s">
        <v>89</v>
      </c>
    </row>
    <row r="14" spans="1:21" ht="16">
      <c r="E14" s="19" t="s">
        <v>90</v>
      </c>
    </row>
    <row r="15" spans="1:21" ht="16">
      <c r="E15" s="19" t="s">
        <v>91</v>
      </c>
    </row>
    <row r="16" spans="1:21" ht="16">
      <c r="E16" s="19" t="s">
        <v>91</v>
      </c>
    </row>
    <row r="17" spans="1:5" ht="16">
      <c r="E17" s="19" t="s">
        <v>92</v>
      </c>
    </row>
    <row r="18" spans="1:5" ht="16">
      <c r="E18" s="19"/>
    </row>
    <row r="20" spans="1:5" ht="18">
      <c r="A20" s="29" t="s">
        <v>93</v>
      </c>
      <c r="B20" s="29"/>
    </row>
    <row r="21" spans="1:5" ht="16">
      <c r="A21" s="30" t="s">
        <v>104</v>
      </c>
      <c r="B21" s="30"/>
    </row>
    <row r="22" spans="1:5" ht="14">
      <c r="A22" s="32"/>
      <c r="B22" s="33" t="s">
        <v>95</v>
      </c>
    </row>
    <row r="23" spans="1:5" ht="14">
      <c r="A23" s="6" t="s">
        <v>96</v>
      </c>
      <c r="B23" s="6" t="s">
        <v>97</v>
      </c>
      <c r="C23" s="6" t="s">
        <v>98</v>
      </c>
      <c r="D23" s="6" t="s">
        <v>99</v>
      </c>
      <c r="E23" s="6" t="s">
        <v>100</v>
      </c>
    </row>
    <row r="24" spans="1:5">
      <c r="A24" s="31" t="s">
        <v>119</v>
      </c>
      <c r="B24" s="4" t="s">
        <v>95</v>
      </c>
      <c r="C24" s="4" t="s">
        <v>141</v>
      </c>
      <c r="D24" s="4" t="s">
        <v>142</v>
      </c>
      <c r="E24" s="20" t="s">
        <v>143</v>
      </c>
    </row>
    <row r="25" spans="1:5">
      <c r="A25" s="31" t="s">
        <v>127</v>
      </c>
      <c r="B25" s="4" t="s">
        <v>95</v>
      </c>
      <c r="C25" s="4" t="s">
        <v>115</v>
      </c>
      <c r="D25" s="4" t="s">
        <v>144</v>
      </c>
      <c r="E25" s="20" t="s">
        <v>145</v>
      </c>
    </row>
    <row r="27" spans="1:5" ht="14">
      <c r="A27" s="32"/>
      <c r="B27" s="33" t="s">
        <v>146</v>
      </c>
    </row>
    <row r="28" spans="1:5" ht="14">
      <c r="A28" s="6" t="s">
        <v>96</v>
      </c>
      <c r="B28" s="6" t="s">
        <v>97</v>
      </c>
      <c r="C28" s="6" t="s">
        <v>98</v>
      </c>
      <c r="D28" s="6" t="s">
        <v>99</v>
      </c>
      <c r="E28" s="6" t="s">
        <v>100</v>
      </c>
    </row>
    <row r="29" spans="1:5">
      <c r="A29" s="31" t="s">
        <v>133</v>
      </c>
      <c r="B29" s="4" t="s">
        <v>147</v>
      </c>
      <c r="C29" s="4" t="s">
        <v>115</v>
      </c>
      <c r="D29" s="4" t="s">
        <v>148</v>
      </c>
      <c r="E29" s="20" t="s">
        <v>149</v>
      </c>
    </row>
  </sheetData>
  <mergeCells count="15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8:R8"/>
    <mergeCell ref="S3:S4"/>
    <mergeCell ref="T3:T4"/>
    <mergeCell ref="U3:U4"/>
    <mergeCell ref="A5:R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U42"/>
  <sheetViews>
    <sheetView workbookViewId="0">
      <selection sqref="A1:U2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8.5" style="4" bestFit="1" customWidth="1"/>
    <col min="5" max="5" width="22.6640625" style="4" bestFit="1" customWidth="1"/>
    <col min="6" max="6" width="27.5" style="4" bestFit="1" customWidth="1"/>
    <col min="7" max="9" width="5.5" style="3" customWidth="1"/>
    <col min="10" max="10" width="4.83203125" style="3" customWidth="1"/>
    <col min="11" max="13" width="5.5" style="3" customWidth="1"/>
    <col min="14" max="14" width="4.83203125" style="3" customWidth="1"/>
    <col min="15" max="17" width="5.5" style="3" customWidth="1"/>
    <col min="18" max="18" width="4.83203125" style="3" customWidth="1"/>
    <col min="19" max="19" width="7.83203125" style="20" bestFit="1" customWidth="1"/>
    <col min="20" max="20" width="8.5" style="2" bestFit="1" customWidth="1"/>
    <col min="21" max="21" width="14.1640625" style="4" bestFit="1" customWidth="1"/>
    <col min="22" max="16384" width="9.1640625" style="3"/>
  </cols>
  <sheetData>
    <row r="1" spans="1:21" s="2" customFormat="1" ht="29" customHeight="1">
      <c r="A1" s="42" t="s">
        <v>877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>
      <c r="A3" s="48" t="s">
        <v>0</v>
      </c>
      <c r="B3" s="50" t="s">
        <v>946</v>
      </c>
      <c r="C3" s="50" t="s">
        <v>7</v>
      </c>
      <c r="D3" s="36" t="s">
        <v>947</v>
      </c>
      <c r="E3" s="36" t="s">
        <v>4</v>
      </c>
      <c r="F3" s="36" t="s">
        <v>6</v>
      </c>
      <c r="G3" s="36" t="s">
        <v>8</v>
      </c>
      <c r="H3" s="36"/>
      <c r="I3" s="36"/>
      <c r="J3" s="36"/>
      <c r="K3" s="36" t="s">
        <v>9</v>
      </c>
      <c r="L3" s="36"/>
      <c r="M3" s="36"/>
      <c r="N3" s="36"/>
      <c r="O3" s="36" t="s">
        <v>10</v>
      </c>
      <c r="P3" s="36"/>
      <c r="Q3" s="36"/>
      <c r="R3" s="36"/>
      <c r="S3" s="36" t="s">
        <v>1</v>
      </c>
      <c r="T3" s="36" t="s">
        <v>3</v>
      </c>
      <c r="U3" s="38" t="s">
        <v>2</v>
      </c>
    </row>
    <row r="4" spans="1:21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7"/>
      <c r="T4" s="37"/>
      <c r="U4" s="39"/>
    </row>
    <row r="5" spans="1:21" ht="16">
      <c r="A5" s="40" t="s">
        <v>150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7" t="s">
        <v>152</v>
      </c>
      <c r="B6" s="7" t="s">
        <v>153</v>
      </c>
      <c r="C6" s="7" t="s">
        <v>154</v>
      </c>
      <c r="D6" s="7" t="s">
        <v>949</v>
      </c>
      <c r="E6" s="7" t="s">
        <v>16</v>
      </c>
      <c r="F6" s="7" t="s">
        <v>43</v>
      </c>
      <c r="G6" s="8" t="s">
        <v>155</v>
      </c>
      <c r="H6" s="9" t="s">
        <v>156</v>
      </c>
      <c r="I6" s="9" t="s">
        <v>156</v>
      </c>
      <c r="J6" s="9"/>
      <c r="K6" s="8" t="s">
        <v>157</v>
      </c>
      <c r="L6" s="9" t="s">
        <v>158</v>
      </c>
      <c r="M6" s="9" t="s">
        <v>158</v>
      </c>
      <c r="N6" s="9"/>
      <c r="O6" s="8" t="s">
        <v>155</v>
      </c>
      <c r="P6" s="9" t="s">
        <v>159</v>
      </c>
      <c r="Q6" s="8" t="s">
        <v>159</v>
      </c>
      <c r="R6" s="9"/>
      <c r="S6" s="21" t="str">
        <f>"247,5"</f>
        <v>247,5</v>
      </c>
      <c r="T6" s="22" t="str">
        <f>"311,7757"</f>
        <v>311,7757</v>
      </c>
      <c r="U6" s="7" t="s">
        <v>936</v>
      </c>
    </row>
    <row r="8" spans="1:21" ht="16">
      <c r="A8" s="35" t="s">
        <v>160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21">
      <c r="A9" s="7" t="s">
        <v>162</v>
      </c>
      <c r="B9" s="7" t="s">
        <v>163</v>
      </c>
      <c r="C9" s="7" t="s">
        <v>164</v>
      </c>
      <c r="D9" s="7" t="s">
        <v>949</v>
      </c>
      <c r="E9" s="7" t="s">
        <v>16</v>
      </c>
      <c r="F9" s="7" t="s">
        <v>43</v>
      </c>
      <c r="G9" s="8" t="s">
        <v>20</v>
      </c>
      <c r="H9" s="8" t="s">
        <v>35</v>
      </c>
      <c r="I9" s="9" t="s">
        <v>165</v>
      </c>
      <c r="J9" s="9"/>
      <c r="K9" s="8" t="s">
        <v>166</v>
      </c>
      <c r="L9" s="8" t="s">
        <v>167</v>
      </c>
      <c r="M9" s="8" t="s">
        <v>168</v>
      </c>
      <c r="N9" s="9"/>
      <c r="O9" s="8" t="s">
        <v>138</v>
      </c>
      <c r="P9" s="9"/>
      <c r="Q9" s="9"/>
      <c r="R9" s="9"/>
      <c r="S9" s="21" t="str">
        <f>"340,0"</f>
        <v>340,0</v>
      </c>
      <c r="T9" s="22" t="str">
        <f>"390,2520"</f>
        <v>390,2520</v>
      </c>
      <c r="U9" s="7" t="s">
        <v>169</v>
      </c>
    </row>
    <row r="11" spans="1:21" ht="16">
      <c r="A11" s="35" t="s">
        <v>170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21">
      <c r="A12" s="7" t="s">
        <v>172</v>
      </c>
      <c r="B12" s="7" t="s">
        <v>173</v>
      </c>
      <c r="C12" s="7" t="s">
        <v>174</v>
      </c>
      <c r="D12" s="7" t="s">
        <v>949</v>
      </c>
      <c r="E12" s="7" t="s">
        <v>16</v>
      </c>
      <c r="F12" s="7" t="s">
        <v>31</v>
      </c>
      <c r="G12" s="8" t="s">
        <v>126</v>
      </c>
      <c r="H12" s="8" t="s">
        <v>165</v>
      </c>
      <c r="I12" s="8" t="s">
        <v>175</v>
      </c>
      <c r="J12" s="9"/>
      <c r="K12" s="8" t="s">
        <v>176</v>
      </c>
      <c r="L12" s="8" t="s">
        <v>177</v>
      </c>
      <c r="M12" s="9" t="s">
        <v>178</v>
      </c>
      <c r="N12" s="9"/>
      <c r="O12" s="8" t="s">
        <v>20</v>
      </c>
      <c r="P12" s="8" t="s">
        <v>165</v>
      </c>
      <c r="Q12" s="8" t="s">
        <v>179</v>
      </c>
      <c r="R12" s="9"/>
      <c r="S12" s="21" t="str">
        <f>"405,0"</f>
        <v>405,0</v>
      </c>
      <c r="T12" s="22" t="str">
        <f>"421,0785"</f>
        <v>421,0785</v>
      </c>
      <c r="U12" s="7" t="s">
        <v>935</v>
      </c>
    </row>
    <row r="14" spans="1:21" ht="16">
      <c r="A14" s="35" t="s">
        <v>180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21">
      <c r="A15" s="10" t="s">
        <v>182</v>
      </c>
      <c r="B15" s="10" t="s">
        <v>183</v>
      </c>
      <c r="C15" s="10" t="s">
        <v>184</v>
      </c>
      <c r="D15" s="10" t="s">
        <v>949</v>
      </c>
      <c r="E15" s="10" t="s">
        <v>16</v>
      </c>
      <c r="F15" s="10" t="s">
        <v>185</v>
      </c>
      <c r="G15" s="11" t="s">
        <v>186</v>
      </c>
      <c r="H15" s="11" t="s">
        <v>51</v>
      </c>
      <c r="I15" s="11" t="s">
        <v>46</v>
      </c>
      <c r="J15" s="12"/>
      <c r="K15" s="11" t="s">
        <v>175</v>
      </c>
      <c r="L15" s="11" t="s">
        <v>187</v>
      </c>
      <c r="M15" s="11" t="s">
        <v>49</v>
      </c>
      <c r="N15" s="12"/>
      <c r="O15" s="11" t="s">
        <v>186</v>
      </c>
      <c r="P15" s="11" t="s">
        <v>83</v>
      </c>
      <c r="Q15" s="11" t="s">
        <v>188</v>
      </c>
      <c r="R15" s="12"/>
      <c r="S15" s="23" t="str">
        <f>"727,5"</f>
        <v>727,5</v>
      </c>
      <c r="T15" s="24" t="str">
        <f>"416,1300"</f>
        <v>416,1300</v>
      </c>
      <c r="U15" s="10" t="s">
        <v>189</v>
      </c>
    </row>
    <row r="16" spans="1:21">
      <c r="A16" s="16" t="s">
        <v>182</v>
      </c>
      <c r="B16" s="16" t="s">
        <v>190</v>
      </c>
      <c r="C16" s="16" t="s">
        <v>184</v>
      </c>
      <c r="D16" s="16" t="s">
        <v>951</v>
      </c>
      <c r="E16" s="16" t="s">
        <v>16</v>
      </c>
      <c r="F16" s="16" t="s">
        <v>185</v>
      </c>
      <c r="G16" s="17" t="s">
        <v>186</v>
      </c>
      <c r="H16" s="17" t="s">
        <v>51</v>
      </c>
      <c r="I16" s="17" t="s">
        <v>46</v>
      </c>
      <c r="J16" s="18"/>
      <c r="K16" s="17" t="s">
        <v>175</v>
      </c>
      <c r="L16" s="17" t="s">
        <v>187</v>
      </c>
      <c r="M16" s="17" t="s">
        <v>49</v>
      </c>
      <c r="N16" s="18"/>
      <c r="O16" s="17" t="s">
        <v>186</v>
      </c>
      <c r="P16" s="17" t="s">
        <v>83</v>
      </c>
      <c r="Q16" s="17" t="s">
        <v>188</v>
      </c>
      <c r="R16" s="18"/>
      <c r="S16" s="27" t="str">
        <f>"727,5"</f>
        <v>727,5</v>
      </c>
      <c r="T16" s="28" t="str">
        <f>"444,4269"</f>
        <v>444,4269</v>
      </c>
      <c r="U16" s="16" t="s">
        <v>189</v>
      </c>
    </row>
    <row r="18" spans="1:5" ht="16">
      <c r="E18" s="19" t="s">
        <v>88</v>
      </c>
    </row>
    <row r="19" spans="1:5" ht="16">
      <c r="E19" s="19" t="s">
        <v>89</v>
      </c>
    </row>
    <row r="20" spans="1:5" ht="16">
      <c r="E20" s="19" t="s">
        <v>90</v>
      </c>
    </row>
    <row r="21" spans="1:5" ht="16">
      <c r="E21" s="19" t="s">
        <v>91</v>
      </c>
    </row>
    <row r="22" spans="1:5" ht="16">
      <c r="E22" s="19" t="s">
        <v>91</v>
      </c>
    </row>
    <row r="23" spans="1:5" ht="16">
      <c r="E23" s="19" t="s">
        <v>92</v>
      </c>
    </row>
    <row r="24" spans="1:5" ht="16">
      <c r="E24" s="19"/>
    </row>
    <row r="26" spans="1:5" ht="18">
      <c r="A26" s="29" t="s">
        <v>93</v>
      </c>
      <c r="B26" s="29"/>
    </row>
    <row r="27" spans="1:5" ht="16">
      <c r="A27" s="30" t="s">
        <v>94</v>
      </c>
      <c r="B27" s="30"/>
    </row>
    <row r="28" spans="1:5" ht="14">
      <c r="A28" s="32"/>
      <c r="B28" s="33" t="s">
        <v>95</v>
      </c>
    </row>
    <row r="29" spans="1:5" ht="14">
      <c r="A29" s="6" t="s">
        <v>96</v>
      </c>
      <c r="B29" s="6" t="s">
        <v>97</v>
      </c>
      <c r="C29" s="6" t="s">
        <v>98</v>
      </c>
      <c r="D29" s="6" t="s">
        <v>99</v>
      </c>
      <c r="E29" s="6" t="s">
        <v>100</v>
      </c>
    </row>
    <row r="30" spans="1:5">
      <c r="A30" s="31" t="s">
        <v>171</v>
      </c>
      <c r="B30" s="4" t="s">
        <v>95</v>
      </c>
      <c r="C30" s="4" t="s">
        <v>191</v>
      </c>
      <c r="D30" s="4" t="s">
        <v>192</v>
      </c>
      <c r="E30" s="20" t="s">
        <v>193</v>
      </c>
    </row>
    <row r="31" spans="1:5">
      <c r="A31" s="31" t="s">
        <v>161</v>
      </c>
      <c r="B31" s="4" t="s">
        <v>95</v>
      </c>
      <c r="C31" s="4" t="s">
        <v>194</v>
      </c>
      <c r="D31" s="4" t="s">
        <v>195</v>
      </c>
      <c r="E31" s="20" t="s">
        <v>196</v>
      </c>
    </row>
    <row r="32" spans="1:5">
      <c r="A32" s="31" t="s">
        <v>151</v>
      </c>
      <c r="B32" s="4" t="s">
        <v>95</v>
      </c>
      <c r="C32" s="4" t="s">
        <v>197</v>
      </c>
      <c r="D32" s="4" t="s">
        <v>198</v>
      </c>
      <c r="E32" s="20" t="s">
        <v>199</v>
      </c>
    </row>
    <row r="35" spans="1:5" ht="16">
      <c r="A35" s="30" t="s">
        <v>104</v>
      </c>
      <c r="B35" s="30"/>
    </row>
    <row r="36" spans="1:5" ht="14">
      <c r="A36" s="32"/>
      <c r="B36" s="33" t="s">
        <v>95</v>
      </c>
    </row>
    <row r="37" spans="1:5" ht="14">
      <c r="A37" s="6" t="s">
        <v>96</v>
      </c>
      <c r="B37" s="6" t="s">
        <v>97</v>
      </c>
      <c r="C37" s="6" t="s">
        <v>98</v>
      </c>
      <c r="D37" s="6" t="s">
        <v>99</v>
      </c>
      <c r="E37" s="6" t="s">
        <v>100</v>
      </c>
    </row>
    <row r="38" spans="1:5">
      <c r="A38" s="31" t="s">
        <v>181</v>
      </c>
      <c r="B38" s="4" t="s">
        <v>95</v>
      </c>
      <c r="C38" s="4" t="s">
        <v>200</v>
      </c>
      <c r="D38" s="4" t="s">
        <v>201</v>
      </c>
      <c r="E38" s="20" t="s">
        <v>202</v>
      </c>
    </row>
    <row r="40" spans="1:5" ht="14">
      <c r="A40" s="32"/>
      <c r="B40" s="33" t="s">
        <v>146</v>
      </c>
    </row>
    <row r="41" spans="1:5" ht="14">
      <c r="A41" s="6" t="s">
        <v>96</v>
      </c>
      <c r="B41" s="6" t="s">
        <v>97</v>
      </c>
      <c r="C41" s="6" t="s">
        <v>98</v>
      </c>
      <c r="D41" s="6" t="s">
        <v>99</v>
      </c>
      <c r="E41" s="6" t="s">
        <v>100</v>
      </c>
    </row>
    <row r="42" spans="1:5">
      <c r="A42" s="31" t="s">
        <v>181</v>
      </c>
      <c r="B42" s="4" t="s">
        <v>203</v>
      </c>
      <c r="C42" s="4" t="s">
        <v>200</v>
      </c>
      <c r="D42" s="4" t="s">
        <v>201</v>
      </c>
      <c r="E42" s="20" t="s">
        <v>204</v>
      </c>
    </row>
  </sheetData>
  <mergeCells count="17"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4:R14"/>
    <mergeCell ref="S3:S4"/>
    <mergeCell ref="T3:T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tabColor theme="3" tint="0.59999389629810485"/>
    <pageSetUpPr fitToPage="1"/>
  </sheetPr>
  <dimension ref="A1:U43"/>
  <sheetViews>
    <sheetView workbookViewId="0">
      <selection activeCell="D20" sqref="D20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8.5" style="4" bestFit="1" customWidth="1"/>
    <col min="5" max="5" width="22.6640625" style="4" bestFit="1" customWidth="1"/>
    <col min="6" max="6" width="27.5" style="4" bestFit="1" customWidth="1"/>
    <col min="7" max="9" width="5.5" style="3" customWidth="1"/>
    <col min="10" max="10" width="4.83203125" style="3" customWidth="1"/>
    <col min="11" max="13" width="5.5" style="3" customWidth="1"/>
    <col min="14" max="14" width="4.83203125" style="3" customWidth="1"/>
    <col min="15" max="17" width="5.5" style="3" customWidth="1"/>
    <col min="18" max="18" width="4.83203125" style="3" customWidth="1"/>
    <col min="19" max="19" width="7.83203125" style="20" bestFit="1" customWidth="1"/>
    <col min="20" max="20" width="8.5" style="2" bestFit="1" customWidth="1"/>
    <col min="21" max="21" width="13.5" style="4" bestFit="1" customWidth="1"/>
    <col min="22" max="16384" width="9.1640625" style="3"/>
  </cols>
  <sheetData>
    <row r="1" spans="1:21" s="2" customFormat="1" ht="29" customHeight="1">
      <c r="A1" s="42" t="s">
        <v>882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>
      <c r="A3" s="48" t="s">
        <v>0</v>
      </c>
      <c r="B3" s="50" t="s">
        <v>946</v>
      </c>
      <c r="C3" s="50" t="s">
        <v>7</v>
      </c>
      <c r="D3" s="36" t="s">
        <v>947</v>
      </c>
      <c r="E3" s="36" t="s">
        <v>4</v>
      </c>
      <c r="F3" s="36" t="s">
        <v>6</v>
      </c>
      <c r="G3" s="36" t="s">
        <v>8</v>
      </c>
      <c r="H3" s="36"/>
      <c r="I3" s="36"/>
      <c r="J3" s="36"/>
      <c r="K3" s="36" t="s">
        <v>9</v>
      </c>
      <c r="L3" s="36"/>
      <c r="M3" s="36"/>
      <c r="N3" s="36"/>
      <c r="O3" s="36" t="s">
        <v>10</v>
      </c>
      <c r="P3" s="36"/>
      <c r="Q3" s="36"/>
      <c r="R3" s="36"/>
      <c r="S3" s="36" t="s">
        <v>1</v>
      </c>
      <c r="T3" s="36" t="s">
        <v>3</v>
      </c>
      <c r="U3" s="38" t="s">
        <v>2</v>
      </c>
    </row>
    <row r="4" spans="1:21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7"/>
      <c r="T4" s="37"/>
      <c r="U4" s="39"/>
    </row>
    <row r="5" spans="1:21" ht="16">
      <c r="A5" s="40" t="s">
        <v>11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7" t="s">
        <v>13</v>
      </c>
      <c r="B6" s="7" t="s">
        <v>14</v>
      </c>
      <c r="C6" s="7" t="s">
        <v>15</v>
      </c>
      <c r="D6" s="7" t="s">
        <v>949</v>
      </c>
      <c r="E6" s="7" t="s">
        <v>16</v>
      </c>
      <c r="F6" s="7" t="s">
        <v>17</v>
      </c>
      <c r="G6" s="8" t="s">
        <v>18</v>
      </c>
      <c r="H6" s="8" t="s">
        <v>19</v>
      </c>
      <c r="I6" s="8" t="s">
        <v>20</v>
      </c>
      <c r="J6" s="9"/>
      <c r="K6" s="8" t="s">
        <v>21</v>
      </c>
      <c r="L6" s="8" t="s">
        <v>22</v>
      </c>
      <c r="M6" s="8" t="s">
        <v>23</v>
      </c>
      <c r="N6" s="9"/>
      <c r="O6" s="8" t="s">
        <v>18</v>
      </c>
      <c r="P6" s="8" t="s">
        <v>24</v>
      </c>
      <c r="Q6" s="9" t="s">
        <v>25</v>
      </c>
      <c r="R6" s="9"/>
      <c r="S6" s="21" t="str">
        <f>"322,5"</f>
        <v>322,5</v>
      </c>
      <c r="T6" s="22" t="str">
        <f>"381,0660"</f>
        <v>381,0660</v>
      </c>
      <c r="U6" s="7" t="s">
        <v>934</v>
      </c>
    </row>
    <row r="8" spans="1:21" ht="16">
      <c r="A8" s="35" t="s">
        <v>26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21">
      <c r="A9" s="7" t="s">
        <v>28</v>
      </c>
      <c r="B9" s="7" t="s">
        <v>29</v>
      </c>
      <c r="C9" s="7" t="s">
        <v>30</v>
      </c>
      <c r="D9" s="7" t="s">
        <v>949</v>
      </c>
      <c r="E9" s="7" t="s">
        <v>16</v>
      </c>
      <c r="F9" s="7" t="s">
        <v>31</v>
      </c>
      <c r="G9" s="8" t="s">
        <v>32</v>
      </c>
      <c r="H9" s="8" t="s">
        <v>33</v>
      </c>
      <c r="I9" s="9" t="s">
        <v>34</v>
      </c>
      <c r="J9" s="9"/>
      <c r="K9" s="8" t="s">
        <v>35</v>
      </c>
      <c r="L9" s="8" t="s">
        <v>36</v>
      </c>
      <c r="M9" s="9"/>
      <c r="N9" s="9"/>
      <c r="O9" s="8" t="s">
        <v>32</v>
      </c>
      <c r="P9" s="8" t="s">
        <v>33</v>
      </c>
      <c r="Q9" s="9" t="s">
        <v>37</v>
      </c>
      <c r="R9" s="9"/>
      <c r="S9" s="21" t="str">
        <f>"587,5"</f>
        <v>587,5</v>
      </c>
      <c r="T9" s="22" t="str">
        <f>"395,6225"</f>
        <v>395,6225</v>
      </c>
      <c r="U9" s="7" t="s">
        <v>935</v>
      </c>
    </row>
    <row r="11" spans="1:21" ht="16">
      <c r="A11" s="35" t="s">
        <v>38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21">
      <c r="A12" s="10" t="s">
        <v>40</v>
      </c>
      <c r="B12" s="10" t="s">
        <v>41</v>
      </c>
      <c r="C12" s="10" t="s">
        <v>42</v>
      </c>
      <c r="D12" s="10" t="s">
        <v>949</v>
      </c>
      <c r="E12" s="10" t="s">
        <v>16</v>
      </c>
      <c r="F12" s="10" t="s">
        <v>43</v>
      </c>
      <c r="G12" s="11" t="s">
        <v>44</v>
      </c>
      <c r="H12" s="12" t="s">
        <v>45</v>
      </c>
      <c r="I12" s="12" t="s">
        <v>46</v>
      </c>
      <c r="J12" s="12"/>
      <c r="K12" s="11" t="s">
        <v>47</v>
      </c>
      <c r="L12" s="11" t="s">
        <v>48</v>
      </c>
      <c r="M12" s="11" t="s">
        <v>49</v>
      </c>
      <c r="N12" s="12"/>
      <c r="O12" s="11" t="s">
        <v>50</v>
      </c>
      <c r="P12" s="11" t="s">
        <v>44</v>
      </c>
      <c r="Q12" s="12" t="s">
        <v>51</v>
      </c>
      <c r="R12" s="12"/>
      <c r="S12" s="23" t="str">
        <f>"690,0"</f>
        <v>690,0</v>
      </c>
      <c r="T12" s="24" t="str">
        <f>"423,7980"</f>
        <v>423,7980</v>
      </c>
      <c r="U12" s="10" t="s">
        <v>52</v>
      </c>
    </row>
    <row r="13" spans="1:21">
      <c r="A13" s="13" t="s">
        <v>53</v>
      </c>
      <c r="B13" s="13" t="s">
        <v>54</v>
      </c>
      <c r="C13" s="13" t="s">
        <v>55</v>
      </c>
      <c r="D13" s="13" t="s">
        <v>949</v>
      </c>
      <c r="E13" s="13" t="s">
        <v>16</v>
      </c>
      <c r="F13" s="13" t="s">
        <v>56</v>
      </c>
      <c r="G13" s="14" t="s">
        <v>51</v>
      </c>
      <c r="H13" s="15" t="s">
        <v>57</v>
      </c>
      <c r="I13" s="15"/>
      <c r="J13" s="15"/>
      <c r="K13" s="15" t="s">
        <v>58</v>
      </c>
      <c r="L13" s="15"/>
      <c r="M13" s="15"/>
      <c r="N13" s="15"/>
      <c r="O13" s="15" t="s">
        <v>50</v>
      </c>
      <c r="P13" s="15"/>
      <c r="Q13" s="15"/>
      <c r="R13" s="15"/>
      <c r="S13" s="25" t="str">
        <f>"0.00"</f>
        <v>0.00</v>
      </c>
      <c r="T13" s="26" t="str">
        <f>"0,0000"</f>
        <v>0,0000</v>
      </c>
      <c r="U13" s="13" t="s">
        <v>59</v>
      </c>
    </row>
    <row r="14" spans="1:21">
      <c r="A14" s="16" t="s">
        <v>53</v>
      </c>
      <c r="B14" s="16" t="s">
        <v>60</v>
      </c>
      <c r="C14" s="16" t="s">
        <v>55</v>
      </c>
      <c r="D14" s="16" t="s">
        <v>952</v>
      </c>
      <c r="E14" s="16" t="s">
        <v>16</v>
      </c>
      <c r="F14" s="16" t="s">
        <v>56</v>
      </c>
      <c r="G14" s="17" t="s">
        <v>51</v>
      </c>
      <c r="H14" s="18" t="s">
        <v>57</v>
      </c>
      <c r="I14" s="18"/>
      <c r="J14" s="18"/>
      <c r="K14" s="18" t="s">
        <v>58</v>
      </c>
      <c r="L14" s="18"/>
      <c r="M14" s="18"/>
      <c r="N14" s="18"/>
      <c r="O14" s="18" t="s">
        <v>50</v>
      </c>
      <c r="P14" s="18"/>
      <c r="Q14" s="18"/>
      <c r="R14" s="18"/>
      <c r="S14" s="27" t="str">
        <f>"0.00"</f>
        <v>0.00</v>
      </c>
      <c r="T14" s="28" t="str">
        <f>"0,0000"</f>
        <v>0,0000</v>
      </c>
      <c r="U14" s="16" t="s">
        <v>59</v>
      </c>
    </row>
    <row r="16" spans="1:21" ht="16">
      <c r="A16" s="35" t="s">
        <v>61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21">
      <c r="A17" s="10" t="s">
        <v>63</v>
      </c>
      <c r="B17" s="10" t="s">
        <v>64</v>
      </c>
      <c r="C17" s="10" t="s">
        <v>65</v>
      </c>
      <c r="D17" s="10" t="s">
        <v>949</v>
      </c>
      <c r="E17" s="10" t="s">
        <v>16</v>
      </c>
      <c r="F17" s="10" t="s">
        <v>66</v>
      </c>
      <c r="G17" s="11" t="s">
        <v>67</v>
      </c>
      <c r="H17" s="11" t="s">
        <v>68</v>
      </c>
      <c r="I17" s="11" t="s">
        <v>69</v>
      </c>
      <c r="J17" s="12"/>
      <c r="K17" s="11" t="s">
        <v>32</v>
      </c>
      <c r="L17" s="11" t="s">
        <v>70</v>
      </c>
      <c r="M17" s="12" t="s">
        <v>71</v>
      </c>
      <c r="N17" s="12"/>
      <c r="O17" s="11" t="s">
        <v>67</v>
      </c>
      <c r="P17" s="11" t="s">
        <v>68</v>
      </c>
      <c r="Q17" s="12"/>
      <c r="R17" s="12"/>
      <c r="S17" s="23" t="str">
        <f>"977,5"</f>
        <v>977,5</v>
      </c>
      <c r="T17" s="24" t="s">
        <v>887</v>
      </c>
      <c r="U17" s="10" t="s">
        <v>890</v>
      </c>
    </row>
    <row r="18" spans="1:21">
      <c r="A18" s="13" t="s">
        <v>73</v>
      </c>
      <c r="B18" s="13" t="s">
        <v>74</v>
      </c>
      <c r="C18" s="13" t="s">
        <v>75</v>
      </c>
      <c r="D18" s="13" t="s">
        <v>949</v>
      </c>
      <c r="E18" s="13" t="s">
        <v>16</v>
      </c>
      <c r="F18" s="13" t="s">
        <v>43</v>
      </c>
      <c r="G18" s="14" t="s">
        <v>46</v>
      </c>
      <c r="H18" s="15" t="s">
        <v>57</v>
      </c>
      <c r="I18" s="15"/>
      <c r="J18" s="15"/>
      <c r="K18" s="14" t="s">
        <v>70</v>
      </c>
      <c r="L18" s="14" t="s">
        <v>71</v>
      </c>
      <c r="M18" s="15" t="s">
        <v>76</v>
      </c>
      <c r="N18" s="15"/>
      <c r="O18" s="14" t="s">
        <v>77</v>
      </c>
      <c r="P18" s="15" t="s">
        <v>78</v>
      </c>
      <c r="Q18" s="15" t="s">
        <v>78</v>
      </c>
      <c r="R18" s="15"/>
      <c r="S18" s="25" t="str">
        <f>"802,5"</f>
        <v>802,5</v>
      </c>
      <c r="T18" s="26" t="str">
        <f>"477,6480"</f>
        <v>477,6480</v>
      </c>
      <c r="U18" s="13" t="s">
        <v>916</v>
      </c>
    </row>
    <row r="19" spans="1:21">
      <c r="A19" s="16" t="s">
        <v>80</v>
      </c>
      <c r="B19" s="16" t="s">
        <v>81</v>
      </c>
      <c r="C19" s="16" t="s">
        <v>82</v>
      </c>
      <c r="D19" s="16" t="s">
        <v>949</v>
      </c>
      <c r="E19" s="16" t="s">
        <v>16</v>
      </c>
      <c r="F19" s="16" t="s">
        <v>43</v>
      </c>
      <c r="G19" s="17" t="s">
        <v>50</v>
      </c>
      <c r="H19" s="17" t="s">
        <v>83</v>
      </c>
      <c r="I19" s="17" t="s">
        <v>46</v>
      </c>
      <c r="J19" s="18"/>
      <c r="K19" s="17" t="s">
        <v>48</v>
      </c>
      <c r="L19" s="17" t="s">
        <v>84</v>
      </c>
      <c r="M19" s="17" t="s">
        <v>85</v>
      </c>
      <c r="N19" s="18"/>
      <c r="O19" s="17" t="s">
        <v>86</v>
      </c>
      <c r="P19" s="17" t="s">
        <v>87</v>
      </c>
      <c r="Q19" s="18" t="s">
        <v>51</v>
      </c>
      <c r="R19" s="18"/>
      <c r="S19" s="27" t="str">
        <f>"710,0"</f>
        <v>710,0</v>
      </c>
      <c r="T19" s="28" t="str">
        <f>"421,2430"</f>
        <v>421,2430</v>
      </c>
      <c r="U19" s="16"/>
    </row>
    <row r="21" spans="1:21" ht="16">
      <c r="E21" s="19" t="s">
        <v>88</v>
      </c>
    </row>
    <row r="22" spans="1:21" ht="16">
      <c r="E22" s="19" t="s">
        <v>89</v>
      </c>
    </row>
    <row r="23" spans="1:21" ht="16">
      <c r="E23" s="19" t="s">
        <v>90</v>
      </c>
    </row>
    <row r="24" spans="1:21" ht="16">
      <c r="E24" s="19" t="s">
        <v>91</v>
      </c>
    </row>
    <row r="25" spans="1:21" ht="16">
      <c r="E25" s="19" t="s">
        <v>91</v>
      </c>
    </row>
    <row r="26" spans="1:21" ht="16">
      <c r="E26" s="19" t="s">
        <v>92</v>
      </c>
    </row>
    <row r="27" spans="1:21" ht="16">
      <c r="E27" s="19"/>
    </row>
    <row r="29" spans="1:21" ht="18">
      <c r="A29" s="29" t="s">
        <v>93</v>
      </c>
      <c r="B29" s="29"/>
    </row>
    <row r="30" spans="1:21" ht="16">
      <c r="A30" s="30" t="s">
        <v>94</v>
      </c>
      <c r="B30" s="30"/>
    </row>
    <row r="31" spans="1:21" ht="14">
      <c r="A31" s="32"/>
      <c r="B31" s="33" t="s">
        <v>95</v>
      </c>
    </row>
    <row r="32" spans="1:21" ht="14">
      <c r="A32" s="6" t="s">
        <v>96</v>
      </c>
      <c r="B32" s="6" t="s">
        <v>97</v>
      </c>
      <c r="C32" s="6" t="s">
        <v>98</v>
      </c>
      <c r="D32" s="6" t="s">
        <v>99</v>
      </c>
      <c r="E32" s="6" t="s">
        <v>100</v>
      </c>
    </row>
    <row r="33" spans="1:5">
      <c r="A33" s="31" t="s">
        <v>12</v>
      </c>
      <c r="B33" s="4" t="s">
        <v>95</v>
      </c>
      <c r="C33" s="4" t="s">
        <v>101</v>
      </c>
      <c r="D33" s="4" t="s">
        <v>102</v>
      </c>
      <c r="E33" s="20" t="s">
        <v>103</v>
      </c>
    </row>
    <row r="36" spans="1:5" ht="16">
      <c r="A36" s="30" t="s">
        <v>104</v>
      </c>
      <c r="B36" s="30"/>
    </row>
    <row r="37" spans="1:5" ht="14">
      <c r="A37" s="32"/>
      <c r="B37" s="33" t="s">
        <v>95</v>
      </c>
    </row>
    <row r="38" spans="1:5" ht="14">
      <c r="A38" s="6" t="s">
        <v>96</v>
      </c>
      <c r="B38" s="6" t="s">
        <v>97</v>
      </c>
      <c r="C38" s="6" t="s">
        <v>98</v>
      </c>
      <c r="D38" s="6" t="s">
        <v>99</v>
      </c>
      <c r="E38" s="6" t="s">
        <v>100</v>
      </c>
    </row>
    <row r="39" spans="1:5">
      <c r="A39" s="31" t="s">
        <v>62</v>
      </c>
      <c r="B39" s="4" t="s">
        <v>95</v>
      </c>
      <c r="C39" s="4" t="s">
        <v>105</v>
      </c>
      <c r="D39" s="4" t="s">
        <v>106</v>
      </c>
      <c r="E39" s="20" t="s">
        <v>107</v>
      </c>
    </row>
    <row r="40" spans="1:5">
      <c r="A40" s="31" t="s">
        <v>72</v>
      </c>
      <c r="B40" s="4" t="s">
        <v>95</v>
      </c>
      <c r="C40" s="4" t="s">
        <v>105</v>
      </c>
      <c r="D40" s="4" t="s">
        <v>108</v>
      </c>
      <c r="E40" s="20" t="s">
        <v>109</v>
      </c>
    </row>
    <row r="41" spans="1:5">
      <c r="A41" s="31" t="s">
        <v>39</v>
      </c>
      <c r="B41" s="4" t="s">
        <v>95</v>
      </c>
      <c r="C41" s="4" t="s">
        <v>110</v>
      </c>
      <c r="D41" s="4" t="s">
        <v>111</v>
      </c>
      <c r="E41" s="20" t="s">
        <v>112</v>
      </c>
    </row>
    <row r="42" spans="1:5">
      <c r="A42" s="31" t="s">
        <v>79</v>
      </c>
      <c r="B42" s="4" t="s">
        <v>95</v>
      </c>
      <c r="C42" s="4" t="s">
        <v>105</v>
      </c>
      <c r="D42" s="4" t="s">
        <v>113</v>
      </c>
      <c r="E42" s="20" t="s">
        <v>114</v>
      </c>
    </row>
    <row r="43" spans="1:5">
      <c r="A43" s="31" t="s">
        <v>27</v>
      </c>
      <c r="B43" s="4" t="s">
        <v>95</v>
      </c>
      <c r="C43" s="4" t="s">
        <v>115</v>
      </c>
      <c r="D43" s="4" t="s">
        <v>116</v>
      </c>
      <c r="E43" s="20" t="s">
        <v>117</v>
      </c>
    </row>
  </sheetData>
  <mergeCells count="17"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  <mergeCell ref="A5:R5"/>
    <mergeCell ref="A8:R8"/>
    <mergeCell ref="A11:R11"/>
    <mergeCell ref="A16:R16"/>
    <mergeCell ref="D3:D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M152"/>
  <sheetViews>
    <sheetView topLeftCell="A66" workbookViewId="0">
      <selection activeCell="D81" sqref="D81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7.33203125" style="4" bestFit="1" customWidth="1"/>
    <col min="7" max="9" width="5.5" style="3" customWidth="1"/>
    <col min="10" max="10" width="4.83203125" style="3" customWidth="1"/>
    <col min="11" max="11" width="11.33203125" style="20" bestFit="1" customWidth="1"/>
    <col min="12" max="12" width="8.5" style="2" bestFit="1" customWidth="1"/>
    <col min="13" max="13" width="27" style="4" bestFit="1" customWidth="1"/>
    <col min="14" max="16384" width="9.1640625" style="3"/>
  </cols>
  <sheetData>
    <row r="1" spans="1:13" s="2" customFormat="1" ht="29" customHeight="1">
      <c r="A1" s="42" t="s">
        <v>879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946</v>
      </c>
      <c r="C3" s="50" t="s">
        <v>7</v>
      </c>
      <c r="D3" s="36" t="s">
        <v>947</v>
      </c>
      <c r="E3" s="36" t="s">
        <v>4</v>
      </c>
      <c r="F3" s="36" t="s">
        <v>6</v>
      </c>
      <c r="G3" s="36" t="s">
        <v>9</v>
      </c>
      <c r="H3" s="36"/>
      <c r="I3" s="36"/>
      <c r="J3" s="36"/>
      <c r="K3" s="36" t="s">
        <v>451</v>
      </c>
      <c r="L3" s="36" t="s">
        <v>3</v>
      </c>
      <c r="M3" s="38" t="s">
        <v>2</v>
      </c>
    </row>
    <row r="4" spans="1:13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6">
      <c r="A5" s="40" t="s">
        <v>205</v>
      </c>
      <c r="B5" s="41"/>
      <c r="C5" s="41"/>
      <c r="D5" s="41"/>
      <c r="E5" s="41"/>
      <c r="F5" s="41"/>
      <c r="G5" s="41"/>
      <c r="H5" s="41"/>
      <c r="I5" s="41"/>
      <c r="J5" s="41"/>
    </row>
    <row r="6" spans="1:13">
      <c r="A6" s="7" t="s">
        <v>463</v>
      </c>
      <c r="B6" s="7" t="s">
        <v>464</v>
      </c>
      <c r="C6" s="7" t="s">
        <v>220</v>
      </c>
      <c r="D6" s="7" t="s">
        <v>948</v>
      </c>
      <c r="E6" s="7" t="s">
        <v>16</v>
      </c>
      <c r="F6" s="7" t="s">
        <v>43</v>
      </c>
      <c r="G6" s="9" t="s">
        <v>212</v>
      </c>
      <c r="H6" s="9" t="s">
        <v>212</v>
      </c>
      <c r="I6" s="9" t="s">
        <v>212</v>
      </c>
      <c r="J6" s="9"/>
      <c r="K6" s="21" t="str">
        <f>"0.00"</f>
        <v>0.00</v>
      </c>
      <c r="L6" s="22" t="str">
        <f>"0,0000"</f>
        <v>0,0000</v>
      </c>
      <c r="M6" s="7" t="s">
        <v>918</v>
      </c>
    </row>
    <row r="8" spans="1:13" ht="16">
      <c r="A8" s="35" t="s">
        <v>150</v>
      </c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10" t="s">
        <v>465</v>
      </c>
      <c r="B9" s="10" t="s">
        <v>466</v>
      </c>
      <c r="C9" s="10" t="s">
        <v>467</v>
      </c>
      <c r="D9" s="10" t="s">
        <v>949</v>
      </c>
      <c r="E9" s="10" t="s">
        <v>16</v>
      </c>
      <c r="F9" s="10" t="s">
        <v>43</v>
      </c>
      <c r="G9" s="12" t="s">
        <v>157</v>
      </c>
      <c r="H9" s="12" t="s">
        <v>157</v>
      </c>
      <c r="I9" s="12" t="s">
        <v>157</v>
      </c>
      <c r="J9" s="12"/>
      <c r="K9" s="23" t="str">
        <f>"0.00"</f>
        <v>0.00</v>
      </c>
      <c r="L9" s="24" t="str">
        <f>"0,0000"</f>
        <v>0,0000</v>
      </c>
      <c r="M9" s="10" t="s">
        <v>918</v>
      </c>
    </row>
    <row r="10" spans="1:13">
      <c r="A10" s="16" t="s">
        <v>469</v>
      </c>
      <c r="B10" s="16" t="s">
        <v>470</v>
      </c>
      <c r="C10" s="16" t="s">
        <v>467</v>
      </c>
      <c r="D10" s="16" t="s">
        <v>954</v>
      </c>
      <c r="E10" s="16" t="s">
        <v>16</v>
      </c>
      <c r="F10" s="16" t="s">
        <v>43</v>
      </c>
      <c r="G10" s="17" t="s">
        <v>471</v>
      </c>
      <c r="H10" s="17" t="s">
        <v>157</v>
      </c>
      <c r="I10" s="18" t="s">
        <v>213</v>
      </c>
      <c r="J10" s="18"/>
      <c r="K10" s="27" t="str">
        <f>"40,0"</f>
        <v>40,0</v>
      </c>
      <c r="L10" s="28" t="str">
        <f>"59,0390"</f>
        <v>59,0390</v>
      </c>
      <c r="M10" s="16" t="s">
        <v>918</v>
      </c>
    </row>
    <row r="12" spans="1:13" ht="16">
      <c r="A12" s="35" t="s">
        <v>160</v>
      </c>
      <c r="B12" s="35"/>
      <c r="C12" s="35"/>
      <c r="D12" s="35"/>
      <c r="E12" s="35"/>
      <c r="F12" s="35"/>
      <c r="G12" s="35"/>
      <c r="H12" s="35"/>
      <c r="I12" s="35"/>
      <c r="J12" s="35"/>
    </row>
    <row r="13" spans="1:13">
      <c r="A13" s="7" t="s">
        <v>473</v>
      </c>
      <c r="B13" s="7" t="s">
        <v>474</v>
      </c>
      <c r="C13" s="7" t="s">
        <v>475</v>
      </c>
      <c r="D13" s="7" t="s">
        <v>949</v>
      </c>
      <c r="E13" s="7" t="s">
        <v>16</v>
      </c>
      <c r="F13" s="7" t="s">
        <v>43</v>
      </c>
      <c r="G13" s="8" t="s">
        <v>476</v>
      </c>
      <c r="H13" s="8" t="s">
        <v>230</v>
      </c>
      <c r="I13" s="9" t="s">
        <v>23</v>
      </c>
      <c r="J13" s="9"/>
      <c r="K13" s="21" t="str">
        <f>"62,5"</f>
        <v>62,5</v>
      </c>
      <c r="L13" s="22" t="str">
        <f>"69,8625"</f>
        <v>69,8625</v>
      </c>
      <c r="M13" s="7" t="s">
        <v>477</v>
      </c>
    </row>
    <row r="15" spans="1:13" ht="16">
      <c r="A15" s="35" t="s">
        <v>170</v>
      </c>
      <c r="B15" s="35"/>
      <c r="C15" s="35"/>
      <c r="D15" s="35"/>
      <c r="E15" s="35"/>
      <c r="F15" s="35"/>
      <c r="G15" s="35"/>
      <c r="H15" s="35"/>
      <c r="I15" s="35"/>
      <c r="J15" s="35"/>
    </row>
    <row r="16" spans="1:13">
      <c r="A16" s="10" t="s">
        <v>479</v>
      </c>
      <c r="B16" s="10" t="s">
        <v>480</v>
      </c>
      <c r="C16" s="10" t="s">
        <v>481</v>
      </c>
      <c r="D16" s="10" t="s">
        <v>949</v>
      </c>
      <c r="E16" s="10" t="s">
        <v>16</v>
      </c>
      <c r="F16" s="10" t="s">
        <v>43</v>
      </c>
      <c r="G16" s="11" t="s">
        <v>168</v>
      </c>
      <c r="H16" s="11" t="s">
        <v>210</v>
      </c>
      <c r="I16" s="12" t="s">
        <v>211</v>
      </c>
      <c r="J16" s="12"/>
      <c r="K16" s="23" t="str">
        <f>"80,0"</f>
        <v>80,0</v>
      </c>
      <c r="L16" s="24" t="str">
        <f>"87,6160"</f>
        <v>87,6160</v>
      </c>
      <c r="M16" s="10" t="s">
        <v>919</v>
      </c>
    </row>
    <row r="17" spans="1:13">
      <c r="A17" s="13" t="s">
        <v>483</v>
      </c>
      <c r="B17" s="13" t="s">
        <v>484</v>
      </c>
      <c r="C17" s="13" t="s">
        <v>485</v>
      </c>
      <c r="D17" s="13" t="s">
        <v>952</v>
      </c>
      <c r="E17" s="13" t="s">
        <v>16</v>
      </c>
      <c r="F17" s="13" t="s">
        <v>269</v>
      </c>
      <c r="G17" s="14" t="s">
        <v>23</v>
      </c>
      <c r="H17" s="15" t="s">
        <v>168</v>
      </c>
      <c r="I17" s="14" t="s">
        <v>168</v>
      </c>
      <c r="J17" s="15"/>
      <c r="K17" s="25" t="str">
        <f>"75,0"</f>
        <v>75,0</v>
      </c>
      <c r="L17" s="26" t="str">
        <f>"79,0934"</f>
        <v>79,0934</v>
      </c>
      <c r="M17" s="13" t="s">
        <v>52</v>
      </c>
    </row>
    <row r="18" spans="1:13">
      <c r="A18" s="13" t="s">
        <v>487</v>
      </c>
      <c r="B18" s="13" t="s">
        <v>488</v>
      </c>
      <c r="C18" s="13" t="s">
        <v>489</v>
      </c>
      <c r="D18" s="13" t="s">
        <v>952</v>
      </c>
      <c r="E18" s="13" t="s">
        <v>16</v>
      </c>
      <c r="F18" s="13" t="s">
        <v>490</v>
      </c>
      <c r="G18" s="14" t="s">
        <v>213</v>
      </c>
      <c r="H18" s="14" t="s">
        <v>158</v>
      </c>
      <c r="I18" s="15" t="s">
        <v>221</v>
      </c>
      <c r="J18" s="15"/>
      <c r="K18" s="25" t="str">
        <f>"45,0"</f>
        <v>45,0</v>
      </c>
      <c r="L18" s="26" t="str">
        <f>"47,6271"</f>
        <v>47,6271</v>
      </c>
      <c r="M18" s="13" t="s">
        <v>920</v>
      </c>
    </row>
    <row r="19" spans="1:13">
      <c r="A19" s="16" t="s">
        <v>492</v>
      </c>
      <c r="B19" s="16" t="s">
        <v>493</v>
      </c>
      <c r="C19" s="16" t="s">
        <v>494</v>
      </c>
      <c r="D19" s="16" t="s">
        <v>951</v>
      </c>
      <c r="E19" s="16" t="s">
        <v>16</v>
      </c>
      <c r="F19" s="16" t="s">
        <v>43</v>
      </c>
      <c r="G19" s="17" t="s">
        <v>168</v>
      </c>
      <c r="H19" s="17" t="s">
        <v>210</v>
      </c>
      <c r="I19" s="18" t="s">
        <v>495</v>
      </c>
      <c r="J19" s="18"/>
      <c r="K19" s="27" t="str">
        <f>"80,0"</f>
        <v>80,0</v>
      </c>
      <c r="L19" s="28" t="str">
        <f>"86,7885"</f>
        <v>86,7885</v>
      </c>
      <c r="M19" s="16" t="s">
        <v>921</v>
      </c>
    </row>
    <row r="21" spans="1:13" ht="16">
      <c r="A21" s="35" t="s">
        <v>26</v>
      </c>
      <c r="B21" s="35"/>
      <c r="C21" s="35"/>
      <c r="D21" s="35"/>
      <c r="E21" s="35"/>
      <c r="F21" s="35"/>
      <c r="G21" s="35"/>
      <c r="H21" s="35"/>
      <c r="I21" s="35"/>
      <c r="J21" s="35"/>
    </row>
    <row r="22" spans="1:13">
      <c r="A22" s="7" t="s">
        <v>497</v>
      </c>
      <c r="B22" s="7" t="s">
        <v>498</v>
      </c>
      <c r="C22" s="7" t="s">
        <v>357</v>
      </c>
      <c r="D22" s="7" t="s">
        <v>952</v>
      </c>
      <c r="E22" s="7" t="s">
        <v>16</v>
      </c>
      <c r="F22" s="7" t="s">
        <v>43</v>
      </c>
      <c r="G22" s="8" t="s">
        <v>212</v>
      </c>
      <c r="H22" s="8" t="s">
        <v>157</v>
      </c>
      <c r="I22" s="9" t="s">
        <v>158</v>
      </c>
      <c r="J22" s="9"/>
      <c r="K22" s="21" t="str">
        <f>"40,0"</f>
        <v>40,0</v>
      </c>
      <c r="L22" s="22" t="str">
        <f>"37,2109"</f>
        <v>37,2109</v>
      </c>
      <c r="M22" s="7"/>
    </row>
    <row r="24" spans="1:13" ht="16">
      <c r="A24" s="35" t="s">
        <v>264</v>
      </c>
      <c r="B24" s="35"/>
      <c r="C24" s="35"/>
      <c r="D24" s="35"/>
      <c r="E24" s="35"/>
      <c r="F24" s="35"/>
      <c r="G24" s="35"/>
      <c r="H24" s="35"/>
      <c r="I24" s="35"/>
      <c r="J24" s="35"/>
    </row>
    <row r="25" spans="1:13">
      <c r="A25" s="7" t="s">
        <v>500</v>
      </c>
      <c r="B25" s="7" t="s">
        <v>501</v>
      </c>
      <c r="C25" s="7" t="s">
        <v>502</v>
      </c>
      <c r="D25" s="7" t="s">
        <v>949</v>
      </c>
      <c r="E25" s="7" t="s">
        <v>16</v>
      </c>
      <c r="F25" s="7" t="s">
        <v>245</v>
      </c>
      <c r="G25" s="8" t="s">
        <v>230</v>
      </c>
      <c r="H25" s="9" t="s">
        <v>22</v>
      </c>
      <c r="I25" s="8" t="s">
        <v>22</v>
      </c>
      <c r="J25" s="9"/>
      <c r="K25" s="21" t="str">
        <f>"65,0"</f>
        <v>65,0</v>
      </c>
      <c r="L25" s="22" t="str">
        <f>"57,9995"</f>
        <v>57,9995</v>
      </c>
      <c r="M25" s="7" t="s">
        <v>922</v>
      </c>
    </row>
    <row r="27" spans="1:13" ht="16">
      <c r="A27" s="35" t="s">
        <v>11</v>
      </c>
      <c r="B27" s="35"/>
      <c r="C27" s="35"/>
      <c r="D27" s="35"/>
      <c r="E27" s="35"/>
      <c r="F27" s="35"/>
      <c r="G27" s="35"/>
      <c r="H27" s="35"/>
      <c r="I27" s="35"/>
      <c r="J27" s="35"/>
    </row>
    <row r="28" spans="1:13">
      <c r="A28" s="7" t="s">
        <v>504</v>
      </c>
      <c r="B28" s="7" t="s">
        <v>505</v>
      </c>
      <c r="C28" s="7" t="s">
        <v>506</v>
      </c>
      <c r="D28" s="7" t="s">
        <v>950</v>
      </c>
      <c r="E28" s="7" t="s">
        <v>16</v>
      </c>
      <c r="F28" s="7" t="s">
        <v>43</v>
      </c>
      <c r="G28" s="9" t="s">
        <v>507</v>
      </c>
      <c r="H28" s="8" t="s">
        <v>507</v>
      </c>
      <c r="I28" s="8" t="s">
        <v>471</v>
      </c>
      <c r="J28" s="9"/>
      <c r="K28" s="21" t="str">
        <f>"35,0"</f>
        <v>35,0</v>
      </c>
      <c r="L28" s="22" t="str">
        <f>"37,5480"</f>
        <v>37,5480</v>
      </c>
      <c r="M28" s="7" t="s">
        <v>923</v>
      </c>
    </row>
    <row r="30" spans="1:13" ht="16">
      <c r="A30" s="35" t="s">
        <v>160</v>
      </c>
      <c r="B30" s="35"/>
      <c r="C30" s="35"/>
      <c r="D30" s="35"/>
      <c r="E30" s="35"/>
      <c r="F30" s="35"/>
      <c r="G30" s="35"/>
      <c r="H30" s="35"/>
      <c r="I30" s="35"/>
      <c r="J30" s="35"/>
    </row>
    <row r="31" spans="1:13">
      <c r="A31" s="7" t="s">
        <v>509</v>
      </c>
      <c r="B31" s="7" t="s">
        <v>510</v>
      </c>
      <c r="C31" s="7" t="s">
        <v>511</v>
      </c>
      <c r="D31" s="7" t="s">
        <v>948</v>
      </c>
      <c r="E31" s="7" t="s">
        <v>16</v>
      </c>
      <c r="F31" s="7" t="s">
        <v>512</v>
      </c>
      <c r="G31" s="8" t="s">
        <v>214</v>
      </c>
      <c r="H31" s="9" t="s">
        <v>215</v>
      </c>
      <c r="I31" s="8" t="s">
        <v>215</v>
      </c>
      <c r="J31" s="9"/>
      <c r="K31" s="21" t="str">
        <f>"115,0"</f>
        <v>115,0</v>
      </c>
      <c r="L31" s="22" t="str">
        <f>"98,0835"</f>
        <v>98,0835</v>
      </c>
      <c r="M31" s="7"/>
    </row>
    <row r="33" spans="1:13" ht="16">
      <c r="A33" s="35" t="s">
        <v>170</v>
      </c>
      <c r="B33" s="35"/>
      <c r="C33" s="35"/>
      <c r="D33" s="35"/>
      <c r="E33" s="35"/>
      <c r="F33" s="35"/>
      <c r="G33" s="35"/>
      <c r="H33" s="35"/>
      <c r="I33" s="35"/>
      <c r="J33" s="35"/>
    </row>
    <row r="34" spans="1:13">
      <c r="A34" s="10" t="s">
        <v>514</v>
      </c>
      <c r="B34" s="10" t="s">
        <v>515</v>
      </c>
      <c r="C34" s="10" t="s">
        <v>516</v>
      </c>
      <c r="D34" s="10" t="s">
        <v>950</v>
      </c>
      <c r="E34" s="10" t="s">
        <v>16</v>
      </c>
      <c r="F34" s="10" t="s">
        <v>517</v>
      </c>
      <c r="G34" s="11" t="s">
        <v>155</v>
      </c>
      <c r="H34" s="11" t="s">
        <v>159</v>
      </c>
      <c r="I34" s="12" t="s">
        <v>215</v>
      </c>
      <c r="J34" s="12"/>
      <c r="K34" s="23" t="str">
        <f>"107,5"</f>
        <v>107,5</v>
      </c>
      <c r="L34" s="24" t="str">
        <f>"82,8825"</f>
        <v>82,8825</v>
      </c>
      <c r="M34" s="10" t="s">
        <v>52</v>
      </c>
    </row>
    <row r="35" spans="1:13">
      <c r="A35" s="13" t="s">
        <v>519</v>
      </c>
      <c r="B35" s="13" t="s">
        <v>520</v>
      </c>
      <c r="C35" s="13" t="s">
        <v>521</v>
      </c>
      <c r="D35" s="13" t="s">
        <v>950</v>
      </c>
      <c r="E35" s="13" t="s">
        <v>16</v>
      </c>
      <c r="F35" s="13" t="s">
        <v>522</v>
      </c>
      <c r="G35" s="14" t="s">
        <v>210</v>
      </c>
      <c r="H35" s="15" t="s">
        <v>211</v>
      </c>
      <c r="I35" s="14" t="s">
        <v>211</v>
      </c>
      <c r="J35" s="15"/>
      <c r="K35" s="25" t="str">
        <f>"85,0"</f>
        <v>85,0</v>
      </c>
      <c r="L35" s="26" t="str">
        <f>"71,3150"</f>
        <v>71,3150</v>
      </c>
      <c r="M35" s="13" t="s">
        <v>924</v>
      </c>
    </row>
    <row r="36" spans="1:13">
      <c r="A36" s="13" t="s">
        <v>524</v>
      </c>
      <c r="B36" s="13" t="s">
        <v>525</v>
      </c>
      <c r="C36" s="13" t="s">
        <v>526</v>
      </c>
      <c r="D36" s="13" t="s">
        <v>950</v>
      </c>
      <c r="E36" s="13" t="s">
        <v>16</v>
      </c>
      <c r="F36" s="13" t="s">
        <v>527</v>
      </c>
      <c r="G36" s="14" t="s">
        <v>528</v>
      </c>
      <c r="H36" s="14" t="s">
        <v>21</v>
      </c>
      <c r="I36" s="15" t="s">
        <v>22</v>
      </c>
      <c r="J36" s="15"/>
      <c r="K36" s="25" t="str">
        <f>"60,0"</f>
        <v>60,0</v>
      </c>
      <c r="L36" s="26" t="str">
        <f>"48,0240"</f>
        <v>48,0240</v>
      </c>
      <c r="M36" s="13" t="s">
        <v>925</v>
      </c>
    </row>
    <row r="37" spans="1:13">
      <c r="A37" s="16" t="s">
        <v>530</v>
      </c>
      <c r="B37" s="16" t="s">
        <v>531</v>
      </c>
      <c r="C37" s="16" t="s">
        <v>532</v>
      </c>
      <c r="D37" s="16" t="s">
        <v>954</v>
      </c>
      <c r="E37" s="16" t="s">
        <v>16</v>
      </c>
      <c r="F37" s="16" t="s">
        <v>43</v>
      </c>
      <c r="G37" s="17" t="s">
        <v>156</v>
      </c>
      <c r="H37" s="18" t="s">
        <v>214</v>
      </c>
      <c r="I37" s="18" t="s">
        <v>214</v>
      </c>
      <c r="J37" s="18"/>
      <c r="K37" s="27" t="str">
        <f>"105,0"</f>
        <v>105,0</v>
      </c>
      <c r="L37" s="28" t="str">
        <f>"98,0514"</f>
        <v>98,0514</v>
      </c>
      <c r="M37" s="16" t="s">
        <v>926</v>
      </c>
    </row>
    <row r="39" spans="1:13" ht="16">
      <c r="A39" s="35" t="s">
        <v>118</v>
      </c>
      <c r="B39" s="35"/>
      <c r="C39" s="35"/>
      <c r="D39" s="35"/>
      <c r="E39" s="35"/>
      <c r="F39" s="35"/>
      <c r="G39" s="35"/>
      <c r="H39" s="35"/>
      <c r="I39" s="35"/>
      <c r="J39" s="35"/>
    </row>
    <row r="40" spans="1:13">
      <c r="A40" s="7" t="s">
        <v>534</v>
      </c>
      <c r="B40" s="7" t="s">
        <v>535</v>
      </c>
      <c r="C40" s="7" t="s">
        <v>536</v>
      </c>
      <c r="D40" s="7" t="s">
        <v>948</v>
      </c>
      <c r="E40" s="7" t="s">
        <v>16</v>
      </c>
      <c r="F40" s="7" t="s">
        <v>185</v>
      </c>
      <c r="G40" s="8" t="s">
        <v>19</v>
      </c>
      <c r="H40" s="8" t="s">
        <v>138</v>
      </c>
      <c r="I40" s="8" t="s">
        <v>20</v>
      </c>
      <c r="J40" s="9"/>
      <c r="K40" s="21" t="str">
        <f>"130,0"</f>
        <v>130,0</v>
      </c>
      <c r="L40" s="22" t="str">
        <f>"94,8090"</f>
        <v>94,8090</v>
      </c>
      <c r="M40" s="7" t="s">
        <v>537</v>
      </c>
    </row>
    <row r="42" spans="1:13" ht="16">
      <c r="A42" s="35" t="s">
        <v>26</v>
      </c>
      <c r="B42" s="35"/>
      <c r="C42" s="35"/>
      <c r="D42" s="35"/>
      <c r="E42" s="35"/>
      <c r="F42" s="35"/>
      <c r="G42" s="35"/>
      <c r="H42" s="35"/>
      <c r="I42" s="35"/>
      <c r="J42" s="35"/>
    </row>
    <row r="43" spans="1:13">
      <c r="A43" s="10" t="s">
        <v>539</v>
      </c>
      <c r="B43" s="10" t="s">
        <v>540</v>
      </c>
      <c r="C43" s="10" t="s">
        <v>541</v>
      </c>
      <c r="D43" s="10" t="s">
        <v>948</v>
      </c>
      <c r="E43" s="10" t="s">
        <v>16</v>
      </c>
      <c r="F43" s="10" t="s">
        <v>43</v>
      </c>
      <c r="G43" s="11" t="s">
        <v>18</v>
      </c>
      <c r="H43" s="12" t="s">
        <v>215</v>
      </c>
      <c r="I43" s="12" t="s">
        <v>215</v>
      </c>
      <c r="J43" s="12"/>
      <c r="K43" s="23" t="str">
        <f>"110,0"</f>
        <v>110,0</v>
      </c>
      <c r="L43" s="24" t="str">
        <f>"74,9760"</f>
        <v>74,9760</v>
      </c>
      <c r="M43" s="10"/>
    </row>
    <row r="44" spans="1:13">
      <c r="A44" s="13" t="s">
        <v>543</v>
      </c>
      <c r="B44" s="13" t="s">
        <v>544</v>
      </c>
      <c r="C44" s="13" t="s">
        <v>261</v>
      </c>
      <c r="D44" s="13" t="s">
        <v>949</v>
      </c>
      <c r="E44" s="13" t="s">
        <v>16</v>
      </c>
      <c r="F44" s="13" t="s">
        <v>43</v>
      </c>
      <c r="G44" s="14" t="s">
        <v>58</v>
      </c>
      <c r="H44" s="14" t="s">
        <v>49</v>
      </c>
      <c r="I44" s="14" t="s">
        <v>257</v>
      </c>
      <c r="J44" s="15"/>
      <c r="K44" s="25" t="str">
        <f>"175,0"</f>
        <v>175,0</v>
      </c>
      <c r="L44" s="26" t="str">
        <f>"117,4950"</f>
        <v>117,4950</v>
      </c>
      <c r="M44" s="13" t="s">
        <v>927</v>
      </c>
    </row>
    <row r="45" spans="1:13">
      <c r="A45" s="13" t="s">
        <v>546</v>
      </c>
      <c r="B45" s="13" t="s">
        <v>547</v>
      </c>
      <c r="C45" s="13" t="s">
        <v>548</v>
      </c>
      <c r="D45" s="13" t="s">
        <v>949</v>
      </c>
      <c r="E45" s="13" t="s">
        <v>16</v>
      </c>
      <c r="F45" s="13" t="s">
        <v>43</v>
      </c>
      <c r="G45" s="14" t="s">
        <v>187</v>
      </c>
      <c r="H45" s="15" t="s">
        <v>49</v>
      </c>
      <c r="I45" s="15" t="s">
        <v>49</v>
      </c>
      <c r="J45" s="15"/>
      <c r="K45" s="25" t="str">
        <f>"162,5"</f>
        <v>162,5</v>
      </c>
      <c r="L45" s="26" t="str">
        <f>"108,8588"</f>
        <v>108,8588</v>
      </c>
      <c r="M45" s="13" t="s">
        <v>52</v>
      </c>
    </row>
    <row r="46" spans="1:13">
      <c r="A46" s="16" t="s">
        <v>549</v>
      </c>
      <c r="B46" s="16" t="s">
        <v>550</v>
      </c>
      <c r="C46" s="16" t="s">
        <v>551</v>
      </c>
      <c r="D46" s="16" t="s">
        <v>949</v>
      </c>
      <c r="E46" s="16" t="s">
        <v>16</v>
      </c>
      <c r="F46" s="16" t="s">
        <v>43</v>
      </c>
      <c r="G46" s="18" t="s">
        <v>24</v>
      </c>
      <c r="H46" s="18"/>
      <c r="I46" s="18"/>
      <c r="J46" s="18"/>
      <c r="K46" s="27" t="str">
        <f>"0.00"</f>
        <v>0.00</v>
      </c>
      <c r="L46" s="28" t="str">
        <f>"0,0000"</f>
        <v>0,0000</v>
      </c>
      <c r="M46" s="16"/>
    </row>
    <row r="48" spans="1:13" ht="16">
      <c r="A48" s="35" t="s">
        <v>264</v>
      </c>
      <c r="B48" s="35"/>
      <c r="C48" s="35"/>
      <c r="D48" s="35"/>
      <c r="E48" s="35"/>
      <c r="F48" s="35"/>
      <c r="G48" s="35"/>
      <c r="H48" s="35"/>
      <c r="I48" s="35"/>
      <c r="J48" s="35"/>
    </row>
    <row r="49" spans="1:13">
      <c r="A49" s="10" t="s">
        <v>553</v>
      </c>
      <c r="B49" s="10" t="s">
        <v>554</v>
      </c>
      <c r="C49" s="10" t="s">
        <v>555</v>
      </c>
      <c r="D49" s="10" t="s">
        <v>949</v>
      </c>
      <c r="E49" s="10" t="s">
        <v>16</v>
      </c>
      <c r="F49" s="10" t="s">
        <v>43</v>
      </c>
      <c r="G49" s="11" t="s">
        <v>139</v>
      </c>
      <c r="H49" s="11" t="s">
        <v>420</v>
      </c>
      <c r="I49" s="11" t="s">
        <v>124</v>
      </c>
      <c r="J49" s="12"/>
      <c r="K49" s="23" t="str">
        <f>"185,0"</f>
        <v>185,0</v>
      </c>
      <c r="L49" s="24" t="str">
        <f>"119,5655"</f>
        <v>119,5655</v>
      </c>
      <c r="M49" s="10" t="s">
        <v>556</v>
      </c>
    </row>
    <row r="50" spans="1:13">
      <c r="A50" s="13" t="s">
        <v>558</v>
      </c>
      <c r="B50" s="13" t="s">
        <v>559</v>
      </c>
      <c r="C50" s="13" t="s">
        <v>560</v>
      </c>
      <c r="D50" s="13" t="s">
        <v>954</v>
      </c>
      <c r="E50" s="13" t="s">
        <v>16</v>
      </c>
      <c r="F50" s="13" t="s">
        <v>490</v>
      </c>
      <c r="G50" s="14" t="s">
        <v>47</v>
      </c>
      <c r="H50" s="14" t="s">
        <v>175</v>
      </c>
      <c r="I50" s="14" t="s">
        <v>48</v>
      </c>
      <c r="J50" s="15"/>
      <c r="K50" s="25" t="str">
        <f>"160,0"</f>
        <v>160,0</v>
      </c>
      <c r="L50" s="26" t="str">
        <f>"116,0917"</f>
        <v>116,0917</v>
      </c>
      <c r="M50" s="13"/>
    </row>
    <row r="51" spans="1:13">
      <c r="A51" s="13" t="s">
        <v>562</v>
      </c>
      <c r="B51" s="13" t="s">
        <v>563</v>
      </c>
      <c r="C51" s="13" t="s">
        <v>564</v>
      </c>
      <c r="D51" s="13" t="s">
        <v>953</v>
      </c>
      <c r="E51" s="13" t="s">
        <v>16</v>
      </c>
      <c r="F51" s="13" t="s">
        <v>43</v>
      </c>
      <c r="G51" s="15" t="s">
        <v>20</v>
      </c>
      <c r="H51" s="14" t="s">
        <v>35</v>
      </c>
      <c r="I51" s="15" t="s">
        <v>165</v>
      </c>
      <c r="J51" s="15"/>
      <c r="K51" s="25" t="str">
        <f>"140,0"</f>
        <v>140,0</v>
      </c>
      <c r="L51" s="26" t="str">
        <f>"116,3289"</f>
        <v>116,3289</v>
      </c>
      <c r="M51" s="13" t="s">
        <v>52</v>
      </c>
    </row>
    <row r="52" spans="1:13">
      <c r="A52" s="13" t="s">
        <v>566</v>
      </c>
      <c r="B52" s="13" t="s">
        <v>567</v>
      </c>
      <c r="C52" s="13" t="s">
        <v>568</v>
      </c>
      <c r="D52" s="13" t="s">
        <v>955</v>
      </c>
      <c r="E52" s="13" t="s">
        <v>16</v>
      </c>
      <c r="F52" s="13" t="s">
        <v>43</v>
      </c>
      <c r="G52" s="15" t="s">
        <v>19</v>
      </c>
      <c r="H52" s="14" t="s">
        <v>19</v>
      </c>
      <c r="I52" s="15" t="s">
        <v>138</v>
      </c>
      <c r="J52" s="15"/>
      <c r="K52" s="25" t="str">
        <f>"120,0"</f>
        <v>120,0</v>
      </c>
      <c r="L52" s="26" t="str">
        <f>"106,7818"</f>
        <v>106,7818</v>
      </c>
      <c r="M52" s="13" t="s">
        <v>928</v>
      </c>
    </row>
    <row r="53" spans="1:13">
      <c r="A53" s="16" t="s">
        <v>570</v>
      </c>
      <c r="B53" s="16" t="s">
        <v>571</v>
      </c>
      <c r="C53" s="16" t="s">
        <v>572</v>
      </c>
      <c r="D53" s="16" t="s">
        <v>956</v>
      </c>
      <c r="E53" s="16" t="s">
        <v>16</v>
      </c>
      <c r="F53" s="16" t="s">
        <v>573</v>
      </c>
      <c r="G53" s="17" t="s">
        <v>18</v>
      </c>
      <c r="H53" s="17" t="s">
        <v>215</v>
      </c>
      <c r="I53" s="18" t="s">
        <v>223</v>
      </c>
      <c r="J53" s="18"/>
      <c r="K53" s="27" t="str">
        <f>"115,0"</f>
        <v>115,0</v>
      </c>
      <c r="L53" s="28" t="str">
        <f>"109,6088"</f>
        <v>109,6088</v>
      </c>
      <c r="M53" s="16" t="s">
        <v>929</v>
      </c>
    </row>
    <row r="55" spans="1:13" ht="16">
      <c r="A55" s="35" t="s">
        <v>38</v>
      </c>
      <c r="B55" s="35"/>
      <c r="C55" s="35"/>
      <c r="D55" s="35"/>
      <c r="E55" s="35"/>
      <c r="F55" s="35"/>
      <c r="G55" s="35"/>
      <c r="H55" s="35"/>
      <c r="I55" s="35"/>
      <c r="J55" s="35"/>
    </row>
    <row r="56" spans="1:13">
      <c r="A56" s="10" t="s">
        <v>575</v>
      </c>
      <c r="B56" s="10" t="s">
        <v>576</v>
      </c>
      <c r="C56" s="10" t="s">
        <v>577</v>
      </c>
      <c r="D56" s="10" t="s">
        <v>949</v>
      </c>
      <c r="E56" s="10" t="s">
        <v>16</v>
      </c>
      <c r="F56" s="10" t="s">
        <v>43</v>
      </c>
      <c r="G56" s="11" t="s">
        <v>58</v>
      </c>
      <c r="H56" s="12" t="s">
        <v>49</v>
      </c>
      <c r="I56" s="12" t="s">
        <v>49</v>
      </c>
      <c r="J56" s="12"/>
      <c r="K56" s="23" t="str">
        <f>"165,0"</f>
        <v>165,0</v>
      </c>
      <c r="L56" s="24" t="str">
        <f>"101,2440"</f>
        <v>101,2440</v>
      </c>
      <c r="M56" s="10"/>
    </row>
    <row r="57" spans="1:13">
      <c r="A57" s="13" t="s">
        <v>579</v>
      </c>
      <c r="B57" s="13" t="s">
        <v>580</v>
      </c>
      <c r="C57" s="13" t="s">
        <v>581</v>
      </c>
      <c r="D57" s="10" t="s">
        <v>949</v>
      </c>
      <c r="E57" s="13" t="s">
        <v>16</v>
      </c>
      <c r="F57" s="13" t="s">
        <v>56</v>
      </c>
      <c r="G57" s="14" t="s">
        <v>47</v>
      </c>
      <c r="H57" s="15" t="s">
        <v>48</v>
      </c>
      <c r="I57" s="14" t="s">
        <v>48</v>
      </c>
      <c r="J57" s="15"/>
      <c r="K57" s="25" t="str">
        <f>"160,0"</f>
        <v>160,0</v>
      </c>
      <c r="L57" s="26" t="str">
        <f>"99,3760"</f>
        <v>99,3760</v>
      </c>
      <c r="M57" s="13" t="s">
        <v>930</v>
      </c>
    </row>
    <row r="58" spans="1:13">
      <c r="A58" s="13" t="s">
        <v>583</v>
      </c>
      <c r="B58" s="13" t="s">
        <v>584</v>
      </c>
      <c r="C58" s="13" t="s">
        <v>585</v>
      </c>
      <c r="D58" s="10" t="s">
        <v>949</v>
      </c>
      <c r="E58" s="13" t="s">
        <v>16</v>
      </c>
      <c r="F58" s="13" t="s">
        <v>228</v>
      </c>
      <c r="G58" s="14" t="s">
        <v>165</v>
      </c>
      <c r="H58" s="14" t="s">
        <v>47</v>
      </c>
      <c r="I58" s="15" t="s">
        <v>175</v>
      </c>
      <c r="J58" s="15"/>
      <c r="K58" s="25" t="str">
        <f>"150,0"</f>
        <v>150,0</v>
      </c>
      <c r="L58" s="26" t="str">
        <f>"91,5900"</f>
        <v>91,5900</v>
      </c>
      <c r="M58" s="13" t="s">
        <v>52</v>
      </c>
    </row>
    <row r="59" spans="1:13">
      <c r="A59" s="13" t="s">
        <v>587</v>
      </c>
      <c r="B59" s="13" t="s">
        <v>588</v>
      </c>
      <c r="C59" s="13" t="s">
        <v>589</v>
      </c>
      <c r="D59" s="10" t="s">
        <v>949</v>
      </c>
      <c r="E59" s="13" t="s">
        <v>16</v>
      </c>
      <c r="F59" s="13" t="s">
        <v>590</v>
      </c>
      <c r="G59" s="14" t="s">
        <v>155</v>
      </c>
      <c r="H59" s="15" t="s">
        <v>156</v>
      </c>
      <c r="I59" s="15" t="s">
        <v>156</v>
      </c>
      <c r="J59" s="15"/>
      <c r="K59" s="25" t="str">
        <f>"100,0"</f>
        <v>100,0</v>
      </c>
      <c r="L59" s="26" t="str">
        <f>"62,6000"</f>
        <v>62,6000</v>
      </c>
      <c r="M59" s="13"/>
    </row>
    <row r="60" spans="1:13">
      <c r="A60" s="13" t="s">
        <v>591</v>
      </c>
      <c r="B60" s="13" t="s">
        <v>592</v>
      </c>
      <c r="C60" s="13" t="s">
        <v>593</v>
      </c>
      <c r="D60" s="10" t="s">
        <v>949</v>
      </c>
      <c r="E60" s="13" t="s">
        <v>16</v>
      </c>
      <c r="F60" s="13" t="s">
        <v>594</v>
      </c>
      <c r="G60" s="15" t="s">
        <v>48</v>
      </c>
      <c r="H60" s="15" t="s">
        <v>58</v>
      </c>
      <c r="I60" s="15" t="s">
        <v>58</v>
      </c>
      <c r="J60" s="15"/>
      <c r="K60" s="25" t="str">
        <f>"0.00"</f>
        <v>0.00</v>
      </c>
      <c r="L60" s="26" t="str">
        <f>"0,0000"</f>
        <v>0,0000</v>
      </c>
      <c r="M60" s="13"/>
    </row>
    <row r="61" spans="1:13">
      <c r="A61" s="13" t="s">
        <v>596</v>
      </c>
      <c r="B61" s="13" t="s">
        <v>597</v>
      </c>
      <c r="C61" s="13" t="s">
        <v>577</v>
      </c>
      <c r="D61" s="13" t="s">
        <v>952</v>
      </c>
      <c r="E61" s="13" t="s">
        <v>16</v>
      </c>
      <c r="F61" s="13" t="s">
        <v>43</v>
      </c>
      <c r="G61" s="14" t="s">
        <v>179</v>
      </c>
      <c r="H61" s="14" t="s">
        <v>279</v>
      </c>
      <c r="I61" s="14" t="s">
        <v>187</v>
      </c>
      <c r="J61" s="15"/>
      <c r="K61" s="25" t="str">
        <f>"162,5"</f>
        <v>162,5</v>
      </c>
      <c r="L61" s="26" t="str">
        <f>"103,9975"</f>
        <v>103,9975</v>
      </c>
      <c r="M61" s="13" t="s">
        <v>908</v>
      </c>
    </row>
    <row r="62" spans="1:13">
      <c r="A62" s="13" t="s">
        <v>599</v>
      </c>
      <c r="B62" s="13" t="s">
        <v>600</v>
      </c>
      <c r="C62" s="13" t="s">
        <v>601</v>
      </c>
      <c r="D62" s="13" t="s">
        <v>952</v>
      </c>
      <c r="E62" s="13" t="s">
        <v>16</v>
      </c>
      <c r="F62" s="13" t="s">
        <v>336</v>
      </c>
      <c r="G62" s="14" t="s">
        <v>165</v>
      </c>
      <c r="H62" s="15" t="s">
        <v>279</v>
      </c>
      <c r="I62" s="15" t="s">
        <v>279</v>
      </c>
      <c r="J62" s="15"/>
      <c r="K62" s="25" t="str">
        <f>"145,0"</f>
        <v>145,0</v>
      </c>
      <c r="L62" s="26" t="str">
        <f>"93,7184"</f>
        <v>93,7184</v>
      </c>
      <c r="M62" s="13"/>
    </row>
    <row r="63" spans="1:13">
      <c r="A63" s="16" t="s">
        <v>602</v>
      </c>
      <c r="B63" s="16" t="s">
        <v>603</v>
      </c>
      <c r="C63" s="16" t="s">
        <v>604</v>
      </c>
      <c r="D63" s="16" t="s">
        <v>952</v>
      </c>
      <c r="E63" s="16" t="s">
        <v>16</v>
      </c>
      <c r="F63" s="16" t="s">
        <v>605</v>
      </c>
      <c r="G63" s="18" t="s">
        <v>48</v>
      </c>
      <c r="H63" s="18" t="s">
        <v>58</v>
      </c>
      <c r="I63" s="18" t="s">
        <v>58</v>
      </c>
      <c r="J63" s="18"/>
      <c r="K63" s="27" t="str">
        <f>"0.00"</f>
        <v>0.00</v>
      </c>
      <c r="L63" s="28" t="str">
        <f>"0,0000"</f>
        <v>0,0000</v>
      </c>
      <c r="M63" s="16"/>
    </row>
    <row r="65" spans="1:13" ht="16">
      <c r="A65" s="35" t="s">
        <v>61</v>
      </c>
      <c r="B65" s="35"/>
      <c r="C65" s="35"/>
      <c r="D65" s="35"/>
      <c r="E65" s="35"/>
      <c r="F65" s="35"/>
      <c r="G65" s="35"/>
      <c r="H65" s="35"/>
      <c r="I65" s="35"/>
      <c r="J65" s="35"/>
    </row>
    <row r="66" spans="1:13">
      <c r="A66" s="10" t="s">
        <v>607</v>
      </c>
      <c r="B66" s="10" t="s">
        <v>608</v>
      </c>
      <c r="C66" s="10" t="s">
        <v>609</v>
      </c>
      <c r="D66" s="10" t="s">
        <v>949</v>
      </c>
      <c r="E66" s="10" t="s">
        <v>16</v>
      </c>
      <c r="F66" s="10" t="s">
        <v>31</v>
      </c>
      <c r="G66" s="11" t="s">
        <v>257</v>
      </c>
      <c r="H66" s="11" t="s">
        <v>124</v>
      </c>
      <c r="I66" s="11" t="s">
        <v>140</v>
      </c>
      <c r="J66" s="12"/>
      <c r="K66" s="23" t="str">
        <f>"190,0"</f>
        <v>190,0</v>
      </c>
      <c r="L66" s="24" t="str">
        <f>"112,8790"</f>
        <v>112,8790</v>
      </c>
      <c r="M66" s="10" t="s">
        <v>216</v>
      </c>
    </row>
    <row r="67" spans="1:13">
      <c r="A67" s="13" t="s">
        <v>611</v>
      </c>
      <c r="B67" s="13" t="s">
        <v>612</v>
      </c>
      <c r="C67" s="13" t="s">
        <v>613</v>
      </c>
      <c r="D67" s="10" t="s">
        <v>949</v>
      </c>
      <c r="E67" s="13" t="s">
        <v>16</v>
      </c>
      <c r="F67" s="13" t="s">
        <v>419</v>
      </c>
      <c r="G67" s="14" t="s">
        <v>49</v>
      </c>
      <c r="H67" s="14" t="s">
        <v>139</v>
      </c>
      <c r="I67" s="15" t="s">
        <v>420</v>
      </c>
      <c r="J67" s="15"/>
      <c r="K67" s="25" t="str">
        <f>"180,0"</f>
        <v>180,0</v>
      </c>
      <c r="L67" s="26" t="str">
        <f>"107,2080"</f>
        <v>107,2080</v>
      </c>
      <c r="M67" s="13" t="s">
        <v>931</v>
      </c>
    </row>
    <row r="68" spans="1:13">
      <c r="A68" s="13" t="s">
        <v>615</v>
      </c>
      <c r="B68" s="13" t="s">
        <v>616</v>
      </c>
      <c r="C68" s="13" t="s">
        <v>617</v>
      </c>
      <c r="D68" s="10" t="s">
        <v>949</v>
      </c>
      <c r="E68" s="13" t="s">
        <v>16</v>
      </c>
      <c r="F68" s="13" t="s">
        <v>522</v>
      </c>
      <c r="G68" s="14" t="s">
        <v>47</v>
      </c>
      <c r="H68" s="14" t="s">
        <v>48</v>
      </c>
      <c r="I68" s="15"/>
      <c r="J68" s="15"/>
      <c r="K68" s="25" t="str">
        <f>"160,0"</f>
        <v>160,0</v>
      </c>
      <c r="L68" s="26" t="str">
        <f>"96,9600"</f>
        <v>96,9600</v>
      </c>
      <c r="M68" s="13" t="s">
        <v>932</v>
      </c>
    </row>
    <row r="69" spans="1:13">
      <c r="A69" s="13" t="s">
        <v>619</v>
      </c>
      <c r="B69" s="13" t="s">
        <v>620</v>
      </c>
      <c r="C69" s="13" t="s">
        <v>621</v>
      </c>
      <c r="D69" s="10" t="s">
        <v>949</v>
      </c>
      <c r="E69" s="13" t="s">
        <v>16</v>
      </c>
      <c r="F69" s="13" t="s">
        <v>522</v>
      </c>
      <c r="G69" s="15" t="s">
        <v>47</v>
      </c>
      <c r="H69" s="14" t="s">
        <v>47</v>
      </c>
      <c r="I69" s="15" t="s">
        <v>48</v>
      </c>
      <c r="J69" s="15"/>
      <c r="K69" s="25" t="str">
        <f>"150,0"</f>
        <v>150,0</v>
      </c>
      <c r="L69" s="26" t="str">
        <f>"89,0850"</f>
        <v>89,0850</v>
      </c>
      <c r="M69" s="13" t="s">
        <v>924</v>
      </c>
    </row>
    <row r="70" spans="1:13">
      <c r="A70" s="13" t="s">
        <v>623</v>
      </c>
      <c r="B70" s="13" t="s">
        <v>624</v>
      </c>
      <c r="C70" s="13" t="s">
        <v>625</v>
      </c>
      <c r="D70" s="13" t="s">
        <v>951</v>
      </c>
      <c r="E70" s="13" t="s">
        <v>16</v>
      </c>
      <c r="F70" s="13" t="s">
        <v>43</v>
      </c>
      <c r="G70" s="14" t="s">
        <v>49</v>
      </c>
      <c r="H70" s="15" t="s">
        <v>139</v>
      </c>
      <c r="I70" s="15" t="s">
        <v>139</v>
      </c>
      <c r="J70" s="15"/>
      <c r="K70" s="25" t="str">
        <f>"170,0"</f>
        <v>170,0</v>
      </c>
      <c r="L70" s="26" t="str">
        <f>"107,8073"</f>
        <v>107,8073</v>
      </c>
      <c r="M70" s="13" t="s">
        <v>626</v>
      </c>
    </row>
    <row r="71" spans="1:13">
      <c r="A71" s="16" t="s">
        <v>628</v>
      </c>
      <c r="B71" s="16" t="s">
        <v>629</v>
      </c>
      <c r="C71" s="16" t="s">
        <v>630</v>
      </c>
      <c r="D71" s="16" t="s">
        <v>954</v>
      </c>
      <c r="E71" s="16" t="s">
        <v>16</v>
      </c>
      <c r="F71" s="16" t="s">
        <v>43</v>
      </c>
      <c r="G71" s="17" t="s">
        <v>49</v>
      </c>
      <c r="H71" s="17" t="s">
        <v>139</v>
      </c>
      <c r="I71" s="18" t="s">
        <v>124</v>
      </c>
      <c r="J71" s="18"/>
      <c r="K71" s="27" t="str">
        <f>"180,0"</f>
        <v>180,0</v>
      </c>
      <c r="L71" s="28" t="str">
        <f>"121,8733"</f>
        <v>121,8733</v>
      </c>
      <c r="M71" s="16" t="s">
        <v>631</v>
      </c>
    </row>
    <row r="73" spans="1:13" ht="16">
      <c r="A73" s="35" t="s">
        <v>180</v>
      </c>
      <c r="B73" s="35"/>
      <c r="C73" s="35"/>
      <c r="D73" s="35"/>
      <c r="E73" s="35"/>
      <c r="F73" s="35"/>
      <c r="G73" s="35"/>
      <c r="H73" s="35"/>
      <c r="I73" s="35"/>
      <c r="J73" s="35"/>
    </row>
    <row r="74" spans="1:13">
      <c r="A74" s="10" t="s">
        <v>633</v>
      </c>
      <c r="B74" s="10" t="s">
        <v>634</v>
      </c>
      <c r="C74" s="10" t="s">
        <v>414</v>
      </c>
      <c r="D74" s="10" t="s">
        <v>949</v>
      </c>
      <c r="E74" s="10" t="s">
        <v>16</v>
      </c>
      <c r="F74" s="10" t="s">
        <v>635</v>
      </c>
      <c r="G74" s="11" t="s">
        <v>125</v>
      </c>
      <c r="H74" s="11" t="s">
        <v>32</v>
      </c>
      <c r="I74" s="12" t="s">
        <v>252</v>
      </c>
      <c r="J74" s="12"/>
      <c r="K74" s="23" t="str">
        <f>"200,0"</f>
        <v>200,0</v>
      </c>
      <c r="L74" s="24" t="str">
        <f>"116,0800"</f>
        <v>116,0800</v>
      </c>
      <c r="M74" s="10"/>
    </row>
    <row r="75" spans="1:13">
      <c r="A75" s="13" t="s">
        <v>637</v>
      </c>
      <c r="B75" s="13" t="s">
        <v>638</v>
      </c>
      <c r="C75" s="13" t="s">
        <v>639</v>
      </c>
      <c r="D75" s="13" t="s">
        <v>949</v>
      </c>
      <c r="E75" s="13" t="s">
        <v>16</v>
      </c>
      <c r="F75" s="13" t="s">
        <v>640</v>
      </c>
      <c r="G75" s="14" t="s">
        <v>140</v>
      </c>
      <c r="H75" s="14" t="s">
        <v>32</v>
      </c>
      <c r="I75" s="15" t="s">
        <v>641</v>
      </c>
      <c r="J75" s="15"/>
      <c r="K75" s="25" t="str">
        <f>"200,0"</f>
        <v>200,0</v>
      </c>
      <c r="L75" s="26" t="str">
        <f>"115,2200"</f>
        <v>115,2200</v>
      </c>
      <c r="M75" s="13"/>
    </row>
    <row r="76" spans="1:13">
      <c r="A76" s="13" t="s">
        <v>888</v>
      </c>
      <c r="B76" s="13" t="s">
        <v>642</v>
      </c>
      <c r="C76" s="13" t="s">
        <v>643</v>
      </c>
      <c r="D76" s="13" t="s">
        <v>949</v>
      </c>
      <c r="E76" s="13" t="s">
        <v>16</v>
      </c>
      <c r="F76" s="13" t="s">
        <v>43</v>
      </c>
      <c r="G76" s="14" t="s">
        <v>35</v>
      </c>
      <c r="H76" s="15" t="s">
        <v>175</v>
      </c>
      <c r="I76" s="15" t="s">
        <v>175</v>
      </c>
      <c r="J76" s="15"/>
      <c r="K76" s="25" t="str">
        <f>"140,0"</f>
        <v>140,0</v>
      </c>
      <c r="L76" s="26" t="str">
        <f>"80,7940"</f>
        <v>80,7940</v>
      </c>
      <c r="M76" s="13"/>
    </row>
    <row r="77" spans="1:13">
      <c r="A77" s="13" t="s">
        <v>645</v>
      </c>
      <c r="B77" s="13" t="s">
        <v>646</v>
      </c>
      <c r="C77" s="13" t="s">
        <v>647</v>
      </c>
      <c r="D77" s="13" t="s">
        <v>952</v>
      </c>
      <c r="E77" s="13" t="s">
        <v>16</v>
      </c>
      <c r="F77" s="13" t="s">
        <v>573</v>
      </c>
      <c r="G77" s="14" t="s">
        <v>85</v>
      </c>
      <c r="H77" s="15" t="s">
        <v>379</v>
      </c>
      <c r="I77" s="14" t="s">
        <v>379</v>
      </c>
      <c r="J77" s="15"/>
      <c r="K77" s="25" t="str">
        <f>"177,5"</f>
        <v>177,5</v>
      </c>
      <c r="L77" s="26" t="str">
        <f>"105,9328"</f>
        <v>105,9328</v>
      </c>
      <c r="M77" s="13" t="s">
        <v>933</v>
      </c>
    </row>
    <row r="78" spans="1:13">
      <c r="A78" s="16" t="s">
        <v>649</v>
      </c>
      <c r="B78" s="16" t="s">
        <v>650</v>
      </c>
      <c r="C78" s="16" t="s">
        <v>651</v>
      </c>
      <c r="D78" s="16" t="s">
        <v>953</v>
      </c>
      <c r="E78" s="16" t="s">
        <v>16</v>
      </c>
      <c r="F78" s="16" t="s">
        <v>43</v>
      </c>
      <c r="G78" s="17" t="s">
        <v>58</v>
      </c>
      <c r="H78" s="18" t="s">
        <v>49</v>
      </c>
      <c r="I78" s="18" t="s">
        <v>49</v>
      </c>
      <c r="J78" s="18"/>
      <c r="K78" s="27" t="str">
        <f>"165,0"</f>
        <v>165,0</v>
      </c>
      <c r="L78" s="28" t="str">
        <f>"117,1452"</f>
        <v>117,1452</v>
      </c>
      <c r="M78" s="16"/>
    </row>
    <row r="80" spans="1:13" ht="16">
      <c r="A80" s="35" t="s">
        <v>294</v>
      </c>
      <c r="B80" s="35"/>
      <c r="C80" s="35"/>
      <c r="D80" s="35"/>
      <c r="E80" s="35"/>
      <c r="F80" s="35"/>
      <c r="G80" s="35"/>
      <c r="H80" s="35"/>
      <c r="I80" s="35"/>
      <c r="J80" s="35"/>
    </row>
    <row r="81" spans="1:13">
      <c r="A81" s="7" t="s">
        <v>653</v>
      </c>
      <c r="B81" s="7" t="s">
        <v>404</v>
      </c>
      <c r="C81" s="7" t="s">
        <v>654</v>
      </c>
      <c r="D81" s="7" t="s">
        <v>949</v>
      </c>
      <c r="E81" s="7" t="s">
        <v>16</v>
      </c>
      <c r="F81" s="7" t="s">
        <v>635</v>
      </c>
      <c r="G81" s="8" t="s">
        <v>70</v>
      </c>
      <c r="H81" s="8" t="s">
        <v>278</v>
      </c>
      <c r="I81" s="9"/>
      <c r="J81" s="9"/>
      <c r="K81" s="21" t="str">
        <f>"215,0"</f>
        <v>215,0</v>
      </c>
      <c r="L81" s="22" t="str">
        <f>"121,6685"</f>
        <v>121,6685</v>
      </c>
      <c r="M81" s="7" t="s">
        <v>655</v>
      </c>
    </row>
    <row r="83" spans="1:13" ht="16">
      <c r="E83" s="19" t="s">
        <v>88</v>
      </c>
    </row>
    <row r="84" spans="1:13" ht="16">
      <c r="E84" s="19" t="s">
        <v>89</v>
      </c>
    </row>
    <row r="85" spans="1:13" ht="16">
      <c r="E85" s="19" t="s">
        <v>90</v>
      </c>
    </row>
    <row r="86" spans="1:13" ht="16">
      <c r="E86" s="19" t="s">
        <v>91</v>
      </c>
    </row>
    <row r="87" spans="1:13" ht="16">
      <c r="E87" s="19" t="s">
        <v>91</v>
      </c>
    </row>
    <row r="88" spans="1:13" ht="16">
      <c r="E88" s="19" t="s">
        <v>92</v>
      </c>
    </row>
    <row r="89" spans="1:13" ht="16">
      <c r="E89" s="19"/>
    </row>
    <row r="91" spans="1:13" ht="18">
      <c r="A91" s="29" t="s">
        <v>93</v>
      </c>
      <c r="B91" s="29"/>
    </row>
    <row r="92" spans="1:13" ht="16">
      <c r="A92" s="30" t="s">
        <v>94</v>
      </c>
      <c r="B92" s="30"/>
    </row>
    <row r="93" spans="1:13" ht="14">
      <c r="A93" s="32"/>
      <c r="B93" s="33" t="s">
        <v>95</v>
      </c>
    </row>
    <row r="94" spans="1:13" ht="14">
      <c r="A94" s="6" t="s">
        <v>96</v>
      </c>
      <c r="B94" s="6" t="s">
        <v>97</v>
      </c>
      <c r="C94" s="6" t="s">
        <v>98</v>
      </c>
      <c r="D94" s="6" t="s">
        <v>426</v>
      </c>
      <c r="E94" s="6" t="s">
        <v>100</v>
      </c>
    </row>
    <row r="95" spans="1:13">
      <c r="A95" s="31" t="s">
        <v>478</v>
      </c>
      <c r="B95" s="4" t="s">
        <v>95</v>
      </c>
      <c r="C95" s="4" t="s">
        <v>191</v>
      </c>
      <c r="D95" s="4" t="s">
        <v>210</v>
      </c>
      <c r="E95" s="20" t="s">
        <v>656</v>
      </c>
    </row>
    <row r="96" spans="1:13">
      <c r="A96" s="31" t="s">
        <v>472</v>
      </c>
      <c r="B96" s="4" t="s">
        <v>95</v>
      </c>
      <c r="C96" s="4" t="s">
        <v>194</v>
      </c>
      <c r="D96" s="4" t="s">
        <v>230</v>
      </c>
      <c r="E96" s="20" t="s">
        <v>657</v>
      </c>
    </row>
    <row r="97" spans="1:5">
      <c r="A97" s="31" t="s">
        <v>499</v>
      </c>
      <c r="B97" s="4" t="s">
        <v>95</v>
      </c>
      <c r="C97" s="4" t="s">
        <v>317</v>
      </c>
      <c r="D97" s="4" t="s">
        <v>22</v>
      </c>
      <c r="E97" s="20" t="s">
        <v>658</v>
      </c>
    </row>
    <row r="99" spans="1:5" ht="14">
      <c r="A99" s="32"/>
      <c r="B99" s="33" t="s">
        <v>146</v>
      </c>
    </row>
    <row r="100" spans="1:5" ht="14">
      <c r="A100" s="6" t="s">
        <v>96</v>
      </c>
      <c r="B100" s="6" t="s">
        <v>97</v>
      </c>
      <c r="C100" s="6" t="s">
        <v>98</v>
      </c>
      <c r="D100" s="6" t="s">
        <v>426</v>
      </c>
      <c r="E100" s="6" t="s">
        <v>100</v>
      </c>
    </row>
    <row r="101" spans="1:5">
      <c r="A101" s="31" t="s">
        <v>491</v>
      </c>
      <c r="B101" s="4" t="s">
        <v>203</v>
      </c>
      <c r="C101" s="4" t="s">
        <v>191</v>
      </c>
      <c r="D101" s="4" t="s">
        <v>210</v>
      </c>
      <c r="E101" s="20" t="s">
        <v>659</v>
      </c>
    </row>
    <row r="102" spans="1:5">
      <c r="A102" s="31" t="s">
        <v>482</v>
      </c>
      <c r="B102" s="4" t="s">
        <v>331</v>
      </c>
      <c r="C102" s="4" t="s">
        <v>191</v>
      </c>
      <c r="D102" s="4" t="s">
        <v>168</v>
      </c>
      <c r="E102" s="20" t="s">
        <v>660</v>
      </c>
    </row>
    <row r="103" spans="1:5">
      <c r="A103" s="31" t="s">
        <v>468</v>
      </c>
      <c r="B103" s="4" t="s">
        <v>439</v>
      </c>
      <c r="C103" s="4" t="s">
        <v>197</v>
      </c>
      <c r="D103" s="4" t="s">
        <v>157</v>
      </c>
      <c r="E103" s="20" t="s">
        <v>661</v>
      </c>
    </row>
    <row r="104" spans="1:5">
      <c r="A104" s="31" t="s">
        <v>486</v>
      </c>
      <c r="B104" s="4" t="s">
        <v>331</v>
      </c>
      <c r="C104" s="4" t="s">
        <v>191</v>
      </c>
      <c r="D104" s="4" t="s">
        <v>158</v>
      </c>
      <c r="E104" s="20" t="s">
        <v>662</v>
      </c>
    </row>
    <row r="105" spans="1:5">
      <c r="A105" s="31" t="s">
        <v>496</v>
      </c>
      <c r="B105" s="4" t="s">
        <v>331</v>
      </c>
      <c r="C105" s="4" t="s">
        <v>115</v>
      </c>
      <c r="D105" s="4" t="s">
        <v>157</v>
      </c>
      <c r="E105" s="20" t="s">
        <v>663</v>
      </c>
    </row>
    <row r="108" spans="1:5" ht="16">
      <c r="A108" s="30" t="s">
        <v>104</v>
      </c>
      <c r="B108" s="30"/>
    </row>
    <row r="109" spans="1:5" ht="14">
      <c r="A109" s="32"/>
      <c r="B109" s="33" t="s">
        <v>664</v>
      </c>
    </row>
    <row r="110" spans="1:5" ht="14">
      <c r="A110" s="6" t="s">
        <v>96</v>
      </c>
      <c r="B110" s="6" t="s">
        <v>97</v>
      </c>
      <c r="C110" s="6" t="s">
        <v>98</v>
      </c>
      <c r="D110" s="6" t="s">
        <v>426</v>
      </c>
      <c r="E110" s="6" t="s">
        <v>100</v>
      </c>
    </row>
    <row r="111" spans="1:5">
      <c r="A111" s="31" t="s">
        <v>513</v>
      </c>
      <c r="B111" s="4" t="s">
        <v>300</v>
      </c>
      <c r="C111" s="4" t="s">
        <v>191</v>
      </c>
      <c r="D111" s="4" t="s">
        <v>159</v>
      </c>
      <c r="E111" s="20" t="s">
        <v>665</v>
      </c>
    </row>
    <row r="112" spans="1:5">
      <c r="A112" s="31" t="s">
        <v>518</v>
      </c>
      <c r="B112" s="4" t="s">
        <v>300</v>
      </c>
      <c r="C112" s="4" t="s">
        <v>191</v>
      </c>
      <c r="D112" s="4" t="s">
        <v>211</v>
      </c>
      <c r="E112" s="20" t="s">
        <v>666</v>
      </c>
    </row>
    <row r="113" spans="1:5">
      <c r="A113" s="31" t="s">
        <v>523</v>
      </c>
      <c r="B113" s="4" t="s">
        <v>300</v>
      </c>
      <c r="C113" s="4" t="s">
        <v>191</v>
      </c>
      <c r="D113" s="4" t="s">
        <v>21</v>
      </c>
      <c r="E113" s="20" t="s">
        <v>667</v>
      </c>
    </row>
    <row r="114" spans="1:5">
      <c r="A114" s="31" t="s">
        <v>503</v>
      </c>
      <c r="B114" s="4" t="s">
        <v>300</v>
      </c>
      <c r="C114" s="4" t="s">
        <v>101</v>
      </c>
      <c r="D114" s="4" t="s">
        <v>471</v>
      </c>
      <c r="E114" s="20" t="s">
        <v>668</v>
      </c>
    </row>
    <row r="116" spans="1:5" ht="14">
      <c r="A116" s="32"/>
      <c r="B116" s="33" t="s">
        <v>313</v>
      </c>
    </row>
    <row r="117" spans="1:5" ht="14">
      <c r="A117" s="6" t="s">
        <v>96</v>
      </c>
      <c r="B117" s="6" t="s">
        <v>97</v>
      </c>
      <c r="C117" s="6" t="s">
        <v>98</v>
      </c>
      <c r="D117" s="6" t="s">
        <v>426</v>
      </c>
      <c r="E117" s="6" t="s">
        <v>100</v>
      </c>
    </row>
    <row r="118" spans="1:5">
      <c r="A118" s="31" t="s">
        <v>508</v>
      </c>
      <c r="B118" s="4" t="s">
        <v>303</v>
      </c>
      <c r="C118" s="4" t="s">
        <v>194</v>
      </c>
      <c r="D118" s="4" t="s">
        <v>215</v>
      </c>
      <c r="E118" s="20" t="s">
        <v>669</v>
      </c>
    </row>
    <row r="119" spans="1:5">
      <c r="A119" s="31" t="s">
        <v>533</v>
      </c>
      <c r="B119" s="4" t="s">
        <v>303</v>
      </c>
      <c r="C119" s="4" t="s">
        <v>141</v>
      </c>
      <c r="D119" s="4" t="s">
        <v>20</v>
      </c>
      <c r="E119" s="20" t="s">
        <v>670</v>
      </c>
    </row>
    <row r="120" spans="1:5">
      <c r="A120" s="31" t="s">
        <v>538</v>
      </c>
      <c r="B120" s="4" t="s">
        <v>303</v>
      </c>
      <c r="C120" s="4" t="s">
        <v>115</v>
      </c>
      <c r="D120" s="4" t="s">
        <v>18</v>
      </c>
      <c r="E120" s="20" t="s">
        <v>671</v>
      </c>
    </row>
    <row r="122" spans="1:5" ht="14">
      <c r="A122" s="32"/>
      <c r="B122" s="33" t="s">
        <v>95</v>
      </c>
    </row>
    <row r="123" spans="1:5" ht="14">
      <c r="A123" s="6" t="s">
        <v>96</v>
      </c>
      <c r="B123" s="6" t="s">
        <v>97</v>
      </c>
      <c r="C123" s="6" t="s">
        <v>98</v>
      </c>
      <c r="D123" s="6" t="s">
        <v>426</v>
      </c>
      <c r="E123" s="6" t="s">
        <v>100</v>
      </c>
    </row>
    <row r="124" spans="1:5">
      <c r="A124" s="31" t="s">
        <v>652</v>
      </c>
      <c r="B124" s="4" t="s">
        <v>95</v>
      </c>
      <c r="C124" s="4" t="s">
        <v>314</v>
      </c>
      <c r="D124" s="4" t="s">
        <v>278</v>
      </c>
      <c r="E124" s="20" t="s">
        <v>672</v>
      </c>
    </row>
    <row r="125" spans="1:5">
      <c r="A125" s="31" t="s">
        <v>552</v>
      </c>
      <c r="B125" s="4" t="s">
        <v>95</v>
      </c>
      <c r="C125" s="4" t="s">
        <v>317</v>
      </c>
      <c r="D125" s="4" t="s">
        <v>124</v>
      </c>
      <c r="E125" s="20" t="s">
        <v>673</v>
      </c>
    </row>
    <row r="126" spans="1:5">
      <c r="A126" s="31" t="s">
        <v>542</v>
      </c>
      <c r="B126" s="4" t="s">
        <v>95</v>
      </c>
      <c r="C126" s="4" t="s">
        <v>115</v>
      </c>
      <c r="D126" s="4" t="s">
        <v>257</v>
      </c>
      <c r="E126" s="20" t="s">
        <v>674</v>
      </c>
    </row>
    <row r="127" spans="1:5">
      <c r="A127" s="31" t="s">
        <v>632</v>
      </c>
      <c r="B127" s="4" t="s">
        <v>95</v>
      </c>
      <c r="C127" s="4" t="s">
        <v>200</v>
      </c>
      <c r="D127" s="4" t="s">
        <v>32</v>
      </c>
      <c r="E127" s="20" t="s">
        <v>675</v>
      </c>
    </row>
    <row r="128" spans="1:5">
      <c r="A128" s="31" t="s">
        <v>636</v>
      </c>
      <c r="B128" s="4" t="s">
        <v>95</v>
      </c>
      <c r="C128" s="4" t="s">
        <v>200</v>
      </c>
      <c r="D128" s="4" t="s">
        <v>32</v>
      </c>
      <c r="E128" s="20" t="s">
        <v>676</v>
      </c>
    </row>
    <row r="129" spans="1:5">
      <c r="A129" s="31" t="s">
        <v>606</v>
      </c>
      <c r="B129" s="4" t="s">
        <v>95</v>
      </c>
      <c r="C129" s="4" t="s">
        <v>105</v>
      </c>
      <c r="D129" s="4" t="s">
        <v>140</v>
      </c>
      <c r="E129" s="20" t="s">
        <v>677</v>
      </c>
    </row>
    <row r="130" spans="1:5">
      <c r="A130" s="31" t="s">
        <v>545</v>
      </c>
      <c r="B130" s="4" t="s">
        <v>95</v>
      </c>
      <c r="C130" s="4" t="s">
        <v>115</v>
      </c>
      <c r="D130" s="4" t="s">
        <v>187</v>
      </c>
      <c r="E130" s="20" t="s">
        <v>678</v>
      </c>
    </row>
    <row r="131" spans="1:5">
      <c r="A131" s="31" t="s">
        <v>610</v>
      </c>
      <c r="B131" s="4" t="s">
        <v>95</v>
      </c>
      <c r="C131" s="4" t="s">
        <v>105</v>
      </c>
      <c r="D131" s="4" t="s">
        <v>139</v>
      </c>
      <c r="E131" s="20" t="s">
        <v>679</v>
      </c>
    </row>
    <row r="132" spans="1:5">
      <c r="A132" s="31" t="s">
        <v>574</v>
      </c>
      <c r="B132" s="4" t="s">
        <v>95</v>
      </c>
      <c r="C132" s="4" t="s">
        <v>110</v>
      </c>
      <c r="D132" s="4" t="s">
        <v>58</v>
      </c>
      <c r="E132" s="20" t="s">
        <v>680</v>
      </c>
    </row>
    <row r="133" spans="1:5">
      <c r="A133" s="31" t="s">
        <v>578</v>
      </c>
      <c r="B133" s="4" t="s">
        <v>95</v>
      </c>
      <c r="C133" s="4" t="s">
        <v>110</v>
      </c>
      <c r="D133" s="4" t="s">
        <v>48</v>
      </c>
      <c r="E133" s="20" t="s">
        <v>681</v>
      </c>
    </row>
    <row r="134" spans="1:5">
      <c r="A134" s="31" t="s">
        <v>614</v>
      </c>
      <c r="B134" s="4" t="s">
        <v>95</v>
      </c>
      <c r="C134" s="4" t="s">
        <v>105</v>
      </c>
      <c r="D134" s="4" t="s">
        <v>48</v>
      </c>
      <c r="E134" s="20" t="s">
        <v>682</v>
      </c>
    </row>
    <row r="135" spans="1:5">
      <c r="A135" s="31" t="s">
        <v>582</v>
      </c>
      <c r="B135" s="4" t="s">
        <v>95</v>
      </c>
      <c r="C135" s="4" t="s">
        <v>110</v>
      </c>
      <c r="D135" s="4" t="s">
        <v>47</v>
      </c>
      <c r="E135" s="20" t="s">
        <v>683</v>
      </c>
    </row>
    <row r="136" spans="1:5">
      <c r="A136" s="31" t="s">
        <v>618</v>
      </c>
      <c r="B136" s="4" t="s">
        <v>95</v>
      </c>
      <c r="C136" s="4" t="s">
        <v>105</v>
      </c>
      <c r="D136" s="4" t="s">
        <v>47</v>
      </c>
      <c r="E136" s="20" t="s">
        <v>684</v>
      </c>
    </row>
    <row r="137" spans="1:5">
      <c r="A137" s="31" t="s">
        <v>889</v>
      </c>
      <c r="B137" s="4" t="s">
        <v>95</v>
      </c>
      <c r="C137" s="4" t="s">
        <v>200</v>
      </c>
      <c r="D137" s="4" t="s">
        <v>35</v>
      </c>
      <c r="E137" s="20" t="s">
        <v>685</v>
      </c>
    </row>
    <row r="138" spans="1:5">
      <c r="A138" s="31" t="s">
        <v>586</v>
      </c>
      <c r="B138" s="4" t="s">
        <v>95</v>
      </c>
      <c r="C138" s="4" t="s">
        <v>110</v>
      </c>
      <c r="D138" s="4" t="s">
        <v>155</v>
      </c>
      <c r="E138" s="20" t="s">
        <v>686</v>
      </c>
    </row>
    <row r="140" spans="1:5" ht="14">
      <c r="A140" s="32"/>
      <c r="B140" s="33" t="s">
        <v>146</v>
      </c>
    </row>
    <row r="141" spans="1:5" ht="14">
      <c r="A141" s="6" t="s">
        <v>96</v>
      </c>
      <c r="B141" s="6" t="s">
        <v>97</v>
      </c>
      <c r="C141" s="6" t="s">
        <v>98</v>
      </c>
      <c r="D141" s="6" t="s">
        <v>426</v>
      </c>
      <c r="E141" s="6" t="s">
        <v>100</v>
      </c>
    </row>
    <row r="142" spans="1:5">
      <c r="A142" s="31" t="s">
        <v>627</v>
      </c>
      <c r="B142" s="4" t="s">
        <v>439</v>
      </c>
      <c r="C142" s="4" t="s">
        <v>105</v>
      </c>
      <c r="D142" s="4" t="s">
        <v>139</v>
      </c>
      <c r="E142" s="20" t="s">
        <v>687</v>
      </c>
    </row>
    <row r="143" spans="1:5">
      <c r="A143" s="31" t="s">
        <v>648</v>
      </c>
      <c r="B143" s="4" t="s">
        <v>147</v>
      </c>
      <c r="C143" s="4" t="s">
        <v>200</v>
      </c>
      <c r="D143" s="4" t="s">
        <v>58</v>
      </c>
      <c r="E143" s="20" t="s">
        <v>688</v>
      </c>
    </row>
    <row r="144" spans="1:5">
      <c r="A144" s="31" t="s">
        <v>561</v>
      </c>
      <c r="B144" s="4" t="s">
        <v>147</v>
      </c>
      <c r="C144" s="4" t="s">
        <v>317</v>
      </c>
      <c r="D144" s="4" t="s">
        <v>35</v>
      </c>
      <c r="E144" s="20" t="s">
        <v>689</v>
      </c>
    </row>
    <row r="145" spans="1:5">
      <c r="A145" s="31" t="s">
        <v>557</v>
      </c>
      <c r="B145" s="4" t="s">
        <v>439</v>
      </c>
      <c r="C145" s="4" t="s">
        <v>317</v>
      </c>
      <c r="D145" s="4" t="s">
        <v>48</v>
      </c>
      <c r="E145" s="20" t="s">
        <v>690</v>
      </c>
    </row>
    <row r="146" spans="1:5">
      <c r="A146" s="31" t="s">
        <v>569</v>
      </c>
      <c r="B146" s="4" t="s">
        <v>691</v>
      </c>
      <c r="C146" s="4" t="s">
        <v>317</v>
      </c>
      <c r="D146" s="4" t="s">
        <v>215</v>
      </c>
      <c r="E146" s="20" t="s">
        <v>692</v>
      </c>
    </row>
    <row r="147" spans="1:5">
      <c r="A147" s="31" t="s">
        <v>622</v>
      </c>
      <c r="B147" s="4" t="s">
        <v>203</v>
      </c>
      <c r="C147" s="4" t="s">
        <v>105</v>
      </c>
      <c r="D147" s="4" t="s">
        <v>49</v>
      </c>
      <c r="E147" s="20" t="s">
        <v>693</v>
      </c>
    </row>
    <row r="148" spans="1:5">
      <c r="A148" s="31" t="s">
        <v>565</v>
      </c>
      <c r="B148" s="4" t="s">
        <v>446</v>
      </c>
      <c r="C148" s="4" t="s">
        <v>317</v>
      </c>
      <c r="D148" s="4" t="s">
        <v>19</v>
      </c>
      <c r="E148" s="20" t="s">
        <v>694</v>
      </c>
    </row>
    <row r="149" spans="1:5">
      <c r="A149" s="31" t="s">
        <v>644</v>
      </c>
      <c r="B149" s="4" t="s">
        <v>331</v>
      </c>
      <c r="C149" s="4" t="s">
        <v>200</v>
      </c>
      <c r="D149" s="4" t="s">
        <v>379</v>
      </c>
      <c r="E149" s="20" t="s">
        <v>695</v>
      </c>
    </row>
    <row r="150" spans="1:5">
      <c r="A150" s="31" t="s">
        <v>595</v>
      </c>
      <c r="B150" s="4" t="s">
        <v>331</v>
      </c>
      <c r="C150" s="4" t="s">
        <v>110</v>
      </c>
      <c r="D150" s="4" t="s">
        <v>187</v>
      </c>
      <c r="E150" s="20" t="s">
        <v>696</v>
      </c>
    </row>
    <row r="151" spans="1:5">
      <c r="A151" s="31" t="s">
        <v>529</v>
      </c>
      <c r="B151" s="4" t="s">
        <v>439</v>
      </c>
      <c r="C151" s="4" t="s">
        <v>191</v>
      </c>
      <c r="D151" s="4" t="s">
        <v>156</v>
      </c>
      <c r="E151" s="20" t="s">
        <v>697</v>
      </c>
    </row>
    <row r="152" spans="1:5">
      <c r="A152" s="31" t="s">
        <v>598</v>
      </c>
      <c r="B152" s="4" t="s">
        <v>331</v>
      </c>
      <c r="C152" s="4" t="s">
        <v>110</v>
      </c>
      <c r="D152" s="4" t="s">
        <v>165</v>
      </c>
      <c r="E152" s="20" t="s">
        <v>698</v>
      </c>
    </row>
  </sheetData>
  <mergeCells count="27">
    <mergeCell ref="A1:M2"/>
    <mergeCell ref="A3:A4"/>
    <mergeCell ref="B3:B4"/>
    <mergeCell ref="C3:C4"/>
    <mergeCell ref="D3:D4"/>
    <mergeCell ref="E3:E4"/>
    <mergeCell ref="F3:F4"/>
    <mergeCell ref="G3:J3"/>
    <mergeCell ref="A27:J27"/>
    <mergeCell ref="K3:K4"/>
    <mergeCell ref="L3:L4"/>
    <mergeCell ref="M3:M4"/>
    <mergeCell ref="A5:J5"/>
    <mergeCell ref="A8:J8"/>
    <mergeCell ref="A12:J12"/>
    <mergeCell ref="A15:J15"/>
    <mergeCell ref="A21:J21"/>
    <mergeCell ref="A24:J24"/>
    <mergeCell ref="A65:J65"/>
    <mergeCell ref="A73:J73"/>
    <mergeCell ref="A80:J80"/>
    <mergeCell ref="A30:J30"/>
    <mergeCell ref="A33:J33"/>
    <mergeCell ref="A39:J39"/>
    <mergeCell ref="A42:J42"/>
    <mergeCell ref="A48:J48"/>
    <mergeCell ref="A55:J5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M85"/>
  <sheetViews>
    <sheetView workbookViewId="0">
      <selection activeCell="D44" sqref="D44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0.33203125" style="4" bestFit="1" customWidth="1"/>
    <col min="7" max="9" width="5.5" style="3" customWidth="1"/>
    <col min="10" max="10" width="4.83203125" style="3" customWidth="1"/>
    <col min="11" max="11" width="11.33203125" style="20" bestFit="1" customWidth="1"/>
    <col min="12" max="12" width="8.5" style="2" bestFit="1" customWidth="1"/>
    <col min="13" max="13" width="17.6640625" style="4" bestFit="1" customWidth="1"/>
    <col min="14" max="16384" width="9.1640625" style="3"/>
  </cols>
  <sheetData>
    <row r="1" spans="1:13" s="2" customFormat="1" ht="29" customHeight="1">
      <c r="A1" s="42" t="s">
        <v>885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946</v>
      </c>
      <c r="C3" s="50" t="s">
        <v>7</v>
      </c>
      <c r="D3" s="36" t="s">
        <v>947</v>
      </c>
      <c r="E3" s="36" t="s">
        <v>4</v>
      </c>
      <c r="F3" s="36" t="s">
        <v>6</v>
      </c>
      <c r="G3" s="36" t="s">
        <v>9</v>
      </c>
      <c r="H3" s="36"/>
      <c r="I3" s="36"/>
      <c r="J3" s="36"/>
      <c r="K3" s="36" t="s">
        <v>451</v>
      </c>
      <c r="L3" s="36" t="s">
        <v>3</v>
      </c>
      <c r="M3" s="38" t="s">
        <v>2</v>
      </c>
    </row>
    <row r="4" spans="1:13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6">
      <c r="A5" s="40" t="s">
        <v>160</v>
      </c>
      <c r="B5" s="41"/>
      <c r="C5" s="41"/>
      <c r="D5" s="41"/>
      <c r="E5" s="41"/>
      <c r="F5" s="41"/>
      <c r="G5" s="41"/>
      <c r="H5" s="41"/>
      <c r="I5" s="41"/>
      <c r="J5" s="41"/>
    </row>
    <row r="6" spans="1:13">
      <c r="A6" s="7" t="s">
        <v>333</v>
      </c>
      <c r="B6" s="7" t="s">
        <v>334</v>
      </c>
      <c r="C6" s="7" t="s">
        <v>335</v>
      </c>
      <c r="D6" s="7" t="s">
        <v>952</v>
      </c>
      <c r="E6" s="7" t="s">
        <v>16</v>
      </c>
      <c r="F6" s="7" t="s">
        <v>336</v>
      </c>
      <c r="G6" s="9" t="s">
        <v>22</v>
      </c>
      <c r="H6" s="9" t="s">
        <v>22</v>
      </c>
      <c r="I6" s="9" t="s">
        <v>22</v>
      </c>
      <c r="J6" s="9"/>
      <c r="K6" s="21" t="str">
        <f>"0.00"</f>
        <v>0.00</v>
      </c>
      <c r="L6" s="22" t="str">
        <f>"0,0000"</f>
        <v>0,0000</v>
      </c>
      <c r="M6" s="7"/>
    </row>
    <row r="8" spans="1:13" ht="16">
      <c r="A8" s="35" t="s">
        <v>170</v>
      </c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7" t="s">
        <v>338</v>
      </c>
      <c r="B9" s="7" t="s">
        <v>339</v>
      </c>
      <c r="C9" s="7" t="s">
        <v>340</v>
      </c>
      <c r="D9" s="7" t="s">
        <v>949</v>
      </c>
      <c r="E9" s="7" t="s">
        <v>16</v>
      </c>
      <c r="F9" s="7" t="s">
        <v>245</v>
      </c>
      <c r="G9" s="8" t="s">
        <v>246</v>
      </c>
      <c r="H9" s="8" t="s">
        <v>21</v>
      </c>
      <c r="I9" s="9" t="s">
        <v>230</v>
      </c>
      <c r="J9" s="9"/>
      <c r="K9" s="21" t="str">
        <f>"60,0"</f>
        <v>60,0</v>
      </c>
      <c r="L9" s="22" t="str">
        <f>"61,4340"</f>
        <v>61,4340</v>
      </c>
      <c r="M9" s="7" t="s">
        <v>910</v>
      </c>
    </row>
    <row r="11" spans="1:13" ht="16">
      <c r="A11" s="35" t="s">
        <v>118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13">
      <c r="A12" s="7" t="s">
        <v>342</v>
      </c>
      <c r="B12" s="7" t="s">
        <v>343</v>
      </c>
      <c r="C12" s="7" t="s">
        <v>344</v>
      </c>
      <c r="D12" s="7" t="s">
        <v>949</v>
      </c>
      <c r="E12" s="7" t="s">
        <v>16</v>
      </c>
      <c r="F12" s="7" t="s">
        <v>43</v>
      </c>
      <c r="G12" s="8" t="s">
        <v>24</v>
      </c>
      <c r="H12" s="8" t="s">
        <v>20</v>
      </c>
      <c r="I12" s="9" t="s">
        <v>25</v>
      </c>
      <c r="J12" s="9"/>
      <c r="K12" s="21" t="str">
        <f>"130,0"</f>
        <v>130,0</v>
      </c>
      <c r="L12" s="22" t="str">
        <f>"126,8800"</f>
        <v>126,8800</v>
      </c>
      <c r="M12" s="7" t="s">
        <v>911</v>
      </c>
    </row>
    <row r="14" spans="1:13" ht="16">
      <c r="A14" s="35" t="s">
        <v>26</v>
      </c>
      <c r="B14" s="35"/>
      <c r="C14" s="35"/>
      <c r="D14" s="35"/>
      <c r="E14" s="35"/>
      <c r="F14" s="35"/>
      <c r="G14" s="35"/>
      <c r="H14" s="35"/>
      <c r="I14" s="35"/>
      <c r="J14" s="35"/>
    </row>
    <row r="15" spans="1:13">
      <c r="A15" s="10" t="s">
        <v>346</v>
      </c>
      <c r="B15" s="10" t="s">
        <v>347</v>
      </c>
      <c r="C15" s="10" t="s">
        <v>348</v>
      </c>
      <c r="D15" s="10" t="s">
        <v>949</v>
      </c>
      <c r="E15" s="10" t="s">
        <v>16</v>
      </c>
      <c r="F15" s="10" t="s">
        <v>43</v>
      </c>
      <c r="G15" s="11" t="s">
        <v>215</v>
      </c>
      <c r="H15" s="11" t="s">
        <v>19</v>
      </c>
      <c r="I15" s="12" t="s">
        <v>138</v>
      </c>
      <c r="J15" s="12"/>
      <c r="K15" s="23" t="str">
        <f>"120,0"</f>
        <v>120,0</v>
      </c>
      <c r="L15" s="24" t="str">
        <f>"84,4320"</f>
        <v>84,4320</v>
      </c>
      <c r="M15" s="10" t="s">
        <v>349</v>
      </c>
    </row>
    <row r="16" spans="1:13">
      <c r="A16" s="13" t="s">
        <v>351</v>
      </c>
      <c r="B16" s="13" t="s">
        <v>352</v>
      </c>
      <c r="C16" s="13" t="s">
        <v>353</v>
      </c>
      <c r="D16" s="13" t="s">
        <v>949</v>
      </c>
      <c r="E16" s="13" t="s">
        <v>16</v>
      </c>
      <c r="F16" s="13" t="s">
        <v>43</v>
      </c>
      <c r="G16" s="14" t="s">
        <v>18</v>
      </c>
      <c r="H16" s="14" t="s">
        <v>223</v>
      </c>
      <c r="I16" s="14" t="s">
        <v>19</v>
      </c>
      <c r="J16" s="15"/>
      <c r="K16" s="25" t="str">
        <f>"120,0"</f>
        <v>120,0</v>
      </c>
      <c r="L16" s="26" t="str">
        <f>"81,5400"</f>
        <v>81,5400</v>
      </c>
      <c r="M16" s="13" t="s">
        <v>912</v>
      </c>
    </row>
    <row r="17" spans="1:13">
      <c r="A17" s="13" t="s">
        <v>355</v>
      </c>
      <c r="B17" s="13" t="s">
        <v>356</v>
      </c>
      <c r="C17" s="13" t="s">
        <v>357</v>
      </c>
      <c r="D17" s="13" t="s">
        <v>954</v>
      </c>
      <c r="E17" s="13" t="s">
        <v>16</v>
      </c>
      <c r="F17" s="13" t="s">
        <v>43</v>
      </c>
      <c r="G17" s="14" t="s">
        <v>126</v>
      </c>
      <c r="H17" s="14" t="s">
        <v>165</v>
      </c>
      <c r="I17" s="15" t="s">
        <v>179</v>
      </c>
      <c r="J17" s="15"/>
      <c r="K17" s="25" t="str">
        <f>"145,0"</f>
        <v>145,0</v>
      </c>
      <c r="L17" s="26" t="str">
        <f>"110,0908"</f>
        <v>110,0908</v>
      </c>
      <c r="M17" s="13"/>
    </row>
    <row r="18" spans="1:13">
      <c r="A18" s="16" t="s">
        <v>359</v>
      </c>
      <c r="B18" s="16" t="s">
        <v>360</v>
      </c>
      <c r="C18" s="16" t="s">
        <v>30</v>
      </c>
      <c r="D18" s="16" t="s">
        <v>955</v>
      </c>
      <c r="E18" s="16" t="s">
        <v>16</v>
      </c>
      <c r="F18" s="16" t="s">
        <v>43</v>
      </c>
      <c r="G18" s="17" t="s">
        <v>155</v>
      </c>
      <c r="H18" s="18" t="s">
        <v>19</v>
      </c>
      <c r="I18" s="18" t="s">
        <v>19</v>
      </c>
      <c r="J18" s="18"/>
      <c r="K18" s="27" t="str">
        <f>"100,0"</f>
        <v>100,0</v>
      </c>
      <c r="L18" s="28" t="str">
        <f>"115,6901"</f>
        <v>115,6901</v>
      </c>
      <c r="M18" s="16" t="s">
        <v>913</v>
      </c>
    </row>
    <row r="20" spans="1:13" ht="16">
      <c r="A20" s="35" t="s">
        <v>264</v>
      </c>
      <c r="B20" s="35"/>
      <c r="C20" s="35"/>
      <c r="D20" s="35"/>
      <c r="E20" s="35"/>
      <c r="F20" s="35"/>
      <c r="G20" s="35"/>
      <c r="H20" s="35"/>
      <c r="I20" s="35"/>
      <c r="J20" s="35"/>
    </row>
    <row r="21" spans="1:13">
      <c r="A21" s="10" t="s">
        <v>362</v>
      </c>
      <c r="B21" s="10" t="s">
        <v>363</v>
      </c>
      <c r="C21" s="10" t="s">
        <v>364</v>
      </c>
      <c r="D21" s="10" t="s">
        <v>949</v>
      </c>
      <c r="E21" s="10" t="s">
        <v>16</v>
      </c>
      <c r="F21" s="10" t="s">
        <v>365</v>
      </c>
      <c r="G21" s="11" t="s">
        <v>49</v>
      </c>
      <c r="H21" s="11" t="s">
        <v>257</v>
      </c>
      <c r="I21" s="12" t="s">
        <v>139</v>
      </c>
      <c r="J21" s="12"/>
      <c r="K21" s="23" t="str">
        <f>"175,0"</f>
        <v>175,0</v>
      </c>
      <c r="L21" s="24" t="str">
        <f>"112,9625"</f>
        <v>112,9625</v>
      </c>
      <c r="M21" s="10" t="s">
        <v>914</v>
      </c>
    </row>
    <row r="22" spans="1:13">
      <c r="A22" s="13" t="s">
        <v>367</v>
      </c>
      <c r="B22" s="13" t="s">
        <v>368</v>
      </c>
      <c r="C22" s="13" t="s">
        <v>369</v>
      </c>
      <c r="D22" s="13" t="s">
        <v>952</v>
      </c>
      <c r="E22" s="13" t="s">
        <v>16</v>
      </c>
      <c r="F22" s="13" t="s">
        <v>43</v>
      </c>
      <c r="G22" s="14" t="s">
        <v>176</v>
      </c>
      <c r="H22" s="14" t="s">
        <v>229</v>
      </c>
      <c r="I22" s="14" t="s">
        <v>178</v>
      </c>
      <c r="J22" s="15"/>
      <c r="K22" s="25" t="str">
        <f>"102,5"</f>
        <v>102,5</v>
      </c>
      <c r="L22" s="26" t="str">
        <f>"68,1505"</f>
        <v>68,1505</v>
      </c>
      <c r="M22" s="13"/>
    </row>
    <row r="23" spans="1:13">
      <c r="A23" s="16" t="s">
        <v>371</v>
      </c>
      <c r="B23" s="16" t="s">
        <v>372</v>
      </c>
      <c r="C23" s="16" t="s">
        <v>373</v>
      </c>
      <c r="D23" s="16" t="s">
        <v>955</v>
      </c>
      <c r="E23" s="16" t="s">
        <v>137</v>
      </c>
      <c r="F23" s="16" t="s">
        <v>374</v>
      </c>
      <c r="G23" s="17" t="s">
        <v>19</v>
      </c>
      <c r="H23" s="17" t="s">
        <v>138</v>
      </c>
      <c r="I23" s="18" t="s">
        <v>20</v>
      </c>
      <c r="J23" s="18"/>
      <c r="K23" s="27" t="str">
        <f>"125,0"</f>
        <v>125,0</v>
      </c>
      <c r="L23" s="28" t="str">
        <f>"110,0825"</f>
        <v>110,0825</v>
      </c>
      <c r="M23" s="16" t="s">
        <v>900</v>
      </c>
    </row>
    <row r="25" spans="1:13" ht="16">
      <c r="A25" s="35" t="s">
        <v>38</v>
      </c>
      <c r="B25" s="35"/>
      <c r="C25" s="35"/>
      <c r="D25" s="35"/>
      <c r="E25" s="35"/>
      <c r="F25" s="35"/>
      <c r="G25" s="35"/>
      <c r="H25" s="35"/>
      <c r="I25" s="35"/>
      <c r="J25" s="35"/>
    </row>
    <row r="26" spans="1:13">
      <c r="A26" s="10" t="s">
        <v>376</v>
      </c>
      <c r="B26" s="10" t="s">
        <v>377</v>
      </c>
      <c r="C26" s="10" t="s">
        <v>378</v>
      </c>
      <c r="D26" s="10" t="s">
        <v>954</v>
      </c>
      <c r="E26" s="10" t="s">
        <v>16</v>
      </c>
      <c r="F26" s="10" t="s">
        <v>43</v>
      </c>
      <c r="G26" s="11" t="s">
        <v>85</v>
      </c>
      <c r="H26" s="11" t="s">
        <v>257</v>
      </c>
      <c r="I26" s="12" t="s">
        <v>379</v>
      </c>
      <c r="J26" s="12"/>
      <c r="K26" s="23" t="str">
        <f>"175,0"</f>
        <v>175,0</v>
      </c>
      <c r="L26" s="24" t="str">
        <f>"122,5457"</f>
        <v>122,5457</v>
      </c>
      <c r="M26" s="10" t="s">
        <v>915</v>
      </c>
    </row>
    <row r="27" spans="1:13">
      <c r="A27" s="16" t="s">
        <v>381</v>
      </c>
      <c r="B27" s="16" t="s">
        <v>382</v>
      </c>
      <c r="C27" s="16" t="s">
        <v>383</v>
      </c>
      <c r="D27" s="16" t="s">
        <v>954</v>
      </c>
      <c r="E27" s="16" t="s">
        <v>16</v>
      </c>
      <c r="F27" s="16" t="s">
        <v>43</v>
      </c>
      <c r="G27" s="18" t="s">
        <v>165</v>
      </c>
      <c r="H27" s="17" t="s">
        <v>165</v>
      </c>
      <c r="I27" s="17" t="s">
        <v>36</v>
      </c>
      <c r="J27" s="18"/>
      <c r="K27" s="27" t="str">
        <f>"147,5"</f>
        <v>147,5</v>
      </c>
      <c r="L27" s="28" t="str">
        <f>"109,9993"</f>
        <v>109,9993</v>
      </c>
      <c r="M27" s="16"/>
    </row>
    <row r="29" spans="1:13" ht="16">
      <c r="A29" s="35" t="s">
        <v>61</v>
      </c>
      <c r="B29" s="35"/>
      <c r="C29" s="35"/>
      <c r="D29" s="35"/>
      <c r="E29" s="35"/>
      <c r="F29" s="35"/>
      <c r="G29" s="35"/>
      <c r="H29" s="35"/>
      <c r="I29" s="35"/>
      <c r="J29" s="35"/>
    </row>
    <row r="30" spans="1:13">
      <c r="A30" s="10" t="s">
        <v>385</v>
      </c>
      <c r="B30" s="10" t="s">
        <v>386</v>
      </c>
      <c r="C30" s="10" t="s">
        <v>387</v>
      </c>
      <c r="D30" s="10" t="s">
        <v>949</v>
      </c>
      <c r="E30" s="10" t="s">
        <v>16</v>
      </c>
      <c r="F30" s="10" t="s">
        <v>43</v>
      </c>
      <c r="G30" s="11" t="s">
        <v>33</v>
      </c>
      <c r="H30" s="11" t="s">
        <v>34</v>
      </c>
      <c r="I30" s="12" t="s">
        <v>86</v>
      </c>
      <c r="J30" s="12"/>
      <c r="K30" s="23" t="str">
        <f>"230,0"</f>
        <v>230,0</v>
      </c>
      <c r="L30" s="24" t="str">
        <f>"138,8050"</f>
        <v>138,8050</v>
      </c>
      <c r="M30" s="10" t="s">
        <v>388</v>
      </c>
    </row>
    <row r="31" spans="1:13">
      <c r="A31" s="13" t="s">
        <v>73</v>
      </c>
      <c r="B31" s="13" t="s">
        <v>74</v>
      </c>
      <c r="C31" s="13" t="s">
        <v>75</v>
      </c>
      <c r="D31" s="13" t="s">
        <v>949</v>
      </c>
      <c r="E31" s="13" t="s">
        <v>16</v>
      </c>
      <c r="F31" s="13" t="s">
        <v>43</v>
      </c>
      <c r="G31" s="14" t="s">
        <v>70</v>
      </c>
      <c r="H31" s="14" t="s">
        <v>71</v>
      </c>
      <c r="I31" s="15" t="s">
        <v>76</v>
      </c>
      <c r="J31" s="15"/>
      <c r="K31" s="25" t="str">
        <f>"217,5"</f>
        <v>217,5</v>
      </c>
      <c r="L31" s="26" t="str">
        <f>"129,4560"</f>
        <v>129,4560</v>
      </c>
      <c r="M31" s="13" t="s">
        <v>916</v>
      </c>
    </row>
    <row r="32" spans="1:13">
      <c r="A32" s="13" t="s">
        <v>390</v>
      </c>
      <c r="B32" s="13" t="s">
        <v>391</v>
      </c>
      <c r="C32" s="13" t="s">
        <v>392</v>
      </c>
      <c r="D32" s="13" t="s">
        <v>949</v>
      </c>
      <c r="E32" s="13" t="s">
        <v>16</v>
      </c>
      <c r="F32" s="13" t="s">
        <v>393</v>
      </c>
      <c r="G32" s="14" t="s">
        <v>394</v>
      </c>
      <c r="H32" s="14" t="s">
        <v>252</v>
      </c>
      <c r="I32" s="14" t="s">
        <v>284</v>
      </c>
      <c r="J32" s="15"/>
      <c r="K32" s="25" t="str">
        <f>"212,5"</f>
        <v>212,5</v>
      </c>
      <c r="L32" s="26" t="str">
        <f>"125,3750"</f>
        <v>125,3750</v>
      </c>
      <c r="M32" s="13" t="s">
        <v>395</v>
      </c>
    </row>
    <row r="33" spans="1:13">
      <c r="A33" s="13" t="s">
        <v>396</v>
      </c>
      <c r="B33" s="13" t="s">
        <v>397</v>
      </c>
      <c r="C33" s="13" t="s">
        <v>392</v>
      </c>
      <c r="D33" s="13" t="s">
        <v>951</v>
      </c>
      <c r="E33" s="13" t="s">
        <v>16</v>
      </c>
      <c r="F33" s="13" t="s">
        <v>393</v>
      </c>
      <c r="G33" s="14" t="s">
        <v>394</v>
      </c>
      <c r="H33" s="14" t="s">
        <v>252</v>
      </c>
      <c r="I33" s="14" t="s">
        <v>284</v>
      </c>
      <c r="J33" s="15"/>
      <c r="K33" s="25" t="str">
        <f>"212,5"</f>
        <v>212,5</v>
      </c>
      <c r="L33" s="26" t="str">
        <f>"139,5424"</f>
        <v>139,5424</v>
      </c>
      <c r="M33" s="13" t="s">
        <v>395</v>
      </c>
    </row>
    <row r="34" spans="1:13">
      <c r="A34" s="16" t="s">
        <v>399</v>
      </c>
      <c r="B34" s="16" t="s">
        <v>400</v>
      </c>
      <c r="C34" s="16" t="s">
        <v>401</v>
      </c>
      <c r="D34" s="16" t="s">
        <v>951</v>
      </c>
      <c r="E34" s="16" t="s">
        <v>16</v>
      </c>
      <c r="F34" s="16" t="s">
        <v>43</v>
      </c>
      <c r="G34" s="17" t="s">
        <v>47</v>
      </c>
      <c r="H34" s="17" t="s">
        <v>179</v>
      </c>
      <c r="I34" s="17" t="s">
        <v>279</v>
      </c>
      <c r="J34" s="18"/>
      <c r="K34" s="27" t="str">
        <f>"157,5"</f>
        <v>157,5</v>
      </c>
      <c r="L34" s="28" t="str">
        <f>"99,7822"</f>
        <v>99,7822</v>
      </c>
      <c r="M34" s="16" t="s">
        <v>915</v>
      </c>
    </row>
    <row r="36" spans="1:13" ht="16">
      <c r="A36" s="35" t="s">
        <v>180</v>
      </c>
      <c r="B36" s="35"/>
      <c r="C36" s="35"/>
      <c r="D36" s="35"/>
      <c r="E36" s="35"/>
      <c r="F36" s="35"/>
      <c r="G36" s="35"/>
      <c r="H36" s="35"/>
      <c r="I36" s="35"/>
      <c r="J36" s="35"/>
    </row>
    <row r="37" spans="1:13">
      <c r="A37" s="10" t="s">
        <v>403</v>
      </c>
      <c r="B37" s="10" t="s">
        <v>404</v>
      </c>
      <c r="C37" s="10" t="s">
        <v>405</v>
      </c>
      <c r="D37" s="10" t="s">
        <v>949</v>
      </c>
      <c r="E37" s="10" t="s">
        <v>16</v>
      </c>
      <c r="F37" s="10" t="s">
        <v>43</v>
      </c>
      <c r="G37" s="12" t="s">
        <v>252</v>
      </c>
      <c r="H37" s="11" t="s">
        <v>252</v>
      </c>
      <c r="I37" s="12" t="s">
        <v>70</v>
      </c>
      <c r="J37" s="12"/>
      <c r="K37" s="23" t="str">
        <f>"205,0"</f>
        <v>205,0</v>
      </c>
      <c r="L37" s="24" t="str">
        <f>"118,9205"</f>
        <v>118,9205</v>
      </c>
      <c r="M37" s="10" t="s">
        <v>917</v>
      </c>
    </row>
    <row r="38" spans="1:13">
      <c r="A38" s="13" t="s">
        <v>407</v>
      </c>
      <c r="B38" s="13" t="s">
        <v>408</v>
      </c>
      <c r="C38" s="13" t="s">
        <v>409</v>
      </c>
      <c r="D38" s="13" t="s">
        <v>949</v>
      </c>
      <c r="E38" s="13" t="s">
        <v>16</v>
      </c>
      <c r="F38" s="13" t="s">
        <v>410</v>
      </c>
      <c r="G38" s="14" t="s">
        <v>139</v>
      </c>
      <c r="H38" s="14" t="s">
        <v>140</v>
      </c>
      <c r="I38" s="15" t="s">
        <v>125</v>
      </c>
      <c r="J38" s="15"/>
      <c r="K38" s="25" t="str">
        <f>"190,0"</f>
        <v>190,0</v>
      </c>
      <c r="L38" s="26" t="str">
        <f>"110,2000"</f>
        <v>110,2000</v>
      </c>
      <c r="M38" s="13"/>
    </row>
    <row r="39" spans="1:13">
      <c r="A39" s="16" t="s">
        <v>412</v>
      </c>
      <c r="B39" s="16" t="s">
        <v>413</v>
      </c>
      <c r="C39" s="16" t="s">
        <v>414</v>
      </c>
      <c r="D39" s="16" t="s">
        <v>951</v>
      </c>
      <c r="E39" s="16" t="s">
        <v>16</v>
      </c>
      <c r="F39" s="16" t="s">
        <v>43</v>
      </c>
      <c r="G39" s="17" t="s">
        <v>124</v>
      </c>
      <c r="H39" s="17" t="s">
        <v>140</v>
      </c>
      <c r="I39" s="17" t="s">
        <v>262</v>
      </c>
      <c r="J39" s="18"/>
      <c r="K39" s="27" t="str">
        <f>"192,5"</f>
        <v>192,5</v>
      </c>
      <c r="L39" s="28" t="str">
        <f>"117,8720"</f>
        <v>117,8720</v>
      </c>
      <c r="M39" s="16" t="s">
        <v>915</v>
      </c>
    </row>
    <row r="41" spans="1:13" ht="16">
      <c r="A41" s="35" t="s">
        <v>294</v>
      </c>
      <c r="B41" s="35"/>
      <c r="C41" s="35"/>
      <c r="D41" s="35"/>
      <c r="E41" s="35"/>
      <c r="F41" s="35"/>
      <c r="G41" s="35"/>
      <c r="H41" s="35"/>
      <c r="I41" s="35"/>
      <c r="J41" s="35"/>
    </row>
    <row r="42" spans="1:13">
      <c r="A42" s="10" t="s">
        <v>416</v>
      </c>
      <c r="B42" s="10" t="s">
        <v>417</v>
      </c>
      <c r="C42" s="10" t="s">
        <v>418</v>
      </c>
      <c r="D42" s="10" t="s">
        <v>949</v>
      </c>
      <c r="E42" s="10" t="s">
        <v>16</v>
      </c>
      <c r="F42" s="10" t="s">
        <v>419</v>
      </c>
      <c r="G42" s="11" t="s">
        <v>49</v>
      </c>
      <c r="H42" s="11" t="s">
        <v>420</v>
      </c>
      <c r="I42" s="12" t="s">
        <v>124</v>
      </c>
      <c r="J42" s="12"/>
      <c r="K42" s="23" t="str">
        <f>"182,5"</f>
        <v>182,5</v>
      </c>
      <c r="L42" s="24" t="str">
        <f>"103,5870"</f>
        <v>103,5870</v>
      </c>
      <c r="M42" s="10"/>
    </row>
    <row r="43" spans="1:13">
      <c r="A43" s="16" t="s">
        <v>422</v>
      </c>
      <c r="B43" s="16" t="s">
        <v>423</v>
      </c>
      <c r="C43" s="16" t="s">
        <v>424</v>
      </c>
      <c r="D43" s="16" t="s">
        <v>951</v>
      </c>
      <c r="E43" s="16" t="s">
        <v>16</v>
      </c>
      <c r="F43" s="16" t="s">
        <v>425</v>
      </c>
      <c r="G43" s="17" t="s">
        <v>139</v>
      </c>
      <c r="H43" s="18" t="s">
        <v>32</v>
      </c>
      <c r="I43" s="18" t="s">
        <v>32</v>
      </c>
      <c r="J43" s="18"/>
      <c r="K43" s="27" t="str">
        <f>"180,0"</f>
        <v>180,0</v>
      </c>
      <c r="L43" s="28" t="str">
        <f>"112,2305"</f>
        <v>112,2305</v>
      </c>
      <c r="M43" s="16"/>
    </row>
    <row r="45" spans="1:13" ht="16">
      <c r="E45" s="19" t="s">
        <v>88</v>
      </c>
    </row>
    <row r="46" spans="1:13" ht="16">
      <c r="E46" s="19" t="s">
        <v>89</v>
      </c>
    </row>
    <row r="47" spans="1:13" ht="16">
      <c r="E47" s="19" t="s">
        <v>90</v>
      </c>
    </row>
    <row r="48" spans="1:13" ht="16">
      <c r="E48" s="19" t="s">
        <v>91</v>
      </c>
    </row>
    <row r="49" spans="1:5" ht="16">
      <c r="E49" s="19" t="s">
        <v>91</v>
      </c>
    </row>
    <row r="50" spans="1:5" ht="16">
      <c r="E50" s="19" t="s">
        <v>92</v>
      </c>
    </row>
    <row r="51" spans="1:5" ht="16">
      <c r="E51" s="19"/>
    </row>
    <row r="53" spans="1:5" ht="18">
      <c r="A53" s="29" t="s">
        <v>93</v>
      </c>
      <c r="B53" s="29"/>
    </row>
    <row r="54" spans="1:5" ht="16">
      <c r="A54" s="30" t="s">
        <v>94</v>
      </c>
      <c r="B54" s="30"/>
    </row>
    <row r="55" spans="1:5" ht="14">
      <c r="A55" s="32"/>
      <c r="B55" s="33" t="s">
        <v>95</v>
      </c>
    </row>
    <row r="56" spans="1:5" ht="14">
      <c r="A56" s="6" t="s">
        <v>96</v>
      </c>
      <c r="B56" s="6" t="s">
        <v>97</v>
      </c>
      <c r="C56" s="6" t="s">
        <v>98</v>
      </c>
      <c r="D56" s="6" t="s">
        <v>426</v>
      </c>
      <c r="E56" s="6" t="s">
        <v>100</v>
      </c>
    </row>
    <row r="57" spans="1:5">
      <c r="A57" s="31" t="s">
        <v>341</v>
      </c>
      <c r="B57" s="4" t="s">
        <v>95</v>
      </c>
      <c r="C57" s="4" t="s">
        <v>141</v>
      </c>
      <c r="D57" s="4" t="s">
        <v>20</v>
      </c>
      <c r="E57" s="20" t="s">
        <v>427</v>
      </c>
    </row>
    <row r="58" spans="1:5">
      <c r="A58" s="31" t="s">
        <v>337</v>
      </c>
      <c r="B58" s="4" t="s">
        <v>95</v>
      </c>
      <c r="C58" s="4" t="s">
        <v>191</v>
      </c>
      <c r="D58" s="4" t="s">
        <v>21</v>
      </c>
      <c r="E58" s="20" t="s">
        <v>428</v>
      </c>
    </row>
    <row r="61" spans="1:5" ht="16">
      <c r="A61" s="30" t="s">
        <v>104</v>
      </c>
      <c r="B61" s="30"/>
    </row>
    <row r="62" spans="1:5" ht="14">
      <c r="A62" s="32"/>
      <c r="B62" s="33" t="s">
        <v>95</v>
      </c>
    </row>
    <row r="63" spans="1:5" ht="14">
      <c r="A63" s="6" t="s">
        <v>96</v>
      </c>
      <c r="B63" s="6" t="s">
        <v>97</v>
      </c>
      <c r="C63" s="6" t="s">
        <v>98</v>
      </c>
      <c r="D63" s="6" t="s">
        <v>426</v>
      </c>
      <c r="E63" s="6" t="s">
        <v>100</v>
      </c>
    </row>
    <row r="64" spans="1:5">
      <c r="A64" s="31" t="s">
        <v>384</v>
      </c>
      <c r="B64" s="4" t="s">
        <v>95</v>
      </c>
      <c r="C64" s="4" t="s">
        <v>105</v>
      </c>
      <c r="D64" s="4" t="s">
        <v>34</v>
      </c>
      <c r="E64" s="20" t="s">
        <v>429</v>
      </c>
    </row>
    <row r="65" spans="1:5">
      <c r="A65" s="31" t="s">
        <v>72</v>
      </c>
      <c r="B65" s="4" t="s">
        <v>95</v>
      </c>
      <c r="C65" s="4" t="s">
        <v>105</v>
      </c>
      <c r="D65" s="4" t="s">
        <v>71</v>
      </c>
      <c r="E65" s="20" t="s">
        <v>430</v>
      </c>
    </row>
    <row r="66" spans="1:5">
      <c r="A66" s="31" t="s">
        <v>389</v>
      </c>
      <c r="B66" s="4" t="s">
        <v>95</v>
      </c>
      <c r="C66" s="4" t="s">
        <v>105</v>
      </c>
      <c r="D66" s="4" t="s">
        <v>284</v>
      </c>
      <c r="E66" s="20" t="s">
        <v>431</v>
      </c>
    </row>
    <row r="67" spans="1:5">
      <c r="A67" s="31" t="s">
        <v>402</v>
      </c>
      <c r="B67" s="4" t="s">
        <v>95</v>
      </c>
      <c r="C67" s="4" t="s">
        <v>200</v>
      </c>
      <c r="D67" s="4" t="s">
        <v>252</v>
      </c>
      <c r="E67" s="20" t="s">
        <v>432</v>
      </c>
    </row>
    <row r="68" spans="1:5">
      <c r="A68" s="31" t="s">
        <v>361</v>
      </c>
      <c r="B68" s="4" t="s">
        <v>95</v>
      </c>
      <c r="C68" s="4" t="s">
        <v>317</v>
      </c>
      <c r="D68" s="4" t="s">
        <v>257</v>
      </c>
      <c r="E68" s="20" t="s">
        <v>433</v>
      </c>
    </row>
    <row r="69" spans="1:5">
      <c r="A69" s="31" t="s">
        <v>406</v>
      </c>
      <c r="B69" s="4" t="s">
        <v>95</v>
      </c>
      <c r="C69" s="4" t="s">
        <v>200</v>
      </c>
      <c r="D69" s="4" t="s">
        <v>140</v>
      </c>
      <c r="E69" s="20" t="s">
        <v>434</v>
      </c>
    </row>
    <row r="70" spans="1:5">
      <c r="A70" s="31" t="s">
        <v>415</v>
      </c>
      <c r="B70" s="4" t="s">
        <v>95</v>
      </c>
      <c r="C70" s="4" t="s">
        <v>314</v>
      </c>
      <c r="D70" s="4" t="s">
        <v>420</v>
      </c>
      <c r="E70" s="20" t="s">
        <v>435</v>
      </c>
    </row>
    <row r="71" spans="1:5">
      <c r="A71" s="31" t="s">
        <v>345</v>
      </c>
      <c r="B71" s="4" t="s">
        <v>95</v>
      </c>
      <c r="C71" s="4" t="s">
        <v>115</v>
      </c>
      <c r="D71" s="4" t="s">
        <v>19</v>
      </c>
      <c r="E71" s="20" t="s">
        <v>436</v>
      </c>
    </row>
    <row r="72" spans="1:5">
      <c r="A72" s="31" t="s">
        <v>350</v>
      </c>
      <c r="B72" s="4" t="s">
        <v>95</v>
      </c>
      <c r="C72" s="4" t="s">
        <v>115</v>
      </c>
      <c r="D72" s="4" t="s">
        <v>19</v>
      </c>
      <c r="E72" s="20" t="s">
        <v>437</v>
      </c>
    </row>
    <row r="74" spans="1:5" ht="14">
      <c r="A74" s="32"/>
      <c r="B74" s="33" t="s">
        <v>146</v>
      </c>
    </row>
    <row r="75" spans="1:5" ht="14">
      <c r="A75" s="6" t="s">
        <v>96</v>
      </c>
      <c r="B75" s="6" t="s">
        <v>97</v>
      </c>
      <c r="C75" s="6" t="s">
        <v>98</v>
      </c>
      <c r="D75" s="6" t="s">
        <v>426</v>
      </c>
      <c r="E75" s="6" t="s">
        <v>100</v>
      </c>
    </row>
    <row r="76" spans="1:5">
      <c r="A76" s="31" t="s">
        <v>389</v>
      </c>
      <c r="B76" s="4" t="s">
        <v>203</v>
      </c>
      <c r="C76" s="4" t="s">
        <v>105</v>
      </c>
      <c r="D76" s="4" t="s">
        <v>284</v>
      </c>
      <c r="E76" s="20" t="s">
        <v>438</v>
      </c>
    </row>
    <row r="77" spans="1:5">
      <c r="A77" s="31" t="s">
        <v>375</v>
      </c>
      <c r="B77" s="4" t="s">
        <v>439</v>
      </c>
      <c r="C77" s="4" t="s">
        <v>110</v>
      </c>
      <c r="D77" s="4" t="s">
        <v>257</v>
      </c>
      <c r="E77" s="20" t="s">
        <v>440</v>
      </c>
    </row>
    <row r="78" spans="1:5">
      <c r="A78" s="31" t="s">
        <v>411</v>
      </c>
      <c r="B78" s="4" t="s">
        <v>203</v>
      </c>
      <c r="C78" s="4" t="s">
        <v>200</v>
      </c>
      <c r="D78" s="4" t="s">
        <v>262</v>
      </c>
      <c r="E78" s="20" t="s">
        <v>441</v>
      </c>
    </row>
    <row r="79" spans="1:5">
      <c r="A79" s="31" t="s">
        <v>358</v>
      </c>
      <c r="B79" s="4" t="s">
        <v>442</v>
      </c>
      <c r="C79" s="4" t="s">
        <v>115</v>
      </c>
      <c r="D79" s="4" t="s">
        <v>155</v>
      </c>
      <c r="E79" s="20" t="s">
        <v>443</v>
      </c>
    </row>
    <row r="80" spans="1:5">
      <c r="A80" s="31" t="s">
        <v>421</v>
      </c>
      <c r="B80" s="4" t="s">
        <v>203</v>
      </c>
      <c r="C80" s="4" t="s">
        <v>314</v>
      </c>
      <c r="D80" s="4" t="s">
        <v>139</v>
      </c>
      <c r="E80" s="20" t="s">
        <v>444</v>
      </c>
    </row>
    <row r="81" spans="1:5">
      <c r="A81" s="31" t="s">
        <v>354</v>
      </c>
      <c r="B81" s="4" t="s">
        <v>439</v>
      </c>
      <c r="C81" s="4" t="s">
        <v>115</v>
      </c>
      <c r="D81" s="4" t="s">
        <v>165</v>
      </c>
      <c r="E81" s="20" t="s">
        <v>445</v>
      </c>
    </row>
    <row r="82" spans="1:5">
      <c r="A82" s="31" t="s">
        <v>370</v>
      </c>
      <c r="B82" s="4" t="s">
        <v>446</v>
      </c>
      <c r="C82" s="4" t="s">
        <v>317</v>
      </c>
      <c r="D82" s="4" t="s">
        <v>138</v>
      </c>
      <c r="E82" s="20" t="s">
        <v>447</v>
      </c>
    </row>
    <row r="83" spans="1:5">
      <c r="A83" s="31" t="s">
        <v>380</v>
      </c>
      <c r="B83" s="4" t="s">
        <v>439</v>
      </c>
      <c r="C83" s="4" t="s">
        <v>110</v>
      </c>
      <c r="D83" s="4" t="s">
        <v>36</v>
      </c>
      <c r="E83" s="20" t="s">
        <v>448</v>
      </c>
    </row>
    <row r="84" spans="1:5">
      <c r="A84" s="31" t="s">
        <v>398</v>
      </c>
      <c r="B84" s="4" t="s">
        <v>203</v>
      </c>
      <c r="C84" s="4" t="s">
        <v>105</v>
      </c>
      <c r="D84" s="4" t="s">
        <v>279</v>
      </c>
      <c r="E84" s="20" t="s">
        <v>449</v>
      </c>
    </row>
    <row r="85" spans="1:5">
      <c r="A85" s="31" t="s">
        <v>366</v>
      </c>
      <c r="B85" s="4" t="s">
        <v>331</v>
      </c>
      <c r="C85" s="4" t="s">
        <v>317</v>
      </c>
      <c r="D85" s="4" t="s">
        <v>178</v>
      </c>
      <c r="E85" s="20" t="s">
        <v>450</v>
      </c>
    </row>
  </sheetData>
  <mergeCells count="20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36:J36"/>
    <mergeCell ref="A41:J41"/>
    <mergeCell ref="A8:J8"/>
    <mergeCell ref="A11:J11"/>
    <mergeCell ref="A14:J14"/>
    <mergeCell ref="A20:J20"/>
    <mergeCell ref="A25:J25"/>
    <mergeCell ref="A29:J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M24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9.1640625" style="4" bestFit="1" customWidth="1"/>
    <col min="7" max="9" width="5.5" style="3" customWidth="1"/>
    <col min="10" max="10" width="4.83203125" style="3" customWidth="1"/>
    <col min="11" max="11" width="11.83203125" style="20" customWidth="1"/>
    <col min="12" max="12" width="8.5" style="2" bestFit="1" customWidth="1"/>
    <col min="13" max="13" width="13.1640625" style="4" bestFit="1" customWidth="1"/>
    <col min="14" max="16384" width="9.1640625" style="3"/>
  </cols>
  <sheetData>
    <row r="1" spans="1:13" s="2" customFormat="1" ht="29" customHeight="1">
      <c r="A1" s="42" t="s">
        <v>884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946</v>
      </c>
      <c r="C3" s="50" t="s">
        <v>7</v>
      </c>
      <c r="D3" s="36" t="s">
        <v>947</v>
      </c>
      <c r="E3" s="36" t="s">
        <v>4</v>
      </c>
      <c r="F3" s="36" t="s">
        <v>6</v>
      </c>
      <c r="G3" s="36" t="s">
        <v>9</v>
      </c>
      <c r="H3" s="36"/>
      <c r="I3" s="36"/>
      <c r="J3" s="36"/>
      <c r="K3" s="36" t="s">
        <v>451</v>
      </c>
      <c r="L3" s="36" t="s">
        <v>3</v>
      </c>
      <c r="M3" s="38" t="s">
        <v>2</v>
      </c>
    </row>
    <row r="4" spans="1:13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6">
      <c r="A5" s="40" t="s">
        <v>38</v>
      </c>
      <c r="B5" s="41"/>
      <c r="C5" s="41"/>
      <c r="D5" s="41"/>
      <c r="E5" s="41"/>
      <c r="F5" s="41"/>
      <c r="G5" s="41"/>
      <c r="H5" s="41"/>
      <c r="I5" s="41"/>
      <c r="J5" s="41"/>
    </row>
    <row r="6" spans="1:13">
      <c r="A6" s="7" t="s">
        <v>453</v>
      </c>
      <c r="B6" s="7" t="s">
        <v>454</v>
      </c>
      <c r="C6" s="7" t="s">
        <v>455</v>
      </c>
      <c r="D6" s="7" t="s">
        <v>949</v>
      </c>
      <c r="E6" s="7" t="s">
        <v>16</v>
      </c>
      <c r="F6" s="7" t="s">
        <v>43</v>
      </c>
      <c r="G6" s="8" t="s">
        <v>86</v>
      </c>
      <c r="H6" s="9" t="s">
        <v>50</v>
      </c>
      <c r="I6" s="9" t="s">
        <v>50</v>
      </c>
      <c r="J6" s="9"/>
      <c r="K6" s="21" t="str">
        <f>"240,0"</f>
        <v>240,0</v>
      </c>
      <c r="L6" s="22" t="str">
        <f>"146,8320"</f>
        <v>146,8320</v>
      </c>
      <c r="M6" s="7" t="s">
        <v>909</v>
      </c>
    </row>
    <row r="8" spans="1:13" ht="16">
      <c r="A8" s="35" t="s">
        <v>61</v>
      </c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7" t="s">
        <v>457</v>
      </c>
      <c r="B9" s="7" t="s">
        <v>458</v>
      </c>
      <c r="C9" s="7" t="s">
        <v>459</v>
      </c>
      <c r="D9" s="7" t="s">
        <v>949</v>
      </c>
      <c r="E9" s="7" t="s">
        <v>16</v>
      </c>
      <c r="F9" s="7" t="s">
        <v>245</v>
      </c>
      <c r="G9" s="8" t="s">
        <v>51</v>
      </c>
      <c r="H9" s="8" t="s">
        <v>188</v>
      </c>
      <c r="I9" s="9" t="s">
        <v>311</v>
      </c>
      <c r="J9" s="9"/>
      <c r="K9" s="21" t="str">
        <f>"277,5"</f>
        <v>277,5</v>
      </c>
      <c r="L9" s="22" t="str">
        <f>"164,3078"</f>
        <v>164,3078</v>
      </c>
      <c r="M9" s="7" t="s">
        <v>460</v>
      </c>
    </row>
    <row r="11" spans="1:13" ht="16">
      <c r="E11" s="19" t="s">
        <v>88</v>
      </c>
    </row>
    <row r="12" spans="1:13" ht="16">
      <c r="E12" s="19" t="s">
        <v>89</v>
      </c>
    </row>
    <row r="13" spans="1:13" ht="16">
      <c r="E13" s="19" t="s">
        <v>90</v>
      </c>
    </row>
    <row r="14" spans="1:13" ht="16">
      <c r="E14" s="19" t="s">
        <v>91</v>
      </c>
    </row>
    <row r="15" spans="1:13" ht="16">
      <c r="E15" s="19" t="s">
        <v>91</v>
      </c>
    </row>
    <row r="16" spans="1:13" ht="16">
      <c r="E16" s="19" t="s">
        <v>92</v>
      </c>
    </row>
    <row r="17" spans="1:5" ht="16">
      <c r="E17" s="19"/>
    </row>
    <row r="19" spans="1:5" ht="18">
      <c r="A19" s="29" t="s">
        <v>93</v>
      </c>
      <c r="B19" s="29"/>
    </row>
    <row r="20" spans="1:5" ht="16">
      <c r="A20" s="30" t="s">
        <v>104</v>
      </c>
      <c r="B20" s="30"/>
    </row>
    <row r="21" spans="1:5" ht="14">
      <c r="A21" s="32"/>
      <c r="B21" s="33" t="s">
        <v>95</v>
      </c>
    </row>
    <row r="22" spans="1:5" ht="14">
      <c r="A22" s="6" t="s">
        <v>96</v>
      </c>
      <c r="B22" s="6" t="s">
        <v>97</v>
      </c>
      <c r="C22" s="6" t="s">
        <v>98</v>
      </c>
      <c r="D22" s="6" t="s">
        <v>426</v>
      </c>
      <c r="E22" s="6" t="s">
        <v>100</v>
      </c>
    </row>
    <row r="23" spans="1:5">
      <c r="A23" s="31" t="s">
        <v>456</v>
      </c>
      <c r="B23" s="4" t="s">
        <v>95</v>
      </c>
      <c r="C23" s="4" t="s">
        <v>105</v>
      </c>
      <c r="D23" s="4" t="s">
        <v>188</v>
      </c>
      <c r="E23" s="20" t="s">
        <v>461</v>
      </c>
    </row>
    <row r="24" spans="1:5">
      <c r="A24" s="31" t="s">
        <v>452</v>
      </c>
      <c r="B24" s="4" t="s">
        <v>95</v>
      </c>
      <c r="C24" s="4" t="s">
        <v>110</v>
      </c>
      <c r="D24" s="4" t="s">
        <v>86</v>
      </c>
      <c r="E24" s="20" t="s">
        <v>462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M103"/>
  <sheetViews>
    <sheetView topLeftCell="A18" workbookViewId="0">
      <selection activeCell="D54" sqref="D54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6.1640625" style="4" bestFit="1" customWidth="1"/>
    <col min="7" max="10" width="5.5" style="3" customWidth="1"/>
    <col min="11" max="11" width="11.33203125" style="20" bestFit="1" customWidth="1"/>
    <col min="12" max="12" width="8.5" style="2" bestFit="1" customWidth="1"/>
    <col min="13" max="13" width="32.5" style="4" bestFit="1" customWidth="1"/>
    <col min="14" max="16384" width="9.1640625" style="3"/>
  </cols>
  <sheetData>
    <row r="1" spans="1:13" s="2" customFormat="1" ht="29" customHeight="1">
      <c r="A1" s="42" t="s">
        <v>880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946</v>
      </c>
      <c r="C3" s="50" t="s">
        <v>7</v>
      </c>
      <c r="D3" s="36" t="s">
        <v>947</v>
      </c>
      <c r="E3" s="36" t="s">
        <v>4</v>
      </c>
      <c r="F3" s="36" t="s">
        <v>6</v>
      </c>
      <c r="G3" s="36" t="s">
        <v>10</v>
      </c>
      <c r="H3" s="36"/>
      <c r="I3" s="36"/>
      <c r="J3" s="36"/>
      <c r="K3" s="36" t="s">
        <v>451</v>
      </c>
      <c r="L3" s="36" t="s">
        <v>3</v>
      </c>
      <c r="M3" s="38" t="s">
        <v>2</v>
      </c>
    </row>
    <row r="4" spans="1:13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6">
      <c r="A5" s="40" t="s">
        <v>11</v>
      </c>
      <c r="B5" s="41"/>
      <c r="C5" s="41"/>
      <c r="D5" s="41"/>
      <c r="E5" s="41"/>
      <c r="F5" s="41"/>
      <c r="G5" s="41"/>
      <c r="H5" s="41"/>
      <c r="I5" s="41"/>
      <c r="J5" s="41"/>
    </row>
    <row r="6" spans="1:13">
      <c r="A6" s="7" t="s">
        <v>707</v>
      </c>
      <c r="B6" s="7" t="s">
        <v>708</v>
      </c>
      <c r="C6" s="7" t="s">
        <v>709</v>
      </c>
      <c r="D6" s="7" t="s">
        <v>951</v>
      </c>
      <c r="E6" s="7" t="s">
        <v>16</v>
      </c>
      <c r="F6" s="7" t="s">
        <v>710</v>
      </c>
      <c r="G6" s="8" t="s">
        <v>155</v>
      </c>
      <c r="H6" s="8" t="s">
        <v>159</v>
      </c>
      <c r="I6" s="8" t="s">
        <v>215</v>
      </c>
      <c r="J6" s="9"/>
      <c r="K6" s="21" t="str">
        <f>"115,0"</f>
        <v>115,0</v>
      </c>
      <c r="L6" s="22" t="str">
        <f>"146,4043"</f>
        <v>146,4043</v>
      </c>
      <c r="M6" s="7"/>
    </row>
    <row r="8" spans="1:13" ht="16">
      <c r="A8" s="35" t="s">
        <v>160</v>
      </c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10" t="s">
        <v>712</v>
      </c>
      <c r="B9" s="10" t="s">
        <v>713</v>
      </c>
      <c r="C9" s="10" t="s">
        <v>335</v>
      </c>
      <c r="D9" s="10" t="s">
        <v>949</v>
      </c>
      <c r="E9" s="10" t="s">
        <v>16</v>
      </c>
      <c r="F9" s="10" t="s">
        <v>714</v>
      </c>
      <c r="G9" s="11" t="s">
        <v>18</v>
      </c>
      <c r="H9" s="12" t="s">
        <v>19</v>
      </c>
      <c r="I9" s="12" t="s">
        <v>19</v>
      </c>
      <c r="J9" s="12"/>
      <c r="K9" s="23" t="str">
        <f>"110,0"</f>
        <v>110,0</v>
      </c>
      <c r="L9" s="24" t="str">
        <f>"125,5760"</f>
        <v>125,5760</v>
      </c>
      <c r="M9" s="10" t="s">
        <v>893</v>
      </c>
    </row>
    <row r="10" spans="1:13">
      <c r="A10" s="16" t="s">
        <v>716</v>
      </c>
      <c r="B10" s="16" t="s">
        <v>717</v>
      </c>
      <c r="C10" s="16" t="s">
        <v>718</v>
      </c>
      <c r="D10" s="16" t="s">
        <v>952</v>
      </c>
      <c r="E10" s="16" t="s">
        <v>16</v>
      </c>
      <c r="F10" s="16" t="s">
        <v>43</v>
      </c>
      <c r="G10" s="17" t="s">
        <v>155</v>
      </c>
      <c r="H10" s="17" t="s">
        <v>159</v>
      </c>
      <c r="I10" s="17" t="s">
        <v>18</v>
      </c>
      <c r="J10" s="18"/>
      <c r="K10" s="27" t="str">
        <f>"110,0"</f>
        <v>110,0</v>
      </c>
      <c r="L10" s="28" t="str">
        <f>"126,2362"</f>
        <v>126,2362</v>
      </c>
      <c r="M10" s="16" t="s">
        <v>894</v>
      </c>
    </row>
    <row r="12" spans="1:13" ht="16">
      <c r="A12" s="35" t="s">
        <v>170</v>
      </c>
      <c r="B12" s="35"/>
      <c r="C12" s="35"/>
      <c r="D12" s="35"/>
      <c r="E12" s="35"/>
      <c r="F12" s="35"/>
      <c r="G12" s="35"/>
      <c r="H12" s="35"/>
      <c r="I12" s="35"/>
      <c r="J12" s="35"/>
    </row>
    <row r="13" spans="1:13">
      <c r="A13" s="10" t="s">
        <v>232</v>
      </c>
      <c r="B13" s="10" t="s">
        <v>233</v>
      </c>
      <c r="C13" s="10" t="s">
        <v>234</v>
      </c>
      <c r="D13" s="10" t="s">
        <v>949</v>
      </c>
      <c r="E13" s="10" t="s">
        <v>16</v>
      </c>
      <c r="F13" s="10" t="s">
        <v>43</v>
      </c>
      <c r="G13" s="11" t="s">
        <v>138</v>
      </c>
      <c r="H13" s="12" t="s">
        <v>235</v>
      </c>
      <c r="I13" s="11" t="s">
        <v>35</v>
      </c>
      <c r="J13" s="11" t="s">
        <v>236</v>
      </c>
      <c r="K13" s="23" t="str">
        <f>"140,0"</f>
        <v>140,0</v>
      </c>
      <c r="L13" s="24" t="str">
        <f>"144,1160"</f>
        <v>144,1160</v>
      </c>
      <c r="M13" s="10"/>
    </row>
    <row r="14" spans="1:13">
      <c r="A14" s="13" t="s">
        <v>720</v>
      </c>
      <c r="B14" s="13" t="s">
        <v>721</v>
      </c>
      <c r="C14" s="13" t="s">
        <v>722</v>
      </c>
      <c r="D14" s="13" t="s">
        <v>951</v>
      </c>
      <c r="E14" s="13" t="s">
        <v>16</v>
      </c>
      <c r="F14" s="13" t="s">
        <v>43</v>
      </c>
      <c r="G14" s="14" t="s">
        <v>19</v>
      </c>
      <c r="H14" s="14" t="s">
        <v>126</v>
      </c>
      <c r="I14" s="14" t="s">
        <v>36</v>
      </c>
      <c r="J14" s="15"/>
      <c r="K14" s="25" t="str">
        <f>"147,5"</f>
        <v>147,5</v>
      </c>
      <c r="L14" s="26" t="str">
        <f>"161,2457"</f>
        <v>161,2457</v>
      </c>
      <c r="M14" s="13" t="s">
        <v>895</v>
      </c>
    </row>
    <row r="15" spans="1:13">
      <c r="A15" s="16" t="s">
        <v>724</v>
      </c>
      <c r="B15" s="16" t="s">
        <v>725</v>
      </c>
      <c r="C15" s="16" t="s">
        <v>726</v>
      </c>
      <c r="D15" s="16" t="s">
        <v>951</v>
      </c>
      <c r="E15" s="16" t="s">
        <v>16</v>
      </c>
      <c r="F15" s="16" t="s">
        <v>43</v>
      </c>
      <c r="G15" s="17" t="s">
        <v>528</v>
      </c>
      <c r="H15" s="17" t="s">
        <v>246</v>
      </c>
      <c r="I15" s="17" t="s">
        <v>476</v>
      </c>
      <c r="J15" s="18"/>
      <c r="K15" s="27" t="str">
        <f>"57,5"</f>
        <v>57,5</v>
      </c>
      <c r="L15" s="28" t="str">
        <f>"67,7452"</f>
        <v>67,7452</v>
      </c>
      <c r="M15" s="16" t="s">
        <v>896</v>
      </c>
    </row>
    <row r="17" spans="1:13" ht="16">
      <c r="A17" s="35" t="s">
        <v>118</v>
      </c>
      <c r="B17" s="35"/>
      <c r="C17" s="35"/>
      <c r="D17" s="35"/>
      <c r="E17" s="35"/>
      <c r="F17" s="35"/>
      <c r="G17" s="35"/>
      <c r="H17" s="35"/>
      <c r="I17" s="35"/>
      <c r="J17" s="35"/>
    </row>
    <row r="18" spans="1:13">
      <c r="A18" s="7" t="s">
        <v>728</v>
      </c>
      <c r="B18" s="7" t="s">
        <v>729</v>
      </c>
      <c r="C18" s="7" t="s">
        <v>730</v>
      </c>
      <c r="D18" s="7" t="s">
        <v>949</v>
      </c>
      <c r="E18" s="7" t="s">
        <v>16</v>
      </c>
      <c r="F18" s="7" t="s">
        <v>43</v>
      </c>
      <c r="G18" s="8" t="s">
        <v>236</v>
      </c>
      <c r="H18" s="8" t="s">
        <v>47</v>
      </c>
      <c r="I18" s="9" t="s">
        <v>175</v>
      </c>
      <c r="J18" s="9"/>
      <c r="K18" s="21" t="str">
        <f>"150,0"</f>
        <v>150,0</v>
      </c>
      <c r="L18" s="22" t="str">
        <f>"145,3350"</f>
        <v>145,3350</v>
      </c>
      <c r="M18" s="7"/>
    </row>
    <row r="20" spans="1:13" ht="16">
      <c r="A20" s="35" t="s">
        <v>264</v>
      </c>
      <c r="B20" s="35"/>
      <c r="C20" s="35"/>
      <c r="D20" s="35"/>
      <c r="E20" s="35"/>
      <c r="F20" s="35"/>
      <c r="G20" s="35"/>
      <c r="H20" s="35"/>
      <c r="I20" s="35"/>
      <c r="J20" s="35"/>
    </row>
    <row r="21" spans="1:13">
      <c r="A21" s="7" t="s">
        <v>732</v>
      </c>
      <c r="B21" s="7" t="s">
        <v>733</v>
      </c>
      <c r="C21" s="7" t="s">
        <v>373</v>
      </c>
      <c r="D21" s="7" t="s">
        <v>949</v>
      </c>
      <c r="E21" s="7" t="s">
        <v>16</v>
      </c>
      <c r="F21" s="7" t="s">
        <v>43</v>
      </c>
      <c r="G21" s="8" t="s">
        <v>35</v>
      </c>
      <c r="H21" s="8" t="s">
        <v>175</v>
      </c>
      <c r="I21" s="9" t="s">
        <v>48</v>
      </c>
      <c r="J21" s="9"/>
      <c r="K21" s="21" t="str">
        <f>"155,0"</f>
        <v>155,0</v>
      </c>
      <c r="L21" s="22" t="str">
        <f>"135,0205"</f>
        <v>135,0205</v>
      </c>
      <c r="M21" s="7" t="s">
        <v>477</v>
      </c>
    </row>
    <row r="23" spans="1:13" ht="16">
      <c r="A23" s="35" t="s">
        <v>118</v>
      </c>
      <c r="B23" s="35"/>
      <c r="C23" s="35"/>
      <c r="D23" s="35"/>
      <c r="E23" s="35"/>
      <c r="F23" s="35"/>
      <c r="G23" s="35"/>
      <c r="H23" s="35"/>
      <c r="I23" s="35"/>
      <c r="J23" s="35"/>
    </row>
    <row r="24" spans="1:13">
      <c r="A24" s="10" t="s">
        <v>735</v>
      </c>
      <c r="B24" s="10" t="s">
        <v>736</v>
      </c>
      <c r="C24" s="10" t="s">
        <v>737</v>
      </c>
      <c r="D24" s="10" t="s">
        <v>949</v>
      </c>
      <c r="E24" s="10" t="s">
        <v>16</v>
      </c>
      <c r="F24" s="10" t="s">
        <v>738</v>
      </c>
      <c r="G24" s="12" t="s">
        <v>124</v>
      </c>
      <c r="H24" s="11" t="s">
        <v>124</v>
      </c>
      <c r="I24" s="11" t="s">
        <v>32</v>
      </c>
      <c r="J24" s="12"/>
      <c r="K24" s="23" t="str">
        <f>"200,0"</f>
        <v>200,0</v>
      </c>
      <c r="L24" s="24" t="str">
        <f>"143,5800"</f>
        <v>143,5800</v>
      </c>
      <c r="M24" s="10" t="s">
        <v>897</v>
      </c>
    </row>
    <row r="25" spans="1:13">
      <c r="A25" s="16" t="s">
        <v>740</v>
      </c>
      <c r="B25" s="16" t="s">
        <v>741</v>
      </c>
      <c r="C25" s="16" t="s">
        <v>742</v>
      </c>
      <c r="D25" s="16" t="s">
        <v>954</v>
      </c>
      <c r="E25" s="16" t="s">
        <v>16</v>
      </c>
      <c r="F25" s="16" t="s">
        <v>743</v>
      </c>
      <c r="G25" s="17" t="s">
        <v>49</v>
      </c>
      <c r="H25" s="17" t="s">
        <v>420</v>
      </c>
      <c r="I25" s="18" t="s">
        <v>140</v>
      </c>
      <c r="J25" s="18"/>
      <c r="K25" s="27" t="str">
        <f>"182,5"</f>
        <v>182,5</v>
      </c>
      <c r="L25" s="28" t="str">
        <f>"151,9329"</f>
        <v>151,9329</v>
      </c>
      <c r="M25" s="16" t="s">
        <v>52</v>
      </c>
    </row>
    <row r="27" spans="1:13" ht="16">
      <c r="A27" s="35" t="s">
        <v>26</v>
      </c>
      <c r="B27" s="35"/>
      <c r="C27" s="35"/>
      <c r="D27" s="35"/>
      <c r="E27" s="35"/>
      <c r="F27" s="35"/>
      <c r="G27" s="35"/>
      <c r="H27" s="35"/>
      <c r="I27" s="35"/>
      <c r="J27" s="35"/>
    </row>
    <row r="28" spans="1:13">
      <c r="A28" s="10" t="s">
        <v>745</v>
      </c>
      <c r="B28" s="10" t="s">
        <v>746</v>
      </c>
      <c r="C28" s="10" t="s">
        <v>747</v>
      </c>
      <c r="D28" s="10" t="s">
        <v>949</v>
      </c>
      <c r="E28" s="10" t="s">
        <v>16</v>
      </c>
      <c r="F28" s="10" t="s">
        <v>43</v>
      </c>
      <c r="G28" s="11" t="s">
        <v>641</v>
      </c>
      <c r="H28" s="11" t="s">
        <v>278</v>
      </c>
      <c r="I28" s="11" t="s">
        <v>76</v>
      </c>
      <c r="J28" s="12"/>
      <c r="K28" s="23" t="str">
        <f>"222,5"</f>
        <v>222,5</v>
      </c>
      <c r="L28" s="24" t="str">
        <f>"151,5448"</f>
        <v>151,5448</v>
      </c>
      <c r="M28" s="10"/>
    </row>
    <row r="29" spans="1:13">
      <c r="A29" s="16" t="s">
        <v>749</v>
      </c>
      <c r="B29" s="16" t="s">
        <v>750</v>
      </c>
      <c r="C29" s="16" t="s">
        <v>751</v>
      </c>
      <c r="D29" s="16" t="s">
        <v>955</v>
      </c>
      <c r="E29" s="16" t="s">
        <v>16</v>
      </c>
      <c r="F29" s="16" t="s">
        <v>752</v>
      </c>
      <c r="G29" s="18" t="s">
        <v>70</v>
      </c>
      <c r="H29" s="17" t="s">
        <v>70</v>
      </c>
      <c r="I29" s="17" t="s">
        <v>293</v>
      </c>
      <c r="J29" s="18"/>
      <c r="K29" s="27" t="str">
        <f>"225,0"</f>
        <v>225,0</v>
      </c>
      <c r="L29" s="28" t="str">
        <f>"222,0490"</f>
        <v>222,0490</v>
      </c>
      <c r="M29" s="16" t="s">
        <v>898</v>
      </c>
    </row>
    <row r="31" spans="1:13" ht="16">
      <c r="A31" s="35" t="s">
        <v>264</v>
      </c>
      <c r="B31" s="35"/>
      <c r="C31" s="35"/>
      <c r="D31" s="35"/>
      <c r="E31" s="35"/>
      <c r="F31" s="35"/>
      <c r="G31" s="35"/>
      <c r="H31" s="35"/>
      <c r="I31" s="35"/>
      <c r="J31" s="35"/>
    </row>
    <row r="32" spans="1:13">
      <c r="A32" s="10" t="s">
        <v>754</v>
      </c>
      <c r="B32" s="10" t="s">
        <v>755</v>
      </c>
      <c r="C32" s="10" t="s">
        <v>373</v>
      </c>
      <c r="D32" s="10" t="s">
        <v>949</v>
      </c>
      <c r="E32" s="10" t="s">
        <v>16</v>
      </c>
      <c r="F32" s="10" t="s">
        <v>752</v>
      </c>
      <c r="G32" s="11" t="s">
        <v>37</v>
      </c>
      <c r="H32" s="11" t="s">
        <v>186</v>
      </c>
      <c r="I32" s="12"/>
      <c r="J32" s="12"/>
      <c r="K32" s="23" t="str">
        <f>"255,0"</f>
        <v>255,0</v>
      </c>
      <c r="L32" s="24" t="str">
        <f>"164,3985"</f>
        <v>164,3985</v>
      </c>
      <c r="M32" s="10" t="s">
        <v>898</v>
      </c>
    </row>
    <row r="33" spans="1:13">
      <c r="A33" s="13" t="s">
        <v>756</v>
      </c>
      <c r="B33" s="13" t="s">
        <v>282</v>
      </c>
      <c r="C33" s="13" t="s">
        <v>283</v>
      </c>
      <c r="D33" s="13" t="s">
        <v>949</v>
      </c>
      <c r="E33" s="13" t="s">
        <v>16</v>
      </c>
      <c r="F33" s="13" t="s">
        <v>43</v>
      </c>
      <c r="G33" s="14" t="s">
        <v>32</v>
      </c>
      <c r="H33" s="14" t="s">
        <v>70</v>
      </c>
      <c r="I33" s="14" t="s">
        <v>284</v>
      </c>
      <c r="J33" s="15"/>
      <c r="K33" s="25" t="str">
        <f>"212,5"</f>
        <v>212,5</v>
      </c>
      <c r="L33" s="26" t="str">
        <f>"137,8487"</f>
        <v>137,8487</v>
      </c>
      <c r="M33" s="13" t="s">
        <v>899</v>
      </c>
    </row>
    <row r="34" spans="1:13">
      <c r="A34" s="16" t="s">
        <v>371</v>
      </c>
      <c r="B34" s="16" t="s">
        <v>372</v>
      </c>
      <c r="C34" s="16" t="s">
        <v>373</v>
      </c>
      <c r="D34" s="16" t="s">
        <v>955</v>
      </c>
      <c r="E34" s="16" t="s">
        <v>16</v>
      </c>
      <c r="F34" s="16" t="s">
        <v>374</v>
      </c>
      <c r="G34" s="17" t="s">
        <v>32</v>
      </c>
      <c r="H34" s="17" t="s">
        <v>70</v>
      </c>
      <c r="I34" s="17" t="s">
        <v>33</v>
      </c>
      <c r="J34" s="17" t="s">
        <v>293</v>
      </c>
      <c r="K34" s="27" t="str">
        <f>"220,0"</f>
        <v>220,0</v>
      </c>
      <c r="L34" s="28" t="str">
        <f>"193,7452"</f>
        <v>193,7452</v>
      </c>
      <c r="M34" s="16" t="s">
        <v>900</v>
      </c>
    </row>
    <row r="36" spans="1:13" ht="16">
      <c r="A36" s="35" t="s">
        <v>38</v>
      </c>
      <c r="B36" s="35"/>
      <c r="C36" s="35"/>
      <c r="D36" s="35"/>
      <c r="E36" s="35"/>
      <c r="F36" s="35"/>
      <c r="G36" s="35"/>
      <c r="H36" s="35"/>
      <c r="I36" s="35"/>
      <c r="J36" s="35"/>
    </row>
    <row r="37" spans="1:13">
      <c r="A37" s="10" t="s">
        <v>758</v>
      </c>
      <c r="B37" s="10" t="s">
        <v>759</v>
      </c>
      <c r="C37" s="10" t="s">
        <v>577</v>
      </c>
      <c r="D37" s="10" t="s">
        <v>949</v>
      </c>
      <c r="E37" s="10" t="s">
        <v>16</v>
      </c>
      <c r="F37" s="10" t="s">
        <v>760</v>
      </c>
      <c r="G37" s="11" t="s">
        <v>70</v>
      </c>
      <c r="H37" s="11" t="s">
        <v>293</v>
      </c>
      <c r="I37" s="11" t="s">
        <v>761</v>
      </c>
      <c r="J37" s="12"/>
      <c r="K37" s="23" t="str">
        <f>"237,5"</f>
        <v>237,5</v>
      </c>
      <c r="L37" s="24" t="str">
        <f>"145,7300"</f>
        <v>145,7300</v>
      </c>
      <c r="M37" s="10" t="s">
        <v>901</v>
      </c>
    </row>
    <row r="38" spans="1:13">
      <c r="A38" s="13" t="s">
        <v>763</v>
      </c>
      <c r="B38" s="13" t="s">
        <v>764</v>
      </c>
      <c r="C38" s="13" t="s">
        <v>765</v>
      </c>
      <c r="D38" s="13" t="s">
        <v>949</v>
      </c>
      <c r="E38" s="13" t="s">
        <v>16</v>
      </c>
      <c r="F38" s="13" t="s">
        <v>43</v>
      </c>
      <c r="G38" s="14" t="s">
        <v>139</v>
      </c>
      <c r="H38" s="14" t="s">
        <v>125</v>
      </c>
      <c r="I38" s="15" t="s">
        <v>277</v>
      </c>
      <c r="J38" s="15"/>
      <c r="K38" s="25" t="str">
        <f>"195,0"</f>
        <v>195,0</v>
      </c>
      <c r="L38" s="26" t="str">
        <f>"118,8720"</f>
        <v>118,8720</v>
      </c>
      <c r="M38" s="13" t="s">
        <v>902</v>
      </c>
    </row>
    <row r="39" spans="1:13">
      <c r="A39" s="13" t="s">
        <v>767</v>
      </c>
      <c r="B39" s="13" t="s">
        <v>768</v>
      </c>
      <c r="C39" s="13" t="s">
        <v>769</v>
      </c>
      <c r="D39" s="13" t="s">
        <v>949</v>
      </c>
      <c r="E39" s="13" t="s">
        <v>16</v>
      </c>
      <c r="F39" s="13" t="s">
        <v>43</v>
      </c>
      <c r="G39" s="14" t="s">
        <v>49</v>
      </c>
      <c r="H39" s="14" t="s">
        <v>139</v>
      </c>
      <c r="I39" s="14" t="s">
        <v>140</v>
      </c>
      <c r="J39" s="15"/>
      <c r="K39" s="25" t="str">
        <f>"190,0"</f>
        <v>190,0</v>
      </c>
      <c r="L39" s="26" t="str">
        <f>"120,4980"</f>
        <v>120,4980</v>
      </c>
      <c r="M39" s="13" t="s">
        <v>903</v>
      </c>
    </row>
    <row r="40" spans="1:13">
      <c r="A40" s="16" t="s">
        <v>771</v>
      </c>
      <c r="B40" s="16" t="s">
        <v>772</v>
      </c>
      <c r="C40" s="16" t="s">
        <v>773</v>
      </c>
      <c r="D40" s="16" t="s">
        <v>956</v>
      </c>
      <c r="E40" s="16" t="s">
        <v>16</v>
      </c>
      <c r="F40" s="16" t="s">
        <v>743</v>
      </c>
      <c r="G40" s="17" t="s">
        <v>124</v>
      </c>
      <c r="H40" s="17" t="s">
        <v>32</v>
      </c>
      <c r="I40" s="18" t="s">
        <v>70</v>
      </c>
      <c r="J40" s="18"/>
      <c r="K40" s="27" t="str">
        <f>"200,0"</f>
        <v>200,0</v>
      </c>
      <c r="L40" s="28" t="str">
        <f>"192,3666"</f>
        <v>192,3666</v>
      </c>
      <c r="M40" s="16" t="s">
        <v>904</v>
      </c>
    </row>
    <row r="42" spans="1:13" ht="16">
      <c r="A42" s="35" t="s">
        <v>61</v>
      </c>
      <c r="B42" s="35"/>
      <c r="C42" s="35"/>
      <c r="D42" s="35"/>
      <c r="E42" s="35"/>
      <c r="F42" s="35"/>
      <c r="G42" s="35"/>
      <c r="H42" s="35"/>
      <c r="I42" s="35"/>
      <c r="J42" s="35"/>
    </row>
    <row r="43" spans="1:13">
      <c r="A43" s="10" t="s">
        <v>775</v>
      </c>
      <c r="B43" s="10" t="s">
        <v>776</v>
      </c>
      <c r="C43" s="10" t="s">
        <v>609</v>
      </c>
      <c r="D43" s="10" t="s">
        <v>949</v>
      </c>
      <c r="E43" s="10" t="s">
        <v>16</v>
      </c>
      <c r="F43" s="10" t="s">
        <v>777</v>
      </c>
      <c r="G43" s="11" t="s">
        <v>50</v>
      </c>
      <c r="H43" s="11" t="s">
        <v>44</v>
      </c>
      <c r="I43" s="12" t="s">
        <v>778</v>
      </c>
      <c r="J43" s="12"/>
      <c r="K43" s="23" t="str">
        <f>"260,0"</f>
        <v>260,0</v>
      </c>
      <c r="L43" s="24" t="str">
        <f>"154,4660"</f>
        <v>154,4660</v>
      </c>
      <c r="M43" s="10" t="s">
        <v>905</v>
      </c>
    </row>
    <row r="44" spans="1:13">
      <c r="A44" s="16" t="s">
        <v>780</v>
      </c>
      <c r="B44" s="16" t="s">
        <v>781</v>
      </c>
      <c r="C44" s="16" t="s">
        <v>782</v>
      </c>
      <c r="D44" s="16" t="s">
        <v>952</v>
      </c>
      <c r="E44" s="16" t="s">
        <v>16</v>
      </c>
      <c r="F44" s="16" t="s">
        <v>783</v>
      </c>
      <c r="G44" s="17" t="s">
        <v>86</v>
      </c>
      <c r="H44" s="17" t="s">
        <v>44</v>
      </c>
      <c r="I44" s="17" t="s">
        <v>784</v>
      </c>
      <c r="J44" s="18"/>
      <c r="K44" s="27" t="str">
        <f>"267,5"</f>
        <v>267,5</v>
      </c>
      <c r="L44" s="28" t="str">
        <f>"160,3395"</f>
        <v>160,3395</v>
      </c>
      <c r="M44" s="16" t="s">
        <v>906</v>
      </c>
    </row>
    <row r="46" spans="1:13" ht="16">
      <c r="A46" s="35" t="s">
        <v>180</v>
      </c>
      <c r="B46" s="35"/>
      <c r="C46" s="35"/>
      <c r="D46" s="35"/>
      <c r="E46" s="35"/>
      <c r="F46" s="35"/>
      <c r="G46" s="35"/>
      <c r="H46" s="35"/>
      <c r="I46" s="35"/>
      <c r="J46" s="35"/>
    </row>
    <row r="47" spans="1:13">
      <c r="A47" s="10" t="s">
        <v>786</v>
      </c>
      <c r="B47" s="10" t="s">
        <v>787</v>
      </c>
      <c r="C47" s="10" t="s">
        <v>788</v>
      </c>
      <c r="D47" s="10" t="s">
        <v>949</v>
      </c>
      <c r="E47" s="10" t="s">
        <v>16</v>
      </c>
      <c r="F47" s="10" t="s">
        <v>43</v>
      </c>
      <c r="G47" s="11" t="s">
        <v>86</v>
      </c>
      <c r="H47" s="11" t="s">
        <v>186</v>
      </c>
      <c r="I47" s="11" t="s">
        <v>44</v>
      </c>
      <c r="J47" s="12"/>
      <c r="K47" s="23" t="str">
        <f>"260,0"</f>
        <v>260,0</v>
      </c>
      <c r="L47" s="24" t="str">
        <f>"152,5940"</f>
        <v>152,5940</v>
      </c>
      <c r="M47" s="10" t="s">
        <v>907</v>
      </c>
    </row>
    <row r="48" spans="1:13">
      <c r="A48" s="13" t="s">
        <v>182</v>
      </c>
      <c r="B48" s="13" t="s">
        <v>190</v>
      </c>
      <c r="C48" s="13" t="s">
        <v>184</v>
      </c>
      <c r="D48" s="13" t="s">
        <v>951</v>
      </c>
      <c r="E48" s="13" t="s">
        <v>16</v>
      </c>
      <c r="F48" s="13" t="s">
        <v>185</v>
      </c>
      <c r="G48" s="14" t="s">
        <v>186</v>
      </c>
      <c r="H48" s="14" t="s">
        <v>83</v>
      </c>
      <c r="I48" s="14" t="s">
        <v>188</v>
      </c>
      <c r="J48" s="15"/>
      <c r="K48" s="25" t="str">
        <f>"277,5"</f>
        <v>277,5</v>
      </c>
      <c r="L48" s="26" t="str">
        <f>"169,5236"</f>
        <v>169,5236</v>
      </c>
      <c r="M48" s="13" t="s">
        <v>189</v>
      </c>
    </row>
    <row r="49" spans="1:13">
      <c r="A49" s="16" t="s">
        <v>790</v>
      </c>
      <c r="B49" s="16" t="s">
        <v>791</v>
      </c>
      <c r="C49" s="16" t="s">
        <v>792</v>
      </c>
      <c r="D49" s="16" t="s">
        <v>955</v>
      </c>
      <c r="E49" s="16" t="s">
        <v>16</v>
      </c>
      <c r="F49" s="16" t="s">
        <v>793</v>
      </c>
      <c r="G49" s="17" t="s">
        <v>293</v>
      </c>
      <c r="H49" s="18" t="s">
        <v>794</v>
      </c>
      <c r="I49" s="18" t="s">
        <v>794</v>
      </c>
      <c r="J49" s="18"/>
      <c r="K49" s="27" t="str">
        <f>"225,0"</f>
        <v>225,0</v>
      </c>
      <c r="L49" s="28" t="str">
        <f>"182,6589"</f>
        <v>182,6589</v>
      </c>
      <c r="M49" s="16"/>
    </row>
    <row r="51" spans="1:13" ht="16">
      <c r="A51" s="35" t="s">
        <v>294</v>
      </c>
      <c r="B51" s="35"/>
      <c r="C51" s="35"/>
      <c r="D51" s="35"/>
      <c r="E51" s="35"/>
      <c r="F51" s="35"/>
      <c r="G51" s="35"/>
      <c r="H51" s="35"/>
      <c r="I51" s="35"/>
      <c r="J51" s="35"/>
    </row>
    <row r="52" spans="1:13">
      <c r="A52" s="10" t="s">
        <v>796</v>
      </c>
      <c r="B52" s="10" t="s">
        <v>797</v>
      </c>
      <c r="C52" s="10" t="s">
        <v>798</v>
      </c>
      <c r="D52" s="10" t="s">
        <v>949</v>
      </c>
      <c r="E52" s="10" t="s">
        <v>16</v>
      </c>
      <c r="F52" s="10" t="s">
        <v>760</v>
      </c>
      <c r="G52" s="11" t="s">
        <v>86</v>
      </c>
      <c r="H52" s="11" t="s">
        <v>51</v>
      </c>
      <c r="I52" s="12" t="s">
        <v>799</v>
      </c>
      <c r="J52" s="12"/>
      <c r="K52" s="23" t="str">
        <f>"270,0"</f>
        <v>270,0</v>
      </c>
      <c r="L52" s="24" t="str">
        <f>"151,0110"</f>
        <v>151,0110</v>
      </c>
      <c r="M52" s="10" t="s">
        <v>901</v>
      </c>
    </row>
    <row r="53" spans="1:13">
      <c r="A53" s="16" t="s">
        <v>801</v>
      </c>
      <c r="B53" s="16" t="s">
        <v>802</v>
      </c>
      <c r="C53" s="16" t="s">
        <v>803</v>
      </c>
      <c r="D53" s="16" t="s">
        <v>949</v>
      </c>
      <c r="E53" s="16" t="s">
        <v>16</v>
      </c>
      <c r="F53" s="16" t="s">
        <v>43</v>
      </c>
      <c r="G53" s="17" t="s">
        <v>32</v>
      </c>
      <c r="H53" s="17" t="s">
        <v>70</v>
      </c>
      <c r="I53" s="18" t="s">
        <v>263</v>
      </c>
      <c r="J53" s="18"/>
      <c r="K53" s="27" t="str">
        <f>"210,0"</f>
        <v>210,0</v>
      </c>
      <c r="L53" s="28" t="str">
        <f>"117,6210"</f>
        <v>117,6210</v>
      </c>
      <c r="M53" s="16" t="s">
        <v>908</v>
      </c>
    </row>
    <row r="55" spans="1:13" ht="16">
      <c r="E55" s="19" t="s">
        <v>88</v>
      </c>
    </row>
    <row r="56" spans="1:13" ht="16">
      <c r="E56" s="19" t="s">
        <v>89</v>
      </c>
    </row>
    <row r="57" spans="1:13" ht="16">
      <c r="E57" s="19" t="s">
        <v>90</v>
      </c>
    </row>
    <row r="58" spans="1:13" ht="16">
      <c r="E58" s="19" t="s">
        <v>91</v>
      </c>
    </row>
    <row r="59" spans="1:13" ht="16">
      <c r="E59" s="19" t="s">
        <v>91</v>
      </c>
    </row>
    <row r="60" spans="1:13" ht="16">
      <c r="E60" s="19" t="s">
        <v>92</v>
      </c>
    </row>
    <row r="61" spans="1:13" ht="16">
      <c r="E61" s="19"/>
    </row>
    <row r="63" spans="1:13" ht="18">
      <c r="A63" s="29" t="s">
        <v>93</v>
      </c>
      <c r="B63" s="29"/>
    </row>
    <row r="64" spans="1:13" ht="16">
      <c r="A64" s="30" t="s">
        <v>94</v>
      </c>
      <c r="B64" s="30"/>
    </row>
    <row r="65" spans="1:5" ht="14">
      <c r="A65" s="32"/>
      <c r="B65" s="33" t="s">
        <v>95</v>
      </c>
    </row>
    <row r="66" spans="1:5" ht="14">
      <c r="A66" s="6" t="s">
        <v>96</v>
      </c>
      <c r="B66" s="6" t="s">
        <v>97</v>
      </c>
      <c r="C66" s="6" t="s">
        <v>98</v>
      </c>
      <c r="D66" s="6" t="s">
        <v>426</v>
      </c>
      <c r="E66" s="6" t="s">
        <v>100</v>
      </c>
    </row>
    <row r="67" spans="1:5">
      <c r="A67" s="31" t="s">
        <v>727</v>
      </c>
      <c r="B67" s="4" t="s">
        <v>95</v>
      </c>
      <c r="C67" s="4" t="s">
        <v>141</v>
      </c>
      <c r="D67" s="4" t="s">
        <v>47</v>
      </c>
      <c r="E67" s="20" t="s">
        <v>804</v>
      </c>
    </row>
    <row r="68" spans="1:5">
      <c r="A68" s="31" t="s">
        <v>231</v>
      </c>
      <c r="B68" s="4" t="s">
        <v>95</v>
      </c>
      <c r="C68" s="4" t="s">
        <v>191</v>
      </c>
      <c r="D68" s="4" t="s">
        <v>35</v>
      </c>
      <c r="E68" s="20" t="s">
        <v>805</v>
      </c>
    </row>
    <row r="69" spans="1:5">
      <c r="A69" s="31" t="s">
        <v>731</v>
      </c>
      <c r="B69" s="4" t="s">
        <v>95</v>
      </c>
      <c r="C69" s="4" t="s">
        <v>317</v>
      </c>
      <c r="D69" s="4" t="s">
        <v>175</v>
      </c>
      <c r="E69" s="20" t="s">
        <v>806</v>
      </c>
    </row>
    <row r="70" spans="1:5">
      <c r="A70" s="31" t="s">
        <v>711</v>
      </c>
      <c r="B70" s="4" t="s">
        <v>95</v>
      </c>
      <c r="C70" s="4" t="s">
        <v>194</v>
      </c>
      <c r="D70" s="4" t="s">
        <v>18</v>
      </c>
      <c r="E70" s="20" t="s">
        <v>807</v>
      </c>
    </row>
    <row r="72" spans="1:5" ht="14">
      <c r="A72" s="32"/>
      <c r="B72" s="33" t="s">
        <v>146</v>
      </c>
    </row>
    <row r="73" spans="1:5" ht="14">
      <c r="A73" s="6" t="s">
        <v>96</v>
      </c>
      <c r="B73" s="6" t="s">
        <v>97</v>
      </c>
      <c r="C73" s="6" t="s">
        <v>98</v>
      </c>
      <c r="D73" s="6" t="s">
        <v>426</v>
      </c>
      <c r="E73" s="6" t="s">
        <v>100</v>
      </c>
    </row>
    <row r="74" spans="1:5">
      <c r="A74" s="31" t="s">
        <v>719</v>
      </c>
      <c r="B74" s="4" t="s">
        <v>203</v>
      </c>
      <c r="C74" s="4" t="s">
        <v>191</v>
      </c>
      <c r="D74" s="4" t="s">
        <v>36</v>
      </c>
      <c r="E74" s="20" t="s">
        <v>808</v>
      </c>
    </row>
    <row r="75" spans="1:5">
      <c r="A75" s="31" t="s">
        <v>706</v>
      </c>
      <c r="B75" s="4" t="s">
        <v>203</v>
      </c>
      <c r="C75" s="4" t="s">
        <v>101</v>
      </c>
      <c r="D75" s="4" t="s">
        <v>215</v>
      </c>
      <c r="E75" s="20" t="s">
        <v>809</v>
      </c>
    </row>
    <row r="76" spans="1:5">
      <c r="A76" s="31" t="s">
        <v>715</v>
      </c>
      <c r="B76" s="4" t="s">
        <v>331</v>
      </c>
      <c r="C76" s="4" t="s">
        <v>194</v>
      </c>
      <c r="D76" s="4" t="s">
        <v>18</v>
      </c>
      <c r="E76" s="20" t="s">
        <v>810</v>
      </c>
    </row>
    <row r="77" spans="1:5">
      <c r="A77" s="31" t="s">
        <v>723</v>
      </c>
      <c r="B77" s="4" t="s">
        <v>203</v>
      </c>
      <c r="C77" s="4" t="s">
        <v>191</v>
      </c>
      <c r="D77" s="4" t="s">
        <v>476</v>
      </c>
      <c r="E77" s="20" t="s">
        <v>811</v>
      </c>
    </row>
    <row r="80" spans="1:5" ht="16">
      <c r="A80" s="30" t="s">
        <v>104</v>
      </c>
      <c r="B80" s="30"/>
    </row>
    <row r="81" spans="1:5" ht="14">
      <c r="A81" s="32"/>
      <c r="B81" s="33" t="s">
        <v>95</v>
      </c>
    </row>
    <row r="82" spans="1:5" ht="14">
      <c r="A82" s="6" t="s">
        <v>96</v>
      </c>
      <c r="B82" s="6" t="s">
        <v>97</v>
      </c>
      <c r="C82" s="6" t="s">
        <v>98</v>
      </c>
      <c r="D82" s="6" t="s">
        <v>426</v>
      </c>
      <c r="E82" s="6" t="s">
        <v>100</v>
      </c>
    </row>
    <row r="83" spans="1:5">
      <c r="A83" s="31" t="s">
        <v>753</v>
      </c>
      <c r="B83" s="4" t="s">
        <v>95</v>
      </c>
      <c r="C83" s="4" t="s">
        <v>317</v>
      </c>
      <c r="D83" s="4" t="s">
        <v>186</v>
      </c>
      <c r="E83" s="20" t="s">
        <v>812</v>
      </c>
    </row>
    <row r="84" spans="1:5">
      <c r="A84" s="31" t="s">
        <v>774</v>
      </c>
      <c r="B84" s="4" t="s">
        <v>95</v>
      </c>
      <c r="C84" s="4" t="s">
        <v>105</v>
      </c>
      <c r="D84" s="4" t="s">
        <v>44</v>
      </c>
      <c r="E84" s="20" t="s">
        <v>813</v>
      </c>
    </row>
    <row r="85" spans="1:5">
      <c r="A85" s="31" t="s">
        <v>785</v>
      </c>
      <c r="B85" s="4" t="s">
        <v>95</v>
      </c>
      <c r="C85" s="4" t="s">
        <v>200</v>
      </c>
      <c r="D85" s="4" t="s">
        <v>44</v>
      </c>
      <c r="E85" s="20" t="s">
        <v>814</v>
      </c>
    </row>
    <row r="86" spans="1:5">
      <c r="A86" s="31" t="s">
        <v>744</v>
      </c>
      <c r="B86" s="4" t="s">
        <v>95</v>
      </c>
      <c r="C86" s="4" t="s">
        <v>115</v>
      </c>
      <c r="D86" s="4" t="s">
        <v>76</v>
      </c>
      <c r="E86" s="20" t="s">
        <v>815</v>
      </c>
    </row>
    <row r="87" spans="1:5">
      <c r="A87" s="31" t="s">
        <v>795</v>
      </c>
      <c r="B87" s="4" t="s">
        <v>95</v>
      </c>
      <c r="C87" s="4" t="s">
        <v>314</v>
      </c>
      <c r="D87" s="4" t="s">
        <v>51</v>
      </c>
      <c r="E87" s="20" t="s">
        <v>816</v>
      </c>
    </row>
    <row r="88" spans="1:5">
      <c r="A88" s="31" t="s">
        <v>757</v>
      </c>
      <c r="B88" s="4" t="s">
        <v>95</v>
      </c>
      <c r="C88" s="4" t="s">
        <v>110</v>
      </c>
      <c r="D88" s="4" t="s">
        <v>761</v>
      </c>
      <c r="E88" s="20" t="s">
        <v>817</v>
      </c>
    </row>
    <row r="89" spans="1:5">
      <c r="A89" s="31" t="s">
        <v>734</v>
      </c>
      <c r="B89" s="4" t="s">
        <v>95</v>
      </c>
      <c r="C89" s="4" t="s">
        <v>141</v>
      </c>
      <c r="D89" s="4" t="s">
        <v>32</v>
      </c>
      <c r="E89" s="20" t="s">
        <v>818</v>
      </c>
    </row>
    <row r="90" spans="1:5">
      <c r="A90" s="31" t="s">
        <v>280</v>
      </c>
      <c r="B90" s="4" t="s">
        <v>95</v>
      </c>
      <c r="C90" s="4" t="s">
        <v>317</v>
      </c>
      <c r="D90" s="4" t="s">
        <v>284</v>
      </c>
      <c r="E90" s="20" t="s">
        <v>819</v>
      </c>
    </row>
    <row r="91" spans="1:5">
      <c r="A91" s="31" t="s">
        <v>766</v>
      </c>
      <c r="B91" s="4" t="s">
        <v>95</v>
      </c>
      <c r="C91" s="4" t="s">
        <v>110</v>
      </c>
      <c r="D91" s="4" t="s">
        <v>140</v>
      </c>
      <c r="E91" s="20" t="s">
        <v>820</v>
      </c>
    </row>
    <row r="92" spans="1:5">
      <c r="A92" s="31" t="s">
        <v>762</v>
      </c>
      <c r="B92" s="4" t="s">
        <v>95</v>
      </c>
      <c r="C92" s="4" t="s">
        <v>110</v>
      </c>
      <c r="D92" s="4" t="s">
        <v>125</v>
      </c>
      <c r="E92" s="20" t="s">
        <v>821</v>
      </c>
    </row>
    <row r="93" spans="1:5">
      <c r="A93" s="31" t="s">
        <v>800</v>
      </c>
      <c r="B93" s="4" t="s">
        <v>95</v>
      </c>
      <c r="C93" s="4" t="s">
        <v>314</v>
      </c>
      <c r="D93" s="4" t="s">
        <v>70</v>
      </c>
      <c r="E93" s="20" t="s">
        <v>822</v>
      </c>
    </row>
    <row r="95" spans="1:5" ht="14">
      <c r="A95" s="32"/>
      <c r="B95" s="33" t="s">
        <v>146</v>
      </c>
    </row>
    <row r="96" spans="1:5" ht="14">
      <c r="A96" s="6" t="s">
        <v>96</v>
      </c>
      <c r="B96" s="6" t="s">
        <v>97</v>
      </c>
      <c r="C96" s="6" t="s">
        <v>98</v>
      </c>
      <c r="D96" s="6" t="s">
        <v>426</v>
      </c>
      <c r="E96" s="6" t="s">
        <v>100</v>
      </c>
    </row>
    <row r="97" spans="1:5">
      <c r="A97" s="31" t="s">
        <v>748</v>
      </c>
      <c r="B97" s="4" t="s">
        <v>446</v>
      </c>
      <c r="C97" s="4" t="s">
        <v>115</v>
      </c>
      <c r="D97" s="4" t="s">
        <v>293</v>
      </c>
      <c r="E97" s="20" t="s">
        <v>823</v>
      </c>
    </row>
    <row r="98" spans="1:5">
      <c r="A98" s="31" t="s">
        <v>370</v>
      </c>
      <c r="B98" s="4" t="s">
        <v>446</v>
      </c>
      <c r="C98" s="4" t="s">
        <v>317</v>
      </c>
      <c r="D98" s="4" t="s">
        <v>33</v>
      </c>
      <c r="E98" s="20" t="s">
        <v>824</v>
      </c>
    </row>
    <row r="99" spans="1:5">
      <c r="A99" s="31" t="s">
        <v>770</v>
      </c>
      <c r="B99" s="4" t="s">
        <v>691</v>
      </c>
      <c r="C99" s="4" t="s">
        <v>110</v>
      </c>
      <c r="D99" s="4" t="s">
        <v>32</v>
      </c>
      <c r="E99" s="20" t="s">
        <v>825</v>
      </c>
    </row>
    <row r="100" spans="1:5">
      <c r="A100" s="31" t="s">
        <v>789</v>
      </c>
      <c r="B100" s="4" t="s">
        <v>446</v>
      </c>
      <c r="C100" s="4" t="s">
        <v>200</v>
      </c>
      <c r="D100" s="4" t="s">
        <v>293</v>
      </c>
      <c r="E100" s="20" t="s">
        <v>826</v>
      </c>
    </row>
    <row r="101" spans="1:5">
      <c r="A101" s="31" t="s">
        <v>181</v>
      </c>
      <c r="B101" s="4" t="s">
        <v>203</v>
      </c>
      <c r="C101" s="4" t="s">
        <v>200</v>
      </c>
      <c r="D101" s="4" t="s">
        <v>188</v>
      </c>
      <c r="E101" s="20" t="s">
        <v>827</v>
      </c>
    </row>
    <row r="102" spans="1:5">
      <c r="A102" s="31" t="s">
        <v>779</v>
      </c>
      <c r="B102" s="4" t="s">
        <v>331</v>
      </c>
      <c r="C102" s="4" t="s">
        <v>105</v>
      </c>
      <c r="D102" s="4" t="s">
        <v>784</v>
      </c>
      <c r="E102" s="20" t="s">
        <v>828</v>
      </c>
    </row>
    <row r="103" spans="1:5">
      <c r="A103" s="31" t="s">
        <v>739</v>
      </c>
      <c r="B103" s="4" t="s">
        <v>439</v>
      </c>
      <c r="C103" s="4" t="s">
        <v>141</v>
      </c>
      <c r="D103" s="4" t="s">
        <v>420</v>
      </c>
      <c r="E103" s="20" t="s">
        <v>829</v>
      </c>
    </row>
  </sheetData>
  <mergeCells count="23">
    <mergeCell ref="A1:M2"/>
    <mergeCell ref="A3:A4"/>
    <mergeCell ref="B3:B4"/>
    <mergeCell ref="C3:C4"/>
    <mergeCell ref="D3:D4"/>
    <mergeCell ref="E3:E4"/>
    <mergeCell ref="F3:F4"/>
    <mergeCell ref="G3:J3"/>
    <mergeCell ref="A27:J27"/>
    <mergeCell ref="K3:K4"/>
    <mergeCell ref="L3:L4"/>
    <mergeCell ref="M3:M4"/>
    <mergeCell ref="A5:J5"/>
    <mergeCell ref="A8:J8"/>
    <mergeCell ref="A12:J12"/>
    <mergeCell ref="A17:J17"/>
    <mergeCell ref="A20:J20"/>
    <mergeCell ref="A23:J23"/>
    <mergeCell ref="A31:J31"/>
    <mergeCell ref="A36:J36"/>
    <mergeCell ref="A42:J42"/>
    <mergeCell ref="A46:J46"/>
    <mergeCell ref="A51:J5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1:M20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17.33203125" style="4" bestFit="1" customWidth="1"/>
    <col min="7" max="9" width="5.5" style="3" customWidth="1"/>
    <col min="10" max="10" width="4.83203125" style="3" customWidth="1"/>
    <col min="11" max="11" width="11.33203125" style="20" bestFit="1" customWidth="1"/>
    <col min="12" max="12" width="8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42" t="s">
        <v>886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946</v>
      </c>
      <c r="C3" s="50" t="s">
        <v>7</v>
      </c>
      <c r="D3" s="36" t="s">
        <v>947</v>
      </c>
      <c r="E3" s="36" t="s">
        <v>4</v>
      </c>
      <c r="F3" s="36" t="s">
        <v>6</v>
      </c>
      <c r="G3" s="36" t="s">
        <v>10</v>
      </c>
      <c r="H3" s="36"/>
      <c r="I3" s="36"/>
      <c r="J3" s="36"/>
      <c r="K3" s="36" t="s">
        <v>451</v>
      </c>
      <c r="L3" s="36" t="s">
        <v>3</v>
      </c>
      <c r="M3" s="38" t="s">
        <v>2</v>
      </c>
    </row>
    <row r="4" spans="1:13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6">
      <c r="A5" s="40" t="s">
        <v>180</v>
      </c>
      <c r="B5" s="41"/>
      <c r="C5" s="41"/>
      <c r="D5" s="41"/>
      <c r="E5" s="41"/>
      <c r="F5" s="41"/>
      <c r="G5" s="41"/>
      <c r="H5" s="41"/>
      <c r="I5" s="41"/>
      <c r="J5" s="41"/>
    </row>
    <row r="6" spans="1:13">
      <c r="A6" s="7" t="s">
        <v>700</v>
      </c>
      <c r="B6" s="7" t="s">
        <v>701</v>
      </c>
      <c r="C6" s="7" t="s">
        <v>702</v>
      </c>
      <c r="D6" s="7" t="s">
        <v>951</v>
      </c>
      <c r="E6" s="7" t="s">
        <v>16</v>
      </c>
      <c r="F6" s="7" t="s">
        <v>43</v>
      </c>
      <c r="G6" s="8" t="s">
        <v>309</v>
      </c>
      <c r="H6" s="8" t="s">
        <v>703</v>
      </c>
      <c r="I6" s="9" t="s">
        <v>704</v>
      </c>
      <c r="J6" s="9"/>
      <c r="K6" s="21" t="str">
        <f>"292,5"</f>
        <v>292,5</v>
      </c>
      <c r="L6" s="22" t="str">
        <f>"180,7446"</f>
        <v>180,7446</v>
      </c>
      <c r="M6" s="7"/>
    </row>
    <row r="8" spans="1:13" ht="16">
      <c r="E8" s="19" t="s">
        <v>88</v>
      </c>
    </row>
    <row r="9" spans="1:13" ht="16">
      <c r="E9" s="19" t="s">
        <v>89</v>
      </c>
    </row>
    <row r="10" spans="1:13" ht="16">
      <c r="E10" s="19" t="s">
        <v>90</v>
      </c>
    </row>
    <row r="11" spans="1:13" ht="16">
      <c r="E11" s="19" t="s">
        <v>91</v>
      </c>
    </row>
    <row r="12" spans="1:13" ht="16">
      <c r="E12" s="19" t="s">
        <v>91</v>
      </c>
    </row>
    <row r="13" spans="1:13" ht="16">
      <c r="E13" s="19" t="s">
        <v>92</v>
      </c>
    </row>
    <row r="14" spans="1:13" ht="16">
      <c r="E14" s="19"/>
    </row>
    <row r="16" spans="1:13" ht="18">
      <c r="A16" s="29" t="s">
        <v>93</v>
      </c>
      <c r="B16" s="29"/>
    </row>
    <row r="17" spans="1:5" ht="16">
      <c r="A17" s="30" t="s">
        <v>104</v>
      </c>
      <c r="B17" s="30"/>
    </row>
    <row r="18" spans="1:5" ht="14">
      <c r="A18" s="32"/>
      <c r="B18" s="33" t="s">
        <v>146</v>
      </c>
    </row>
    <row r="19" spans="1:5" ht="14">
      <c r="A19" s="6" t="s">
        <v>96</v>
      </c>
      <c r="B19" s="6" t="s">
        <v>97</v>
      </c>
      <c r="C19" s="6" t="s">
        <v>98</v>
      </c>
      <c r="D19" s="6" t="s">
        <v>426</v>
      </c>
      <c r="E19" s="6" t="s">
        <v>100</v>
      </c>
    </row>
    <row r="20" spans="1:5">
      <c r="A20" s="31" t="s">
        <v>699</v>
      </c>
      <c r="B20" s="4" t="s">
        <v>203</v>
      </c>
      <c r="C20" s="4" t="s">
        <v>200</v>
      </c>
      <c r="D20" s="4" t="s">
        <v>703</v>
      </c>
      <c r="E20" s="20" t="s">
        <v>705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AM PL Raw</vt:lpstr>
      <vt:lpstr>PRO PL Raw</vt:lpstr>
      <vt:lpstr>AM PL CL</vt:lpstr>
      <vt:lpstr>PRO PL CL</vt:lpstr>
      <vt:lpstr>AM BP Raw</vt:lpstr>
      <vt:lpstr>PRO BP Raw</vt:lpstr>
      <vt:lpstr>PRO BP SP</vt:lpstr>
      <vt:lpstr>AM DL Raw</vt:lpstr>
      <vt:lpstr>PRO DL Raw</vt:lpstr>
      <vt:lpstr>PRO DL Raw Elite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2020-11-08T16:12:18Z</dcterms:modified>
</cp:coreProperties>
</file>