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Сентябрь/"/>
    </mc:Choice>
  </mc:AlternateContent>
  <xr:revisionPtr revIDLastSave="0" documentId="13_ncr:1_{B3520ECB-5518-CA42-AB17-E76E43BBBE1A}" xr6:coauthVersionLast="45" xr6:coauthVersionMax="45" xr10:uidLastSave="{00000000-0000-0000-0000-000000000000}"/>
  <bookViews>
    <workbookView xWindow="520" yWindow="460" windowWidth="28280" windowHeight="16040" firstSheet="3" activeTab="8" xr2:uid="{00000000-000D-0000-FFFF-FFFF00000000}"/>
  </bookViews>
  <sheets>
    <sheet name="WRPF ПЛ без экипировки" sheetId="5" r:id="rId1"/>
    <sheet name="WRPF Двоеборье без экип" sheetId="11" r:id="rId2"/>
    <sheet name="WRPF Жим лежа без экип" sheetId="8" r:id="rId3"/>
    <sheet name="WEPF Жим софт однопетельная" sheetId="6" r:id="rId4"/>
    <sheet name="WRPF Военный жим" sheetId="7" r:id="rId5"/>
    <sheet name="WRPF Жим СФО" sheetId="12" r:id="rId6"/>
    <sheet name="WRPF Тяга без экипировки" sheetId="10" r:id="rId7"/>
    <sheet name="WRPF Подъем на бицепс" sheetId="17" r:id="rId8"/>
    <sheet name="СПР Подъем на бицепс" sheetId="18" r:id="rId9"/>
  </sheets>
  <definedNames>
    <definedName name="_FilterDatabase" localSheetId="0" hidden="1">'WRPF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8" l="1"/>
  <c r="K15" i="18"/>
  <c r="L12" i="18"/>
  <c r="K12" i="18"/>
  <c r="L9" i="18"/>
  <c r="K9" i="18"/>
  <c r="L6" i="18"/>
  <c r="K6" i="18"/>
  <c r="L17" i="17"/>
  <c r="K17" i="17"/>
  <c r="L14" i="17"/>
  <c r="K14" i="17"/>
  <c r="L11" i="17"/>
  <c r="K11" i="17"/>
  <c r="L10" i="17"/>
  <c r="K10" i="17"/>
  <c r="L9" i="17"/>
  <c r="K9" i="17"/>
  <c r="L6" i="17"/>
  <c r="K6" i="17"/>
  <c r="L6" i="12"/>
  <c r="K6" i="12"/>
  <c r="P10" i="11"/>
  <c r="O10" i="11"/>
  <c r="P9" i="11"/>
  <c r="O9" i="11"/>
  <c r="P6" i="11"/>
  <c r="O6" i="11"/>
  <c r="L24" i="10"/>
  <c r="K24" i="10"/>
  <c r="L23" i="10"/>
  <c r="K23" i="10"/>
  <c r="L22" i="10"/>
  <c r="K22" i="10"/>
  <c r="L21" i="10"/>
  <c r="K21" i="10"/>
  <c r="L18" i="10"/>
  <c r="K18" i="10"/>
  <c r="L17" i="10"/>
  <c r="K17" i="10"/>
  <c r="L14" i="10"/>
  <c r="K14" i="10"/>
  <c r="L13" i="10"/>
  <c r="K13" i="10"/>
  <c r="L10" i="10"/>
  <c r="K10" i="10"/>
  <c r="L7" i="10"/>
  <c r="K7" i="10"/>
  <c r="L6" i="10"/>
  <c r="K6" i="10"/>
  <c r="L59" i="8"/>
  <c r="K59" i="8"/>
  <c r="L58" i="8"/>
  <c r="K58" i="8"/>
  <c r="L55" i="8"/>
  <c r="K55" i="8"/>
  <c r="L52" i="8"/>
  <c r="K52" i="8"/>
  <c r="L49" i="8"/>
  <c r="K49" i="8"/>
  <c r="L48" i="8"/>
  <c r="K48" i="8"/>
  <c r="L45" i="8"/>
  <c r="K45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3" i="8"/>
  <c r="K33" i="8"/>
  <c r="L32" i="8"/>
  <c r="K32" i="8"/>
  <c r="L31" i="8"/>
  <c r="K31" i="8"/>
  <c r="L30" i="8"/>
  <c r="K30" i="8"/>
  <c r="L29" i="8"/>
  <c r="K29" i="8"/>
  <c r="L26" i="8"/>
  <c r="K26" i="8"/>
  <c r="L25" i="8"/>
  <c r="K25" i="8"/>
  <c r="L24" i="8"/>
  <c r="K24" i="8"/>
  <c r="L23" i="8"/>
  <c r="K23" i="8"/>
  <c r="L22" i="8"/>
  <c r="K22" i="8"/>
  <c r="L21" i="8"/>
  <c r="K21" i="8"/>
  <c r="L18" i="8"/>
  <c r="K18" i="8"/>
  <c r="L17" i="8"/>
  <c r="K17" i="8"/>
  <c r="L14" i="8"/>
  <c r="K14" i="8"/>
  <c r="L13" i="8"/>
  <c r="K13" i="8"/>
  <c r="L12" i="8"/>
  <c r="K12" i="8"/>
  <c r="L9" i="8"/>
  <c r="K9" i="8"/>
  <c r="L6" i="8"/>
  <c r="L15" i="7"/>
  <c r="K15" i="7"/>
  <c r="L12" i="7"/>
  <c r="K12" i="7"/>
  <c r="L9" i="7"/>
  <c r="K9" i="7"/>
  <c r="L6" i="7"/>
  <c r="K6" i="7"/>
  <c r="L26" i="6"/>
  <c r="L25" i="6"/>
  <c r="K25" i="6"/>
  <c r="L22" i="6"/>
  <c r="K22" i="6"/>
  <c r="L19" i="6"/>
  <c r="K19" i="6"/>
  <c r="L18" i="6"/>
  <c r="K18" i="6"/>
  <c r="L15" i="6"/>
  <c r="K15" i="6"/>
  <c r="L12" i="6"/>
  <c r="K12" i="6"/>
  <c r="L9" i="6"/>
  <c r="K9" i="6"/>
  <c r="L6" i="6"/>
  <c r="K6" i="6"/>
  <c r="T6" i="5"/>
  <c r="S6" i="5"/>
</calcChain>
</file>

<file path=xl/sharedStrings.xml><?xml version="1.0" encoding="utf-8"?>
<sst xmlns="http://schemas.openxmlformats.org/spreadsheetml/2006/main" count="892" uniqueCount="315">
  <si>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</si>
  <si>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</si>
  <si>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</si>
  <si>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</si>
  <si>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</si>
  <si>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</si>
  <si>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</si>
  <si>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</si>
  <si>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</si>
  <si>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</si>
  <si>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</si>
  <si>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Кабачева Дарья</t>
  </si>
  <si>
    <t>Открытая (02.10.1988)/33</t>
  </si>
  <si>
    <t>69,30</t>
  </si>
  <si>
    <t>90,0</t>
  </si>
  <si>
    <t>100,0</t>
  </si>
  <si>
    <t>110,0</t>
  </si>
  <si>
    <t>45,0</t>
  </si>
  <si>
    <t>50,0</t>
  </si>
  <si>
    <t>52,5</t>
  </si>
  <si>
    <t>120,0</t>
  </si>
  <si>
    <t>125,0</t>
  </si>
  <si>
    <t xml:space="preserve">Попов А. 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</si>
  <si>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</si>
  <si>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</si>
  <si>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</si>
  <si>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</si>
  <si>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</si>
  <si>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1</t>
  </si>
  <si>
    <t>ВЕСОВАЯ КАТЕГОРИЯ   60</t>
  </si>
  <si>
    <t>Попков Александр</t>
  </si>
  <si>
    <t>Открытая (24.12.1983)/38</t>
  </si>
  <si>
    <t>58,90</t>
  </si>
  <si>
    <t xml:space="preserve">Нытва/Пермский край </t>
  </si>
  <si>
    <t>140,0</t>
  </si>
  <si>
    <t>150,0</t>
  </si>
  <si>
    <t>152,5</t>
  </si>
  <si>
    <t xml:space="preserve">Койков Е. </t>
  </si>
  <si>
    <t>ВЕСОВАЯ КАТЕГОРИЯ   67.5</t>
  </si>
  <si>
    <t>Латыпов Руслан</t>
  </si>
  <si>
    <t>Открытая (18.11.1997)/24</t>
  </si>
  <si>
    <t>60,95</t>
  </si>
  <si>
    <t xml:space="preserve">Пермь/Пермский край </t>
  </si>
  <si>
    <t>165,0</t>
  </si>
  <si>
    <t>185,0</t>
  </si>
  <si>
    <t>Открытая (03.09.1985)/37</t>
  </si>
  <si>
    <t>75,00</t>
  </si>
  <si>
    <t xml:space="preserve">Новоильинский/Пермский край </t>
  </si>
  <si>
    <t>180,0</t>
  </si>
  <si>
    <t>190,0</t>
  </si>
  <si>
    <t>ВЕСОВАЯ КАТЕГОРИЯ   82.5</t>
  </si>
  <si>
    <t>Попов Максим</t>
  </si>
  <si>
    <t>Открытая (18.09.1979)/42</t>
  </si>
  <si>
    <t>78,10</t>
  </si>
  <si>
    <t>240,0</t>
  </si>
  <si>
    <t>250,0</t>
  </si>
  <si>
    <t>260,0</t>
  </si>
  <si>
    <t>ВЕСОВАЯ КАТЕГОРИЯ   90</t>
  </si>
  <si>
    <t>Лузин Иван</t>
  </si>
  <si>
    <t>Юноши 17-19 (24.02.2004)/18</t>
  </si>
  <si>
    <t>87,30</t>
  </si>
  <si>
    <t>170,0</t>
  </si>
  <si>
    <t xml:space="preserve">Попков А. </t>
  </si>
  <si>
    <t>Южаков Антон</t>
  </si>
  <si>
    <t>Открытая (18.02.1995)/27</t>
  </si>
  <si>
    <t>84,10</t>
  </si>
  <si>
    <t xml:space="preserve">Верещагино/Пермский край </t>
  </si>
  <si>
    <t>275,0</t>
  </si>
  <si>
    <t>295,0</t>
  </si>
  <si>
    <t>300,0</t>
  </si>
  <si>
    <t>ВЕСОВАЯ КАТЕГОРИЯ   100</t>
  </si>
  <si>
    <t>Щупов Вячеслав</t>
  </si>
  <si>
    <t>Открытая (07.10.1984)/37</t>
  </si>
  <si>
    <t>98,10</t>
  </si>
  <si>
    <t>195,0</t>
  </si>
  <si>
    <t>205,0</t>
  </si>
  <si>
    <t>ВЕСОВАЯ КАТЕГОРИЯ   110</t>
  </si>
  <si>
    <t>Коновалов Антон</t>
  </si>
  <si>
    <t>Открытая (11.05.1991)/31</t>
  </si>
  <si>
    <t>105,50</t>
  </si>
  <si>
    <t>200,0</t>
  </si>
  <si>
    <t>207,5</t>
  </si>
  <si>
    <t xml:space="preserve">Сокольников Н. </t>
  </si>
  <si>
    <t>Койков Егор</t>
  </si>
  <si>
    <t>Открытая (27.03.1985)/37</t>
  </si>
  <si>
    <t>105,00</t>
  </si>
  <si>
    <t>310,0</t>
  </si>
  <si>
    <t xml:space="preserve">Мужчины </t>
  </si>
  <si>
    <t xml:space="preserve">Результат </t>
  </si>
  <si>
    <t xml:space="preserve">Gloss </t>
  </si>
  <si>
    <t>90</t>
  </si>
  <si>
    <t>82.5</t>
  </si>
  <si>
    <t>67.5</t>
  </si>
  <si>
    <t>Результат</t>
  </si>
  <si>
    <t>-</t>
  </si>
  <si>
    <t>Ошмарин Владимир</t>
  </si>
  <si>
    <t>Мастера 50-59 (30.04.1967)/55</t>
  </si>
  <si>
    <t>63,60</t>
  </si>
  <si>
    <t>102,5</t>
  </si>
  <si>
    <t>107,5</t>
  </si>
  <si>
    <t xml:space="preserve">Малышев И. </t>
  </si>
  <si>
    <t>Трубицын Антон</t>
  </si>
  <si>
    <t>Открытая (14.11.1985)/36</t>
  </si>
  <si>
    <t>88,30</t>
  </si>
  <si>
    <t>105,0</t>
  </si>
  <si>
    <t xml:space="preserve">Баландин С. </t>
  </si>
  <si>
    <t>Косков Сергей</t>
  </si>
  <si>
    <t>Мастера 60-69 (03.01.1957)/65</t>
  </si>
  <si>
    <t>94,80</t>
  </si>
  <si>
    <t>115,0</t>
  </si>
  <si>
    <t>ВЕСОВАЯ КАТЕГОРИЯ   140</t>
  </si>
  <si>
    <t>Шестаков Андрей</t>
  </si>
  <si>
    <t>Мастера 50-59 (12.12.1970)/51</t>
  </si>
  <si>
    <t>127,40</t>
  </si>
  <si>
    <t>155,0</t>
  </si>
  <si>
    <t>160,0</t>
  </si>
  <si>
    <t>100</t>
  </si>
  <si>
    <t>ВЕСОВАЯ КАТЕГОРИЯ   52</t>
  </si>
  <si>
    <t>Ерофеева Елена</t>
  </si>
  <si>
    <t>Открытая (27.05.1984)/38</t>
  </si>
  <si>
    <t>51,30</t>
  </si>
  <si>
    <t>ВЕСОВАЯ КАТЕГОРИЯ   56</t>
  </si>
  <si>
    <t>Борисенко Анна</t>
  </si>
  <si>
    <t>Открытая (27.09.1997)/24</t>
  </si>
  <si>
    <t>55,90</t>
  </si>
  <si>
    <t>55,0</t>
  </si>
  <si>
    <t>60,0</t>
  </si>
  <si>
    <t>62,5</t>
  </si>
  <si>
    <t>Коченова Екатерина</t>
  </si>
  <si>
    <t>Открытая (10.02.1992)/30</t>
  </si>
  <si>
    <t>59,70</t>
  </si>
  <si>
    <t>47,5</t>
  </si>
  <si>
    <t xml:space="preserve">Рудаков А. </t>
  </si>
  <si>
    <t>Менькова Елена</t>
  </si>
  <si>
    <t>Мастера 40-49 (02.01.1979)/43</t>
  </si>
  <si>
    <t>58,80</t>
  </si>
  <si>
    <t>57,5</t>
  </si>
  <si>
    <t>Шаламова Ольга</t>
  </si>
  <si>
    <t>Мастера 40-49 (15.09.1977)/45</t>
  </si>
  <si>
    <t>59,30</t>
  </si>
  <si>
    <t>Брылякова Ксения</t>
  </si>
  <si>
    <t>Открытая (07.01.1989)/33</t>
  </si>
  <si>
    <t>79,90</t>
  </si>
  <si>
    <t>Кузнецова Ирина</t>
  </si>
  <si>
    <t>Мастера 40-49 (28.01.1982)/40</t>
  </si>
  <si>
    <t>80,60</t>
  </si>
  <si>
    <t>Филимоненко Тимур</t>
  </si>
  <si>
    <t>Юноши 14-16 (19.02.2008)/14</t>
  </si>
  <si>
    <t>65,00</t>
  </si>
  <si>
    <t xml:space="preserve">Филимоненко В. </t>
  </si>
  <si>
    <t>Кургульский Матвей</t>
  </si>
  <si>
    <t>Юноши 17-19 (18.01.2005)/17</t>
  </si>
  <si>
    <t>66,60</t>
  </si>
  <si>
    <t>80,0</t>
  </si>
  <si>
    <t>85,0</t>
  </si>
  <si>
    <t>61,00</t>
  </si>
  <si>
    <t>130,0</t>
  </si>
  <si>
    <t>135,0</t>
  </si>
  <si>
    <t>Открытая (30.04.1967)/55</t>
  </si>
  <si>
    <t>112,5</t>
  </si>
  <si>
    <t>Киселев Денис</t>
  </si>
  <si>
    <t>Открытая (23.02.1980)/42</t>
  </si>
  <si>
    <t>66,50</t>
  </si>
  <si>
    <t>Гудков Александр</t>
  </si>
  <si>
    <t>Открытая (11.06.1987)/35</t>
  </si>
  <si>
    <t>72,40</t>
  </si>
  <si>
    <t xml:space="preserve">Чайковский/Пермский край </t>
  </si>
  <si>
    <t xml:space="preserve">Килин Р. </t>
  </si>
  <si>
    <t>Мальцев Сергей</t>
  </si>
  <si>
    <t>Открытая (11.09.1986)/36</t>
  </si>
  <si>
    <t>74,30</t>
  </si>
  <si>
    <t>117,5</t>
  </si>
  <si>
    <t>Беляев Александр</t>
  </si>
  <si>
    <t>Открытая (16.09.1985)/37</t>
  </si>
  <si>
    <t>71,30</t>
  </si>
  <si>
    <t>95,0</t>
  </si>
  <si>
    <t>Никитин Кирилл</t>
  </si>
  <si>
    <t>Открытая (03.10.1993)/28</t>
  </si>
  <si>
    <t>68,10</t>
  </si>
  <si>
    <t>Сокольников Николай</t>
  </si>
  <si>
    <t>Мастера 50-59 (24.10.1970)/51</t>
  </si>
  <si>
    <t>74,70</t>
  </si>
  <si>
    <t>Лусников Иван</t>
  </si>
  <si>
    <t>Открытая (25.12.1985)/36</t>
  </si>
  <si>
    <t>82,10</t>
  </si>
  <si>
    <t>175,0</t>
  </si>
  <si>
    <t>Худяков Александр</t>
  </si>
  <si>
    <t>Открытая (29.04.1977)/45</t>
  </si>
  <si>
    <t>81,50</t>
  </si>
  <si>
    <t>167,5</t>
  </si>
  <si>
    <t>172,5</t>
  </si>
  <si>
    <t>Политов Сергей</t>
  </si>
  <si>
    <t>Открытая (04.09.1991)/31</t>
  </si>
  <si>
    <t>81,40</t>
  </si>
  <si>
    <t>157,5</t>
  </si>
  <si>
    <t>162,5</t>
  </si>
  <si>
    <t xml:space="preserve">Машанов Е. </t>
  </si>
  <si>
    <t>Гурьев Иван</t>
  </si>
  <si>
    <t>Открытая (31.03.1995)/27</t>
  </si>
  <si>
    <t>75,40</t>
  </si>
  <si>
    <t>Мастера 40-49 (29.04.1977)/45</t>
  </si>
  <si>
    <t>Николаев Александр</t>
  </si>
  <si>
    <t>Мастера 60-69 (08.07.1959)/63</t>
  </si>
  <si>
    <t>79,70</t>
  </si>
  <si>
    <t>127,5</t>
  </si>
  <si>
    <t>210,0</t>
  </si>
  <si>
    <t>220,0</t>
  </si>
  <si>
    <t>Машанов Николай</t>
  </si>
  <si>
    <t>Юниоры (14.05.2002)/20</t>
  </si>
  <si>
    <t>95,50</t>
  </si>
  <si>
    <t>222,5</t>
  </si>
  <si>
    <t>Машанов Егор</t>
  </si>
  <si>
    <t>Открытая (17.06.1991)/31</t>
  </si>
  <si>
    <t>97,40</t>
  </si>
  <si>
    <t>192,5</t>
  </si>
  <si>
    <t>202,5</t>
  </si>
  <si>
    <t>292,5</t>
  </si>
  <si>
    <t>302,5</t>
  </si>
  <si>
    <t>312,5</t>
  </si>
  <si>
    <t>137,5</t>
  </si>
  <si>
    <t>ВЕСОВАЯ КАТЕГОРИЯ   125</t>
  </si>
  <si>
    <t>Балабанов Павел</t>
  </si>
  <si>
    <t>Открытая (21.09.1982)/39</t>
  </si>
  <si>
    <t>115,40</t>
  </si>
  <si>
    <t xml:space="preserve">Заитов Р. </t>
  </si>
  <si>
    <t>Леонов Павел</t>
  </si>
  <si>
    <t>Открытая (18.07.1968)/54</t>
  </si>
  <si>
    <t>129,50</t>
  </si>
  <si>
    <t>Мастера 50-59 (18.07.1968)/54</t>
  </si>
  <si>
    <t>125</t>
  </si>
  <si>
    <t>2</t>
  </si>
  <si>
    <t>3</t>
  </si>
  <si>
    <t>4</t>
  </si>
  <si>
    <t>5</t>
  </si>
  <si>
    <t>Новиков Дмитрий</t>
  </si>
  <si>
    <t>Юноши 14-16 (06.09.2009)/13</t>
  </si>
  <si>
    <t>46,05</t>
  </si>
  <si>
    <t xml:space="preserve">Южаков А. </t>
  </si>
  <si>
    <t>Тихомиров Евгений</t>
  </si>
  <si>
    <t>Юноши 14-16 (15.05.2009)/13</t>
  </si>
  <si>
    <t>41,90</t>
  </si>
  <si>
    <t>70,0</t>
  </si>
  <si>
    <t>Хисматулин Тигран</t>
  </si>
  <si>
    <t>Юноши 17-19 (21.04.2005)/17</t>
  </si>
  <si>
    <t>66,90</t>
  </si>
  <si>
    <t xml:space="preserve">Петров В. </t>
  </si>
  <si>
    <t>Имполитов Тимофей</t>
  </si>
  <si>
    <t>Юноши 14-16 (14.02.2010)/12</t>
  </si>
  <si>
    <t>68,00</t>
  </si>
  <si>
    <t>Давыдов Виталий</t>
  </si>
  <si>
    <t>Открытая (23.10.1983)/38</t>
  </si>
  <si>
    <t>73,00</t>
  </si>
  <si>
    <t xml:space="preserve">пгт. Уральский/Пермский край </t>
  </si>
  <si>
    <t>Злобин Родион</t>
  </si>
  <si>
    <t>Юноши 14-16 (25.06.2010)/12</t>
  </si>
  <si>
    <t>227,5</t>
  </si>
  <si>
    <t>235,0</t>
  </si>
  <si>
    <t>Открытая (14.05.2002)/20</t>
  </si>
  <si>
    <t>Березин Николай</t>
  </si>
  <si>
    <t>Открытая (09.08.1984)/38</t>
  </si>
  <si>
    <t>94,50</t>
  </si>
  <si>
    <t>230,0</t>
  </si>
  <si>
    <t>Кургульский Денис</t>
  </si>
  <si>
    <t>Мастера 40-49 (11.02.1976)/46</t>
  </si>
  <si>
    <t>98,00</t>
  </si>
  <si>
    <t>Полянцева Ольга</t>
  </si>
  <si>
    <t>Мастера 40-49 (02.07.1981)/41</t>
  </si>
  <si>
    <t>67,00</t>
  </si>
  <si>
    <t xml:space="preserve">Филимонов А. </t>
  </si>
  <si>
    <t>Крохалев Дмитрий</t>
  </si>
  <si>
    <t>Открытая (07.05.1994)/28</t>
  </si>
  <si>
    <t>62,65</t>
  </si>
  <si>
    <t>40,0</t>
  </si>
  <si>
    <t xml:space="preserve">Некрасов И. </t>
  </si>
  <si>
    <t>65,0</t>
  </si>
  <si>
    <t>20,0</t>
  </si>
  <si>
    <t>82,5</t>
  </si>
  <si>
    <t>77,5</t>
  </si>
  <si>
    <t>35,0</t>
  </si>
  <si>
    <t>58,75</t>
  </si>
  <si>
    <t>22,5</t>
  </si>
  <si>
    <t>25,0</t>
  </si>
  <si>
    <t>Открытая (24.10.1970)/51</t>
  </si>
  <si>
    <t>42,5</t>
  </si>
  <si>
    <t>72,5</t>
  </si>
  <si>
    <t>51,25</t>
  </si>
  <si>
    <t>27,5</t>
  </si>
  <si>
    <t>30,0</t>
  </si>
  <si>
    <t>32,5</t>
  </si>
  <si>
    <t>37,5</t>
  </si>
  <si>
    <t>67,5</t>
  </si>
  <si>
    <t>Открытый турнир «Через тернии к звёздам»
WRPF Пауэрлифтинг без экипировки
Верещагино/Пермский край, 17 сентября 2022 года</t>
  </si>
  <si>
    <t>Открытый турнир «Через тернии к звёздам»
WRPF Силовое двоеборье без экипировки
Верещагино/Пермский край, 17 сентября 2022 года</t>
  </si>
  <si>
    <t>Открытый турнир «Через тернии к звёздам»
WRPF Жим лежа без экипировки
Верещагино/Пермский край, 17 сентября 2022 года</t>
  </si>
  <si>
    <t>Открытый турнир «Через тернии к звёздам»
WEPF Жим лежа в однопетельной софт экипировке
Верещагино/Пермский край, 17 сентября 2022 года</t>
  </si>
  <si>
    <t>Открытый турнир «Через тернии к звёздам»
WRPF Военный жим лежа
Верещагино/Пермский край, 17 сентября 2022 года</t>
  </si>
  <si>
    <t>Открытый турнир «Через тернии к звёздам»
WRPF Жим лежа среди спортсменов с физическими особенностями
Верещагино/Пермский край, 17 сентября 2022 года</t>
  </si>
  <si>
    <t>Открытый турнир «Через тернии к звёздам»
WRPF Становая тяга без экипировки
Верещагино/Пермский край, 17 сентября 2022 года</t>
  </si>
  <si>
    <t>Открытый турнир «Через тернии к звёздам»
WRPF Строгий подъем штанги на бицепс
Верещагино/Пермский край, 17 сентября 2022 года</t>
  </si>
  <si>
    <t>Открытый турнир «Через тернии к звёздам»
СПР Строгий подъем штанги на бицепс
Верещагино/Пермский край, 17 сентября 2022 года</t>
  </si>
  <si>
    <t xml:space="preserve">Воткинск/Удмуртская Республика </t>
  </si>
  <si>
    <t xml:space="preserve">Сарапул/Удмуртская Республика </t>
  </si>
  <si>
    <t xml:space="preserve">Ижевск/Удмуртская Республика </t>
  </si>
  <si>
    <t>Весовая категория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</si>
  <si>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</si>
  <si>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</si>
  <si>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</si>
  <si>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</si>
  <si>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</si>
  <si>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</si>
  <si>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J</t>
  </si>
  <si>
    <t>T1</t>
  </si>
  <si>
    <t>T2</t>
  </si>
  <si>
    <t>M2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</si>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</sst>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color rgb="FF00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5.16406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34" style="5" customWidth="1"/>
    <col min="7" max="7" width="4.5" style="18" customWidth="1"/>
    <col min="8" max="9" width="5.5" style="18" customWidth="1"/>
    <col min="10" max="14" width="4.5" style="18" customWidth="1"/>
    <col min="15" max="17" width="5.5" style="18" customWidth="1"/>
    <col min="18" max="18" width="4.5" style="18" customWidth="1"/>
    <col min="19" max="19" width="7.6640625" style="6" bestFit="1" customWidth="1"/>
    <col min="20" max="20" width="8.5" style="6" bestFit="1" customWidth="1"/>
    <col min="21" max="21" width="18.33203125" style="5" customWidth="1"/>
    <col min="22" max="16384" width="9.1640625" style="3"/>
  </cols>
  <sheetData>
    <row r="1" spans="1:21" s="2" customFormat="1" ht="29" customHeight="1">
      <c r="A1" s="51" t="s">
        <v>291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60" t="s">
        <v>305</v>
      </c>
      <c r="B3" s="47" t="s">
        <v>0</v>
      </c>
      <c r="C3" s="62" t="s">
        <v>306</v>
      </c>
      <c r="D3" s="62" t="s">
        <v>6</v>
      </c>
      <c r="E3" s="49" t="s">
        <v>307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49" t="s">
        <v>1</v>
      </c>
      <c r="T3" s="49" t="s">
        <v>3</v>
      </c>
      <c r="U3" s="64" t="s">
        <v>2</v>
      </c>
    </row>
    <row r="4" spans="1:21" s="1" customFormat="1" ht="21" customHeight="1" thickBot="1">
      <c r="A4" s="61"/>
      <c r="B4" s="48"/>
      <c r="C4" s="63"/>
      <c r="D4" s="63"/>
      <c r="E4" s="50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65"/>
    </row>
    <row r="5" spans="1:21" ht="16">
      <c r="A5" s="45" t="s">
        <v>10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21" t="s">
        <v>28</v>
      </c>
      <c r="B6" s="7" t="s">
        <v>11</v>
      </c>
      <c r="C6" s="7" t="s">
        <v>12</v>
      </c>
      <c r="D6" s="7" t="s">
        <v>13</v>
      </c>
      <c r="E6" s="8" t="s">
        <v>308</v>
      </c>
      <c r="F6" s="7" t="s">
        <v>300</v>
      </c>
      <c r="G6" s="20" t="s">
        <v>14</v>
      </c>
      <c r="H6" s="20" t="s">
        <v>15</v>
      </c>
      <c r="I6" s="20" t="s">
        <v>16</v>
      </c>
      <c r="J6" s="21"/>
      <c r="K6" s="20" t="s">
        <v>17</v>
      </c>
      <c r="L6" s="20" t="s">
        <v>18</v>
      </c>
      <c r="M6" s="22" t="s">
        <v>19</v>
      </c>
      <c r="N6" s="21"/>
      <c r="O6" s="20" t="s">
        <v>16</v>
      </c>
      <c r="P6" s="20" t="s">
        <v>20</v>
      </c>
      <c r="Q6" s="20" t="s">
        <v>21</v>
      </c>
      <c r="R6" s="21"/>
      <c r="S6" s="9" t="str">
        <f>"285,0"</f>
        <v>285,0</v>
      </c>
      <c r="T6" s="9" t="str">
        <f>"285,5130"</f>
        <v>285,5130</v>
      </c>
      <c r="U6" s="7" t="s">
        <v>22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9.5" style="5" customWidth="1"/>
    <col min="4" max="4" width="20.83203125" style="5" bestFit="1" customWidth="1"/>
    <col min="5" max="5" width="10.1640625" style="10" bestFit="1" customWidth="1"/>
    <col min="6" max="6" width="25.5" style="5" bestFit="1" customWidth="1"/>
    <col min="7" max="9" width="5.5" style="18" customWidth="1"/>
    <col min="10" max="10" width="4.5" style="18" customWidth="1"/>
    <col min="11" max="13" width="5.5" style="18" customWidth="1"/>
    <col min="14" max="14" width="4.5" style="18" customWidth="1"/>
    <col min="15" max="15" width="7.6640625" style="6" bestFit="1" customWidth="1"/>
    <col min="16" max="16" width="8.5" style="6" bestFit="1" customWidth="1"/>
    <col min="17" max="17" width="20.1640625" style="5" customWidth="1"/>
    <col min="18" max="16384" width="9.1640625" style="3"/>
  </cols>
  <sheetData>
    <row r="1" spans="1:17" s="2" customFormat="1" ht="29" customHeight="1">
      <c r="A1" s="51" t="s">
        <v>292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60" t="s">
        <v>305</v>
      </c>
      <c r="B3" s="47" t="s">
        <v>0</v>
      </c>
      <c r="C3" s="62" t="s">
        <v>306</v>
      </c>
      <c r="D3" s="62" t="s">
        <v>6</v>
      </c>
      <c r="E3" s="49" t="s">
        <v>307</v>
      </c>
      <c r="F3" s="59" t="s">
        <v>5</v>
      </c>
      <c r="G3" s="59" t="s">
        <v>8</v>
      </c>
      <c r="H3" s="59"/>
      <c r="I3" s="59"/>
      <c r="J3" s="59"/>
      <c r="K3" s="59" t="s">
        <v>9</v>
      </c>
      <c r="L3" s="59"/>
      <c r="M3" s="59"/>
      <c r="N3" s="59"/>
      <c r="O3" s="49" t="s">
        <v>1</v>
      </c>
      <c r="P3" s="49" t="s">
        <v>3</v>
      </c>
      <c r="Q3" s="64" t="s">
        <v>2</v>
      </c>
    </row>
    <row r="4" spans="1:17" s="1" customFormat="1" ht="21" customHeight="1" thickBot="1">
      <c r="A4" s="61"/>
      <c r="B4" s="48"/>
      <c r="C4" s="63"/>
      <c r="D4" s="63"/>
      <c r="E4" s="50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65"/>
    </row>
    <row r="5" spans="1:17" ht="16">
      <c r="A5" s="45" t="s">
        <v>38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7">
      <c r="A6" s="21" t="s">
        <v>28</v>
      </c>
      <c r="B6" s="7" t="s">
        <v>265</v>
      </c>
      <c r="C6" s="7" t="s">
        <v>266</v>
      </c>
      <c r="D6" s="7" t="s">
        <v>267</v>
      </c>
      <c r="E6" s="8" t="s">
        <v>309</v>
      </c>
      <c r="F6" s="7" t="s">
        <v>66</v>
      </c>
      <c r="G6" s="20" t="s">
        <v>125</v>
      </c>
      <c r="H6" s="20" t="s">
        <v>136</v>
      </c>
      <c r="I6" s="20" t="s">
        <v>126</v>
      </c>
      <c r="J6" s="21"/>
      <c r="K6" s="20" t="s">
        <v>16</v>
      </c>
      <c r="L6" s="22" t="s">
        <v>109</v>
      </c>
      <c r="M6" s="21"/>
      <c r="N6" s="21"/>
      <c r="O6" s="9" t="str">
        <f>"170,0"</f>
        <v>170,0</v>
      </c>
      <c r="P6" s="9" t="str">
        <f>"175,3092"</f>
        <v>175,3092</v>
      </c>
      <c r="Q6" s="7" t="s">
        <v>268</v>
      </c>
    </row>
    <row r="8" spans="1:17" ht="16">
      <c r="A8" s="66" t="s">
        <v>70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7">
      <c r="A9" s="29" t="s">
        <v>28</v>
      </c>
      <c r="B9" s="23" t="s">
        <v>207</v>
      </c>
      <c r="C9" s="23" t="s">
        <v>208</v>
      </c>
      <c r="D9" s="23" t="s">
        <v>209</v>
      </c>
      <c r="E9" s="24" t="s">
        <v>310</v>
      </c>
      <c r="F9" s="23" t="s">
        <v>66</v>
      </c>
      <c r="G9" s="37" t="s">
        <v>36</v>
      </c>
      <c r="H9" s="30" t="s">
        <v>194</v>
      </c>
      <c r="I9" s="37" t="s">
        <v>115</v>
      </c>
      <c r="J9" s="29"/>
      <c r="K9" s="30" t="s">
        <v>49</v>
      </c>
      <c r="L9" s="30" t="s">
        <v>75</v>
      </c>
      <c r="M9" s="30" t="s">
        <v>210</v>
      </c>
      <c r="N9" s="29"/>
      <c r="O9" s="25" t="str">
        <f>"380,0"</f>
        <v>380,0</v>
      </c>
      <c r="P9" s="25" t="str">
        <f>"235,8280"</f>
        <v>235,8280</v>
      </c>
      <c r="Q9" s="23" t="s">
        <v>196</v>
      </c>
    </row>
    <row r="10" spans="1:17">
      <c r="A10" s="31" t="s">
        <v>28</v>
      </c>
      <c r="B10" s="26" t="s">
        <v>211</v>
      </c>
      <c r="C10" s="26" t="s">
        <v>212</v>
      </c>
      <c r="D10" s="26" t="s">
        <v>213</v>
      </c>
      <c r="E10" s="27" t="s">
        <v>308</v>
      </c>
      <c r="F10" s="26" t="s">
        <v>66</v>
      </c>
      <c r="G10" s="32" t="s">
        <v>214</v>
      </c>
      <c r="H10" s="32" t="s">
        <v>80</v>
      </c>
      <c r="I10" s="32" t="s">
        <v>215</v>
      </c>
      <c r="J10" s="31"/>
      <c r="K10" s="32" t="s">
        <v>216</v>
      </c>
      <c r="L10" s="32" t="s">
        <v>217</v>
      </c>
      <c r="M10" s="32" t="s">
        <v>218</v>
      </c>
      <c r="N10" s="31"/>
      <c r="O10" s="28" t="str">
        <f>"515,0"</f>
        <v>515,0</v>
      </c>
      <c r="P10" s="28" t="str">
        <f>"316,8280"</f>
        <v>316,8280</v>
      </c>
      <c r="Q10" s="26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9"/>
  <sheetViews>
    <sheetView topLeftCell="A23" workbookViewId="0">
      <selection activeCell="E60" sqref="E60"/>
    </sheetView>
  </sheetViews>
  <sheetFormatPr baseColWidth="10" defaultColWidth="9.1640625" defaultRowHeight="13"/>
  <cols>
    <col min="1" max="1" width="7.1640625" style="5" bestFit="1" customWidth="1"/>
    <col min="2" max="2" width="19.8320312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8.1640625" style="5" bestFit="1" customWidth="1"/>
    <col min="7" max="9" width="5.5" style="18" customWidth="1"/>
    <col min="10" max="10" width="4.5" style="18" customWidth="1"/>
    <col min="11" max="11" width="10.5" style="19" bestFit="1" customWidth="1"/>
    <col min="12" max="12" width="10" style="6" customWidth="1"/>
    <col min="13" max="13" width="20.33203125" style="5" customWidth="1"/>
    <col min="14" max="16384" width="9.1640625" style="3"/>
  </cols>
  <sheetData>
    <row r="1" spans="1:13" s="2" customFormat="1" ht="29" customHeight="1">
      <c r="A1" s="51" t="s">
        <v>293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60" t="s">
        <v>305</v>
      </c>
      <c r="B3" s="47" t="s">
        <v>0</v>
      </c>
      <c r="C3" s="62" t="s">
        <v>306</v>
      </c>
      <c r="D3" s="62" t="s">
        <v>6</v>
      </c>
      <c r="E3" s="49" t="s">
        <v>307</v>
      </c>
      <c r="F3" s="59" t="s">
        <v>5</v>
      </c>
      <c r="G3" s="59" t="s">
        <v>8</v>
      </c>
      <c r="H3" s="59"/>
      <c r="I3" s="59"/>
      <c r="J3" s="59"/>
      <c r="K3" s="68" t="s">
        <v>93</v>
      </c>
      <c r="L3" s="49" t="s">
        <v>3</v>
      </c>
      <c r="M3" s="64" t="s">
        <v>2</v>
      </c>
    </row>
    <row r="4" spans="1:13" s="1" customFormat="1" ht="21" customHeight="1" thickBot="1">
      <c r="A4" s="61"/>
      <c r="B4" s="48"/>
      <c r="C4" s="63"/>
      <c r="D4" s="63"/>
      <c r="E4" s="50"/>
      <c r="F4" s="63"/>
      <c r="G4" s="4">
        <v>1</v>
      </c>
      <c r="H4" s="4">
        <v>2</v>
      </c>
      <c r="I4" s="4">
        <v>3</v>
      </c>
      <c r="J4" s="4" t="s">
        <v>4</v>
      </c>
      <c r="K4" s="69"/>
      <c r="L4" s="50"/>
      <c r="M4" s="65"/>
    </row>
    <row r="5" spans="1:13" ht="16">
      <c r="A5" s="45" t="s">
        <v>117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1" t="s">
        <v>94</v>
      </c>
      <c r="B6" s="7" t="s">
        <v>118</v>
      </c>
      <c r="C6" s="7" t="s">
        <v>119</v>
      </c>
      <c r="D6" s="7" t="s">
        <v>120</v>
      </c>
      <c r="E6" s="8" t="s">
        <v>308</v>
      </c>
      <c r="F6" s="7" t="s">
        <v>42</v>
      </c>
      <c r="G6" s="22" t="s">
        <v>19</v>
      </c>
      <c r="H6" s="22" t="s">
        <v>19</v>
      </c>
      <c r="I6" s="22" t="s">
        <v>19</v>
      </c>
      <c r="J6" s="21"/>
      <c r="K6" s="41">
        <v>0</v>
      </c>
      <c r="L6" s="9" t="str">
        <f>"0,0000"</f>
        <v>0,0000</v>
      </c>
      <c r="M6" s="7" t="s">
        <v>105</v>
      </c>
    </row>
    <row r="8" spans="1:13" ht="16">
      <c r="A8" s="66" t="s">
        <v>121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1" t="s">
        <v>28</v>
      </c>
      <c r="B9" s="7" t="s">
        <v>122</v>
      </c>
      <c r="C9" s="7" t="s">
        <v>123</v>
      </c>
      <c r="D9" s="7" t="s">
        <v>124</v>
      </c>
      <c r="E9" s="8" t="s">
        <v>308</v>
      </c>
      <c r="F9" s="7" t="s">
        <v>42</v>
      </c>
      <c r="G9" s="20" t="s">
        <v>125</v>
      </c>
      <c r="H9" s="20" t="s">
        <v>126</v>
      </c>
      <c r="I9" s="20" t="s">
        <v>127</v>
      </c>
      <c r="J9" s="21"/>
      <c r="K9" s="41" t="str">
        <f>"62,5"</f>
        <v>62,5</v>
      </c>
      <c r="L9" s="9" t="str">
        <f>"73,6438"</f>
        <v>73,6438</v>
      </c>
      <c r="M9" s="7" t="s">
        <v>105</v>
      </c>
    </row>
    <row r="11" spans="1:13" ht="16">
      <c r="A11" s="66" t="s">
        <v>29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9" t="s">
        <v>28</v>
      </c>
      <c r="B12" s="23" t="s">
        <v>128</v>
      </c>
      <c r="C12" s="23" t="s">
        <v>129</v>
      </c>
      <c r="D12" s="23" t="s">
        <v>130</v>
      </c>
      <c r="E12" s="24" t="s">
        <v>308</v>
      </c>
      <c r="F12" s="23" t="s">
        <v>42</v>
      </c>
      <c r="G12" s="30" t="s">
        <v>131</v>
      </c>
      <c r="H12" s="37" t="s">
        <v>18</v>
      </c>
      <c r="I12" s="30" t="s">
        <v>18</v>
      </c>
      <c r="J12" s="29"/>
      <c r="K12" s="42" t="str">
        <f>"50,0"</f>
        <v>50,0</v>
      </c>
      <c r="L12" s="25" t="str">
        <f>"55,9600"</f>
        <v>55,9600</v>
      </c>
      <c r="M12" s="23" t="s">
        <v>132</v>
      </c>
    </row>
    <row r="13" spans="1:13">
      <c r="A13" s="38" t="s">
        <v>28</v>
      </c>
      <c r="B13" s="34" t="s">
        <v>133</v>
      </c>
      <c r="C13" s="34" t="s">
        <v>134</v>
      </c>
      <c r="D13" s="34" t="s">
        <v>135</v>
      </c>
      <c r="E13" s="35" t="s">
        <v>309</v>
      </c>
      <c r="F13" s="34" t="s">
        <v>301</v>
      </c>
      <c r="G13" s="39" t="s">
        <v>18</v>
      </c>
      <c r="H13" s="39" t="s">
        <v>125</v>
      </c>
      <c r="I13" s="39" t="s">
        <v>136</v>
      </c>
      <c r="J13" s="38"/>
      <c r="K13" s="43" t="str">
        <f>"57,5"</f>
        <v>57,5</v>
      </c>
      <c r="L13" s="36" t="str">
        <f>"66,9421"</f>
        <v>66,9421</v>
      </c>
      <c r="M13" s="34" t="s">
        <v>82</v>
      </c>
    </row>
    <row r="14" spans="1:13">
      <c r="A14" s="31" t="s">
        <v>230</v>
      </c>
      <c r="B14" s="26" t="s">
        <v>137</v>
      </c>
      <c r="C14" s="26" t="s">
        <v>138</v>
      </c>
      <c r="D14" s="26" t="s">
        <v>139</v>
      </c>
      <c r="E14" s="27" t="s">
        <v>309</v>
      </c>
      <c r="F14" s="26" t="s">
        <v>42</v>
      </c>
      <c r="G14" s="32" t="s">
        <v>19</v>
      </c>
      <c r="H14" s="33" t="s">
        <v>125</v>
      </c>
      <c r="I14" s="33" t="s">
        <v>125</v>
      </c>
      <c r="J14" s="31"/>
      <c r="K14" s="44" t="str">
        <f>"52,5"</f>
        <v>52,5</v>
      </c>
      <c r="L14" s="28" t="str">
        <f>"62,6118"</f>
        <v>62,6118</v>
      </c>
      <c r="M14" s="26" t="s">
        <v>105</v>
      </c>
    </row>
    <row r="16" spans="1:13" ht="16">
      <c r="A16" s="66" t="s">
        <v>50</v>
      </c>
      <c r="B16" s="66"/>
      <c r="C16" s="67"/>
      <c r="D16" s="67"/>
      <c r="E16" s="67"/>
      <c r="F16" s="67"/>
      <c r="G16" s="67"/>
      <c r="H16" s="67"/>
      <c r="I16" s="67"/>
      <c r="J16" s="67"/>
    </row>
    <row r="17" spans="1:13">
      <c r="A17" s="29" t="s">
        <v>28</v>
      </c>
      <c r="B17" s="23" t="s">
        <v>140</v>
      </c>
      <c r="C17" s="23" t="s">
        <v>141</v>
      </c>
      <c r="D17" s="23" t="s">
        <v>142</v>
      </c>
      <c r="E17" s="24" t="s">
        <v>308</v>
      </c>
      <c r="F17" s="23" t="s">
        <v>42</v>
      </c>
      <c r="G17" s="30" t="s">
        <v>19</v>
      </c>
      <c r="H17" s="30" t="s">
        <v>125</v>
      </c>
      <c r="I17" s="30" t="s">
        <v>136</v>
      </c>
      <c r="J17" s="29"/>
      <c r="K17" s="42" t="str">
        <f>"57,5"</f>
        <v>57,5</v>
      </c>
      <c r="L17" s="25" t="str">
        <f>"52,6470"</f>
        <v>52,6470</v>
      </c>
      <c r="M17" s="23" t="s">
        <v>105</v>
      </c>
    </row>
    <row r="18" spans="1:13">
      <c r="A18" s="31" t="s">
        <v>28</v>
      </c>
      <c r="B18" s="26" t="s">
        <v>143</v>
      </c>
      <c r="C18" s="26" t="s">
        <v>144</v>
      </c>
      <c r="D18" s="26" t="s">
        <v>145</v>
      </c>
      <c r="E18" s="27" t="s">
        <v>309</v>
      </c>
      <c r="F18" s="26" t="s">
        <v>42</v>
      </c>
      <c r="G18" s="32" t="s">
        <v>19</v>
      </c>
      <c r="H18" s="32" t="s">
        <v>125</v>
      </c>
      <c r="I18" s="33" t="s">
        <v>136</v>
      </c>
      <c r="J18" s="31"/>
      <c r="K18" s="44" t="str">
        <f>"55,0"</f>
        <v>55,0</v>
      </c>
      <c r="L18" s="28" t="str">
        <f>"50,1160"</f>
        <v>50,1160</v>
      </c>
      <c r="M18" s="26" t="s">
        <v>105</v>
      </c>
    </row>
    <row r="20" spans="1:13" ht="16">
      <c r="A20" s="66" t="s">
        <v>38</v>
      </c>
      <c r="B20" s="66"/>
      <c r="C20" s="67"/>
      <c r="D20" s="67"/>
      <c r="E20" s="67"/>
      <c r="F20" s="67"/>
      <c r="G20" s="67"/>
      <c r="H20" s="67"/>
      <c r="I20" s="67"/>
      <c r="J20" s="67"/>
    </row>
    <row r="21" spans="1:13">
      <c r="A21" s="29" t="s">
        <v>28</v>
      </c>
      <c r="B21" s="23" t="s">
        <v>146</v>
      </c>
      <c r="C21" s="23" t="s">
        <v>147</v>
      </c>
      <c r="D21" s="23" t="s">
        <v>148</v>
      </c>
      <c r="E21" s="24" t="s">
        <v>311</v>
      </c>
      <c r="F21" s="23" t="s">
        <v>33</v>
      </c>
      <c r="G21" s="37" t="s">
        <v>104</v>
      </c>
      <c r="H21" s="30" t="s">
        <v>104</v>
      </c>
      <c r="I21" s="30" t="s">
        <v>16</v>
      </c>
      <c r="J21" s="29"/>
      <c r="K21" s="42" t="str">
        <f>"110,0"</f>
        <v>110,0</v>
      </c>
      <c r="L21" s="25" t="str">
        <f>"87,4720"</f>
        <v>87,4720</v>
      </c>
      <c r="M21" s="23" t="s">
        <v>149</v>
      </c>
    </row>
    <row r="22" spans="1:13">
      <c r="A22" s="38" t="s">
        <v>28</v>
      </c>
      <c r="B22" s="34" t="s">
        <v>150</v>
      </c>
      <c r="C22" s="34" t="s">
        <v>151</v>
      </c>
      <c r="D22" s="34" t="s">
        <v>152</v>
      </c>
      <c r="E22" s="35" t="s">
        <v>312</v>
      </c>
      <c r="F22" s="34" t="s">
        <v>33</v>
      </c>
      <c r="G22" s="39" t="s">
        <v>153</v>
      </c>
      <c r="H22" s="40" t="s">
        <v>154</v>
      </c>
      <c r="I22" s="40" t="s">
        <v>154</v>
      </c>
      <c r="J22" s="38"/>
      <c r="K22" s="43" t="str">
        <f>"80,0"</f>
        <v>80,0</v>
      </c>
      <c r="L22" s="36" t="str">
        <f>"62,3520"</f>
        <v>62,3520</v>
      </c>
      <c r="M22" s="34" t="s">
        <v>37</v>
      </c>
    </row>
    <row r="23" spans="1:13">
      <c r="A23" s="38" t="s">
        <v>28</v>
      </c>
      <c r="B23" s="34" t="s">
        <v>39</v>
      </c>
      <c r="C23" s="34" t="s">
        <v>40</v>
      </c>
      <c r="D23" s="34" t="s">
        <v>155</v>
      </c>
      <c r="E23" s="35" t="s">
        <v>308</v>
      </c>
      <c r="F23" s="34" t="s">
        <v>42</v>
      </c>
      <c r="G23" s="39" t="s">
        <v>21</v>
      </c>
      <c r="H23" s="39" t="s">
        <v>156</v>
      </c>
      <c r="I23" s="39" t="s">
        <v>157</v>
      </c>
      <c r="J23" s="38"/>
      <c r="K23" s="43" t="str">
        <f>"135,0"</f>
        <v>135,0</v>
      </c>
      <c r="L23" s="36" t="str">
        <f>"113,4270"</f>
        <v>113,4270</v>
      </c>
      <c r="M23" s="34" t="s">
        <v>37</v>
      </c>
    </row>
    <row r="24" spans="1:13">
      <c r="A24" s="38" t="s">
        <v>230</v>
      </c>
      <c r="B24" s="34" t="s">
        <v>95</v>
      </c>
      <c r="C24" s="34" t="s">
        <v>158</v>
      </c>
      <c r="D24" s="34" t="s">
        <v>97</v>
      </c>
      <c r="E24" s="35" t="s">
        <v>308</v>
      </c>
      <c r="F24" s="34" t="s">
        <v>42</v>
      </c>
      <c r="G24" s="39" t="s">
        <v>99</v>
      </c>
      <c r="H24" s="39" t="s">
        <v>16</v>
      </c>
      <c r="I24" s="39" t="s">
        <v>159</v>
      </c>
      <c r="J24" s="38"/>
      <c r="K24" s="43" t="str">
        <f>"112,5"</f>
        <v>112,5</v>
      </c>
      <c r="L24" s="36" t="str">
        <f>"91,1250"</f>
        <v>91,1250</v>
      </c>
      <c r="M24" s="34" t="s">
        <v>100</v>
      </c>
    </row>
    <row r="25" spans="1:13">
      <c r="A25" s="38" t="s">
        <v>231</v>
      </c>
      <c r="B25" s="34" t="s">
        <v>160</v>
      </c>
      <c r="C25" s="34" t="s">
        <v>161</v>
      </c>
      <c r="D25" s="34" t="s">
        <v>162</v>
      </c>
      <c r="E25" s="35" t="s">
        <v>308</v>
      </c>
      <c r="F25" s="34" t="s">
        <v>42</v>
      </c>
      <c r="G25" s="39" t="s">
        <v>15</v>
      </c>
      <c r="H25" s="39" t="s">
        <v>104</v>
      </c>
      <c r="I25" s="40" t="s">
        <v>16</v>
      </c>
      <c r="J25" s="38"/>
      <c r="K25" s="43" t="str">
        <f>"105,0"</f>
        <v>105,0</v>
      </c>
      <c r="L25" s="36" t="str">
        <f>"81,9420"</f>
        <v>81,9420</v>
      </c>
      <c r="M25" s="34" t="s">
        <v>105</v>
      </c>
    </row>
    <row r="26" spans="1:13">
      <c r="A26" s="31" t="s">
        <v>28</v>
      </c>
      <c r="B26" s="26" t="s">
        <v>95</v>
      </c>
      <c r="C26" s="26" t="s">
        <v>96</v>
      </c>
      <c r="D26" s="26" t="s">
        <v>97</v>
      </c>
      <c r="E26" s="27" t="s">
        <v>313</v>
      </c>
      <c r="F26" s="26" t="s">
        <v>42</v>
      </c>
      <c r="G26" s="32" t="s">
        <v>99</v>
      </c>
      <c r="H26" s="32" t="s">
        <v>16</v>
      </c>
      <c r="I26" s="32" t="s">
        <v>159</v>
      </c>
      <c r="J26" s="31"/>
      <c r="K26" s="44" t="str">
        <f>"112,5"</f>
        <v>112,5</v>
      </c>
      <c r="L26" s="28" t="str">
        <f>"113,9063"</f>
        <v>113,9063</v>
      </c>
      <c r="M26" s="26" t="s">
        <v>100</v>
      </c>
    </row>
    <row r="28" spans="1:13" ht="16">
      <c r="A28" s="66" t="s">
        <v>10</v>
      </c>
      <c r="B28" s="66"/>
      <c r="C28" s="67"/>
      <c r="D28" s="67"/>
      <c r="E28" s="67"/>
      <c r="F28" s="67"/>
      <c r="G28" s="67"/>
      <c r="H28" s="67"/>
      <c r="I28" s="67"/>
      <c r="J28" s="67"/>
    </row>
    <row r="29" spans="1:13">
      <c r="A29" s="29" t="s">
        <v>28</v>
      </c>
      <c r="B29" s="23" t="s">
        <v>163</v>
      </c>
      <c r="C29" s="23" t="s">
        <v>164</v>
      </c>
      <c r="D29" s="23" t="s">
        <v>165</v>
      </c>
      <c r="E29" s="24" t="s">
        <v>308</v>
      </c>
      <c r="F29" s="23" t="s">
        <v>166</v>
      </c>
      <c r="G29" s="30" t="s">
        <v>156</v>
      </c>
      <c r="H29" s="30" t="s">
        <v>34</v>
      </c>
      <c r="I29" s="37" t="s">
        <v>35</v>
      </c>
      <c r="J29" s="29"/>
      <c r="K29" s="42" t="str">
        <f>"140,0"</f>
        <v>140,0</v>
      </c>
      <c r="L29" s="25" t="str">
        <f>"102,2980"</f>
        <v>102,2980</v>
      </c>
      <c r="M29" s="23" t="s">
        <v>167</v>
      </c>
    </row>
    <row r="30" spans="1:13">
      <c r="A30" s="38" t="s">
        <v>230</v>
      </c>
      <c r="B30" s="34" t="s">
        <v>168</v>
      </c>
      <c r="C30" s="34" t="s">
        <v>169</v>
      </c>
      <c r="D30" s="34" t="s">
        <v>170</v>
      </c>
      <c r="E30" s="35" t="s">
        <v>308</v>
      </c>
      <c r="F30" s="34" t="s">
        <v>66</v>
      </c>
      <c r="G30" s="39" t="s">
        <v>109</v>
      </c>
      <c r="H30" s="39" t="s">
        <v>171</v>
      </c>
      <c r="I30" s="40" t="s">
        <v>20</v>
      </c>
      <c r="J30" s="38"/>
      <c r="K30" s="43" t="str">
        <f>"117,5"</f>
        <v>117,5</v>
      </c>
      <c r="L30" s="36" t="str">
        <f>"84,2827"</f>
        <v>84,2827</v>
      </c>
      <c r="M30" s="34"/>
    </row>
    <row r="31" spans="1:13">
      <c r="A31" s="38" t="s">
        <v>231</v>
      </c>
      <c r="B31" s="34" t="s">
        <v>172</v>
      </c>
      <c r="C31" s="34" t="s">
        <v>173</v>
      </c>
      <c r="D31" s="34" t="s">
        <v>174</v>
      </c>
      <c r="E31" s="35" t="s">
        <v>308</v>
      </c>
      <c r="F31" s="34" t="s">
        <v>301</v>
      </c>
      <c r="G31" s="39" t="s">
        <v>14</v>
      </c>
      <c r="H31" s="39" t="s">
        <v>175</v>
      </c>
      <c r="I31" s="39" t="s">
        <v>15</v>
      </c>
      <c r="J31" s="38"/>
      <c r="K31" s="43" t="str">
        <f>"100,0"</f>
        <v>100,0</v>
      </c>
      <c r="L31" s="36" t="str">
        <f>"73,9000"</f>
        <v>73,9000</v>
      </c>
      <c r="M31" s="34" t="s">
        <v>82</v>
      </c>
    </row>
    <row r="32" spans="1:13">
      <c r="A32" s="38" t="s">
        <v>232</v>
      </c>
      <c r="B32" s="34" t="s">
        <v>176</v>
      </c>
      <c r="C32" s="34" t="s">
        <v>177</v>
      </c>
      <c r="D32" s="34" t="s">
        <v>178</v>
      </c>
      <c r="E32" s="35" t="s">
        <v>308</v>
      </c>
      <c r="F32" s="34" t="s">
        <v>33</v>
      </c>
      <c r="G32" s="39" t="s">
        <v>154</v>
      </c>
      <c r="H32" s="39" t="s">
        <v>14</v>
      </c>
      <c r="I32" s="40" t="s">
        <v>175</v>
      </c>
      <c r="J32" s="38"/>
      <c r="K32" s="43" t="str">
        <f>"90,0"</f>
        <v>90,0</v>
      </c>
      <c r="L32" s="36" t="str">
        <f>"68,9040"</f>
        <v>68,9040</v>
      </c>
      <c r="M32" s="34"/>
    </row>
    <row r="33" spans="1:13">
      <c r="A33" s="31" t="s">
        <v>28</v>
      </c>
      <c r="B33" s="26" t="s">
        <v>179</v>
      </c>
      <c r="C33" s="26" t="s">
        <v>180</v>
      </c>
      <c r="D33" s="26" t="s">
        <v>181</v>
      </c>
      <c r="E33" s="27" t="s">
        <v>313</v>
      </c>
      <c r="F33" s="26" t="s">
        <v>301</v>
      </c>
      <c r="G33" s="32" t="s">
        <v>156</v>
      </c>
      <c r="H33" s="32" t="s">
        <v>157</v>
      </c>
      <c r="I33" s="32" t="s">
        <v>34</v>
      </c>
      <c r="J33" s="31"/>
      <c r="K33" s="44" t="str">
        <f>"140,0"</f>
        <v>140,0</v>
      </c>
      <c r="L33" s="28" t="str">
        <f>"116,8514"</f>
        <v>116,8514</v>
      </c>
      <c r="M33" s="26"/>
    </row>
    <row r="35" spans="1:13" ht="16">
      <c r="A35" s="66" t="s">
        <v>50</v>
      </c>
      <c r="B35" s="66"/>
      <c r="C35" s="67"/>
      <c r="D35" s="67"/>
      <c r="E35" s="67"/>
      <c r="F35" s="67"/>
      <c r="G35" s="67"/>
      <c r="H35" s="67"/>
      <c r="I35" s="67"/>
      <c r="J35" s="67"/>
    </row>
    <row r="36" spans="1:13">
      <c r="A36" s="29" t="s">
        <v>28</v>
      </c>
      <c r="B36" s="23" t="s">
        <v>182</v>
      </c>
      <c r="C36" s="23" t="s">
        <v>183</v>
      </c>
      <c r="D36" s="23" t="s">
        <v>184</v>
      </c>
      <c r="E36" s="24" t="s">
        <v>308</v>
      </c>
      <c r="F36" s="23" t="s">
        <v>166</v>
      </c>
      <c r="G36" s="30" t="s">
        <v>43</v>
      </c>
      <c r="H36" s="30" t="s">
        <v>185</v>
      </c>
      <c r="I36" s="37" t="s">
        <v>48</v>
      </c>
      <c r="J36" s="29"/>
      <c r="K36" s="42" t="str">
        <f>"175,0"</f>
        <v>175,0</v>
      </c>
      <c r="L36" s="25" t="str">
        <f>"117,5825"</f>
        <v>117,5825</v>
      </c>
      <c r="M36" s="23" t="s">
        <v>167</v>
      </c>
    </row>
    <row r="37" spans="1:13">
      <c r="A37" s="38" t="s">
        <v>230</v>
      </c>
      <c r="B37" s="34" t="s">
        <v>51</v>
      </c>
      <c r="C37" s="34" t="s">
        <v>52</v>
      </c>
      <c r="D37" s="34" t="s">
        <v>53</v>
      </c>
      <c r="E37" s="35" t="s">
        <v>308</v>
      </c>
      <c r="F37" s="34" t="s">
        <v>33</v>
      </c>
      <c r="G37" s="39" t="s">
        <v>114</v>
      </c>
      <c r="H37" s="39" t="s">
        <v>43</v>
      </c>
      <c r="I37" s="39" t="s">
        <v>61</v>
      </c>
      <c r="J37" s="38"/>
      <c r="K37" s="43" t="str">
        <f>"170,0"</f>
        <v>170,0</v>
      </c>
      <c r="L37" s="36" t="str">
        <f>"117,8610"</f>
        <v>117,8610</v>
      </c>
      <c r="M37" s="34" t="s">
        <v>37</v>
      </c>
    </row>
    <row r="38" spans="1:13">
      <c r="A38" s="38" t="s">
        <v>231</v>
      </c>
      <c r="B38" s="34" t="s">
        <v>186</v>
      </c>
      <c r="C38" s="34" t="s">
        <v>187</v>
      </c>
      <c r="D38" s="34" t="s">
        <v>188</v>
      </c>
      <c r="E38" s="35" t="s">
        <v>308</v>
      </c>
      <c r="F38" s="34" t="s">
        <v>42</v>
      </c>
      <c r="G38" s="39" t="s">
        <v>43</v>
      </c>
      <c r="H38" s="39" t="s">
        <v>189</v>
      </c>
      <c r="I38" s="40" t="s">
        <v>190</v>
      </c>
      <c r="J38" s="38"/>
      <c r="K38" s="43" t="str">
        <f>"167,5"</f>
        <v>167,5</v>
      </c>
      <c r="L38" s="36" t="str">
        <f>"113,0457"</f>
        <v>113,0457</v>
      </c>
      <c r="M38" s="34"/>
    </row>
    <row r="39" spans="1:13">
      <c r="A39" s="38" t="s">
        <v>232</v>
      </c>
      <c r="B39" s="34" t="s">
        <v>191</v>
      </c>
      <c r="C39" s="34" t="s">
        <v>192</v>
      </c>
      <c r="D39" s="34" t="s">
        <v>193</v>
      </c>
      <c r="E39" s="35" t="s">
        <v>308</v>
      </c>
      <c r="F39" s="34" t="s">
        <v>66</v>
      </c>
      <c r="G39" s="39" t="s">
        <v>35</v>
      </c>
      <c r="H39" s="39" t="s">
        <v>194</v>
      </c>
      <c r="I39" s="40" t="s">
        <v>195</v>
      </c>
      <c r="J39" s="38"/>
      <c r="K39" s="43" t="str">
        <f>"157,5"</f>
        <v>157,5</v>
      </c>
      <c r="L39" s="36" t="str">
        <f>"106,3755"</f>
        <v>106,3755</v>
      </c>
      <c r="M39" s="34" t="s">
        <v>196</v>
      </c>
    </row>
    <row r="40" spans="1:13">
      <c r="A40" s="38" t="s">
        <v>233</v>
      </c>
      <c r="B40" s="34" t="s">
        <v>197</v>
      </c>
      <c r="C40" s="34" t="s">
        <v>198</v>
      </c>
      <c r="D40" s="34" t="s">
        <v>199</v>
      </c>
      <c r="E40" s="35" t="s">
        <v>308</v>
      </c>
      <c r="F40" s="34" t="s">
        <v>300</v>
      </c>
      <c r="G40" s="39" t="s">
        <v>109</v>
      </c>
      <c r="H40" s="39" t="s">
        <v>21</v>
      </c>
      <c r="I40" s="40" t="s">
        <v>157</v>
      </c>
      <c r="J40" s="38"/>
      <c r="K40" s="43" t="str">
        <f>"125,0"</f>
        <v>125,0</v>
      </c>
      <c r="L40" s="36" t="str">
        <f>"88,7375"</f>
        <v>88,7375</v>
      </c>
      <c r="M40" s="34" t="s">
        <v>22</v>
      </c>
    </row>
    <row r="41" spans="1:13">
      <c r="A41" s="38" t="s">
        <v>28</v>
      </c>
      <c r="B41" s="34" t="s">
        <v>186</v>
      </c>
      <c r="C41" s="34" t="s">
        <v>200</v>
      </c>
      <c r="D41" s="34" t="s">
        <v>188</v>
      </c>
      <c r="E41" s="35" t="s">
        <v>309</v>
      </c>
      <c r="F41" s="34" t="s">
        <v>42</v>
      </c>
      <c r="G41" s="39" t="s">
        <v>43</v>
      </c>
      <c r="H41" s="39" t="s">
        <v>189</v>
      </c>
      <c r="I41" s="40" t="s">
        <v>190</v>
      </c>
      <c r="J41" s="38"/>
      <c r="K41" s="43" t="str">
        <f>"167,5"</f>
        <v>167,5</v>
      </c>
      <c r="L41" s="36" t="str">
        <f>"119,8285"</f>
        <v>119,8285</v>
      </c>
      <c r="M41" s="34"/>
    </row>
    <row r="42" spans="1:13">
      <c r="A42" s="31" t="s">
        <v>28</v>
      </c>
      <c r="B42" s="26" t="s">
        <v>201</v>
      </c>
      <c r="C42" s="26" t="s">
        <v>202</v>
      </c>
      <c r="D42" s="26" t="s">
        <v>203</v>
      </c>
      <c r="E42" s="27" t="s">
        <v>314</v>
      </c>
      <c r="F42" s="26" t="s">
        <v>42</v>
      </c>
      <c r="G42" s="32" t="s">
        <v>20</v>
      </c>
      <c r="H42" s="32" t="s">
        <v>21</v>
      </c>
      <c r="I42" s="32" t="s">
        <v>204</v>
      </c>
      <c r="J42" s="31"/>
      <c r="K42" s="44" t="str">
        <f>"127,5"</f>
        <v>127,5</v>
      </c>
      <c r="L42" s="28" t="str">
        <f>"128,2549"</f>
        <v>128,2549</v>
      </c>
      <c r="M42" s="26" t="s">
        <v>105</v>
      </c>
    </row>
    <row r="44" spans="1:13" ht="16">
      <c r="A44" s="66" t="s">
        <v>57</v>
      </c>
      <c r="B44" s="66"/>
      <c r="C44" s="67"/>
      <c r="D44" s="67"/>
      <c r="E44" s="67"/>
      <c r="F44" s="67"/>
      <c r="G44" s="67"/>
      <c r="H44" s="67"/>
      <c r="I44" s="67"/>
      <c r="J44" s="67"/>
    </row>
    <row r="45" spans="1:13">
      <c r="A45" s="21" t="s">
        <v>28</v>
      </c>
      <c r="B45" s="7" t="s">
        <v>63</v>
      </c>
      <c r="C45" s="7" t="s">
        <v>64</v>
      </c>
      <c r="D45" s="7" t="s">
        <v>65</v>
      </c>
      <c r="E45" s="8" t="s">
        <v>308</v>
      </c>
      <c r="F45" s="7" t="s">
        <v>66</v>
      </c>
      <c r="G45" s="20" t="s">
        <v>205</v>
      </c>
      <c r="H45" s="22" t="s">
        <v>206</v>
      </c>
      <c r="I45" s="22" t="s">
        <v>206</v>
      </c>
      <c r="J45" s="21"/>
      <c r="K45" s="41" t="str">
        <f>"210,0"</f>
        <v>210,0</v>
      </c>
      <c r="L45" s="9" t="str">
        <f>"139,1040"</f>
        <v>139,1040</v>
      </c>
      <c r="M45" s="7"/>
    </row>
    <row r="47" spans="1:13" ht="16">
      <c r="A47" s="66" t="s">
        <v>70</v>
      </c>
      <c r="B47" s="66"/>
      <c r="C47" s="67"/>
      <c r="D47" s="67"/>
      <c r="E47" s="67"/>
      <c r="F47" s="67"/>
      <c r="G47" s="67"/>
      <c r="H47" s="67"/>
      <c r="I47" s="67"/>
      <c r="J47" s="67"/>
    </row>
    <row r="48" spans="1:13">
      <c r="A48" s="29" t="s">
        <v>28</v>
      </c>
      <c r="B48" s="23" t="s">
        <v>207</v>
      </c>
      <c r="C48" s="23" t="s">
        <v>208</v>
      </c>
      <c r="D48" s="23" t="s">
        <v>209</v>
      </c>
      <c r="E48" s="24" t="s">
        <v>310</v>
      </c>
      <c r="F48" s="23" t="s">
        <v>66</v>
      </c>
      <c r="G48" s="37" t="s">
        <v>36</v>
      </c>
      <c r="H48" s="30" t="s">
        <v>194</v>
      </c>
      <c r="I48" s="37" t="s">
        <v>115</v>
      </c>
      <c r="J48" s="29"/>
      <c r="K48" s="42" t="str">
        <f>"157,5"</f>
        <v>157,5</v>
      </c>
      <c r="L48" s="25" t="str">
        <f>"97,7445"</f>
        <v>97,7445</v>
      </c>
      <c r="M48" s="23" t="s">
        <v>196</v>
      </c>
    </row>
    <row r="49" spans="1:13">
      <c r="A49" s="31" t="s">
        <v>28</v>
      </c>
      <c r="B49" s="26" t="s">
        <v>211</v>
      </c>
      <c r="C49" s="26" t="s">
        <v>212</v>
      </c>
      <c r="D49" s="26" t="s">
        <v>213</v>
      </c>
      <c r="E49" s="27" t="s">
        <v>308</v>
      </c>
      <c r="F49" s="26" t="s">
        <v>66</v>
      </c>
      <c r="G49" s="32" t="s">
        <v>214</v>
      </c>
      <c r="H49" s="32" t="s">
        <v>80</v>
      </c>
      <c r="I49" s="32" t="s">
        <v>215</v>
      </c>
      <c r="J49" s="31"/>
      <c r="K49" s="44" t="str">
        <f>"202,5"</f>
        <v>202,5</v>
      </c>
      <c r="L49" s="28" t="str">
        <f>"124,5780"</f>
        <v>124,5780</v>
      </c>
      <c r="M49" s="26"/>
    </row>
    <row r="51" spans="1:13" ht="16">
      <c r="A51" s="66" t="s">
        <v>76</v>
      </c>
      <c r="B51" s="66"/>
      <c r="C51" s="67"/>
      <c r="D51" s="67"/>
      <c r="E51" s="67"/>
      <c r="F51" s="67"/>
      <c r="G51" s="67"/>
      <c r="H51" s="67"/>
      <c r="I51" s="67"/>
      <c r="J51" s="67"/>
    </row>
    <row r="52" spans="1:13">
      <c r="A52" s="21" t="s">
        <v>28</v>
      </c>
      <c r="B52" s="7" t="s">
        <v>77</v>
      </c>
      <c r="C52" s="7" t="s">
        <v>78</v>
      </c>
      <c r="D52" s="7" t="s">
        <v>79</v>
      </c>
      <c r="E52" s="8" t="s">
        <v>308</v>
      </c>
      <c r="F52" s="7" t="s">
        <v>301</v>
      </c>
      <c r="G52" s="20" t="s">
        <v>156</v>
      </c>
      <c r="H52" s="20" t="s">
        <v>219</v>
      </c>
      <c r="I52" s="20" t="s">
        <v>34</v>
      </c>
      <c r="J52" s="21"/>
      <c r="K52" s="41" t="str">
        <f>"140,0"</f>
        <v>140,0</v>
      </c>
      <c r="L52" s="9" t="str">
        <f>"83,5240"</f>
        <v>83,5240</v>
      </c>
      <c r="M52" s="7" t="s">
        <v>82</v>
      </c>
    </row>
    <row r="54" spans="1:13" ht="16">
      <c r="A54" s="66" t="s">
        <v>220</v>
      </c>
      <c r="B54" s="66"/>
      <c r="C54" s="67"/>
      <c r="D54" s="67"/>
      <c r="E54" s="67"/>
      <c r="F54" s="67"/>
      <c r="G54" s="67"/>
      <c r="H54" s="67"/>
      <c r="I54" s="67"/>
      <c r="J54" s="67"/>
    </row>
    <row r="55" spans="1:13">
      <c r="A55" s="21" t="s">
        <v>28</v>
      </c>
      <c r="B55" s="7" t="s">
        <v>221</v>
      </c>
      <c r="C55" s="7" t="s">
        <v>222</v>
      </c>
      <c r="D55" s="7" t="s">
        <v>223</v>
      </c>
      <c r="E55" s="8" t="s">
        <v>308</v>
      </c>
      <c r="F55" s="7" t="s">
        <v>166</v>
      </c>
      <c r="G55" s="20" t="s">
        <v>49</v>
      </c>
      <c r="H55" s="20" t="s">
        <v>80</v>
      </c>
      <c r="I55" s="20" t="s">
        <v>75</v>
      </c>
      <c r="J55" s="21"/>
      <c r="K55" s="41" t="str">
        <f>"205,0"</f>
        <v>205,0</v>
      </c>
      <c r="L55" s="9" t="str">
        <f>"119,0025"</f>
        <v>119,0025</v>
      </c>
      <c r="M55" s="7" t="s">
        <v>224</v>
      </c>
    </row>
    <row r="57" spans="1:13" ht="16">
      <c r="A57" s="66" t="s">
        <v>110</v>
      </c>
      <c r="B57" s="66"/>
      <c r="C57" s="67"/>
      <c r="D57" s="67"/>
      <c r="E57" s="67"/>
      <c r="F57" s="67"/>
      <c r="G57" s="67"/>
      <c r="H57" s="67"/>
      <c r="I57" s="67"/>
      <c r="J57" s="67"/>
    </row>
    <row r="58" spans="1:13">
      <c r="A58" s="29" t="s">
        <v>28</v>
      </c>
      <c r="B58" s="23" t="s">
        <v>225</v>
      </c>
      <c r="C58" s="23" t="s">
        <v>226</v>
      </c>
      <c r="D58" s="23" t="s">
        <v>227</v>
      </c>
      <c r="E58" s="24" t="s">
        <v>308</v>
      </c>
      <c r="F58" s="23" t="s">
        <v>302</v>
      </c>
      <c r="G58" s="30" t="s">
        <v>114</v>
      </c>
      <c r="H58" s="30" t="s">
        <v>195</v>
      </c>
      <c r="I58" s="37" t="s">
        <v>43</v>
      </c>
      <c r="J58" s="29"/>
      <c r="K58" s="42" t="str">
        <f>"162,5"</f>
        <v>162,5</v>
      </c>
      <c r="L58" s="25" t="str">
        <f>"91,9750"</f>
        <v>91,9750</v>
      </c>
      <c r="M58" s="23"/>
    </row>
    <row r="59" spans="1:13">
      <c r="A59" s="31" t="s">
        <v>28</v>
      </c>
      <c r="B59" s="26" t="s">
        <v>225</v>
      </c>
      <c r="C59" s="26" t="s">
        <v>228</v>
      </c>
      <c r="D59" s="26" t="s">
        <v>227</v>
      </c>
      <c r="E59" s="27" t="s">
        <v>313</v>
      </c>
      <c r="F59" s="26" t="s">
        <v>302</v>
      </c>
      <c r="G59" s="32" t="s">
        <v>114</v>
      </c>
      <c r="H59" s="32" t="s">
        <v>195</v>
      </c>
      <c r="I59" s="33" t="s">
        <v>43</v>
      </c>
      <c r="J59" s="31"/>
      <c r="K59" s="44" t="str">
        <f>"162,5"</f>
        <v>162,5</v>
      </c>
      <c r="L59" s="28" t="str">
        <f>"112,9453"</f>
        <v>112,9453</v>
      </c>
      <c r="M59" s="26"/>
    </row>
    <row r="61" spans="1:13">
      <c r="M61" s="6"/>
    </row>
    <row r="62" spans="1:13">
      <c r="M62" s="6"/>
    </row>
    <row r="63" spans="1:13" ht="18">
      <c r="B63" s="11" t="s">
        <v>23</v>
      </c>
      <c r="C63" s="11"/>
      <c r="M63" s="6"/>
    </row>
    <row r="64" spans="1:13" ht="16">
      <c r="B64" s="12" t="s">
        <v>87</v>
      </c>
      <c r="C64" s="12"/>
      <c r="M64" s="6"/>
    </row>
    <row r="65" spans="2:13" ht="14">
      <c r="B65" s="13"/>
      <c r="C65" s="14" t="s">
        <v>24</v>
      </c>
      <c r="M65" s="6"/>
    </row>
    <row r="66" spans="2:13" ht="14">
      <c r="B66" s="15" t="s">
        <v>25</v>
      </c>
      <c r="C66" s="15" t="s">
        <v>26</v>
      </c>
      <c r="D66" s="15" t="s">
        <v>303</v>
      </c>
      <c r="E66" s="16" t="s">
        <v>88</v>
      </c>
      <c r="F66" s="15" t="s">
        <v>27</v>
      </c>
      <c r="M66" s="6"/>
    </row>
    <row r="67" spans="2:13">
      <c r="B67" s="5" t="s">
        <v>63</v>
      </c>
      <c r="C67" s="5" t="s">
        <v>24</v>
      </c>
      <c r="D67" s="18" t="s">
        <v>90</v>
      </c>
      <c r="E67" s="19">
        <v>210</v>
      </c>
      <c r="F67" s="17">
        <v>139.10400152206401</v>
      </c>
      <c r="M67" s="6"/>
    </row>
    <row r="68" spans="2:13">
      <c r="B68" s="5" t="s">
        <v>211</v>
      </c>
      <c r="C68" s="5" t="s">
        <v>24</v>
      </c>
      <c r="D68" s="18" t="s">
        <v>116</v>
      </c>
      <c r="E68" s="19">
        <v>202.5</v>
      </c>
      <c r="F68" s="17">
        <v>124.577996581793</v>
      </c>
    </row>
    <row r="69" spans="2:13">
      <c r="B69" s="5" t="s">
        <v>221</v>
      </c>
      <c r="C69" s="5" t="s">
        <v>24</v>
      </c>
      <c r="D69" s="18" t="s">
        <v>229</v>
      </c>
      <c r="E69" s="19">
        <v>205</v>
      </c>
      <c r="F69" s="17">
        <v>119.002501368523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8:J28"/>
    <mergeCell ref="A35:J35"/>
    <mergeCell ref="K3:K4"/>
    <mergeCell ref="L3:L4"/>
    <mergeCell ref="M3:M4"/>
    <mergeCell ref="A5:J5"/>
    <mergeCell ref="B3:B4"/>
    <mergeCell ref="A8:J8"/>
    <mergeCell ref="A11:J11"/>
    <mergeCell ref="A16:J16"/>
    <mergeCell ref="A20:J20"/>
    <mergeCell ref="A44:J44"/>
    <mergeCell ref="A47:J47"/>
    <mergeCell ref="A51:J51"/>
    <mergeCell ref="A54:J54"/>
    <mergeCell ref="A57:J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6.5" style="5" bestFit="1" customWidth="1"/>
    <col min="4" max="4" width="20.83203125" style="5" bestFit="1" customWidth="1"/>
    <col min="5" max="5" width="10.1640625" style="10" bestFit="1" customWidth="1"/>
    <col min="6" max="6" width="28.1640625" style="5" bestFit="1" customWidth="1"/>
    <col min="7" max="9" width="5.5" style="18" customWidth="1"/>
    <col min="10" max="10" width="4.5" style="18" customWidth="1"/>
    <col min="11" max="11" width="10.5" style="19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51" t="s">
        <v>294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60" t="s">
        <v>305</v>
      </c>
      <c r="B3" s="47" t="s">
        <v>0</v>
      </c>
      <c r="C3" s="62" t="s">
        <v>306</v>
      </c>
      <c r="D3" s="62" t="s">
        <v>6</v>
      </c>
      <c r="E3" s="49" t="s">
        <v>307</v>
      </c>
      <c r="F3" s="59" t="s">
        <v>5</v>
      </c>
      <c r="G3" s="59" t="s">
        <v>8</v>
      </c>
      <c r="H3" s="59"/>
      <c r="I3" s="59"/>
      <c r="J3" s="59"/>
      <c r="K3" s="68" t="s">
        <v>93</v>
      </c>
      <c r="L3" s="49" t="s">
        <v>3</v>
      </c>
      <c r="M3" s="64" t="s">
        <v>2</v>
      </c>
    </row>
    <row r="4" spans="1:13" s="1" customFormat="1" ht="21" customHeight="1" thickBot="1">
      <c r="A4" s="61"/>
      <c r="B4" s="48"/>
      <c r="C4" s="63"/>
      <c r="D4" s="63"/>
      <c r="E4" s="50"/>
      <c r="F4" s="63"/>
      <c r="G4" s="4">
        <v>1</v>
      </c>
      <c r="H4" s="4">
        <v>2</v>
      </c>
      <c r="I4" s="4">
        <v>3</v>
      </c>
      <c r="J4" s="4" t="s">
        <v>4</v>
      </c>
      <c r="K4" s="69"/>
      <c r="L4" s="50"/>
      <c r="M4" s="65"/>
    </row>
    <row r="5" spans="1:13" ht="16">
      <c r="A5" s="45" t="s">
        <v>29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1" t="s">
        <v>28</v>
      </c>
      <c r="B6" s="7" t="s">
        <v>30</v>
      </c>
      <c r="C6" s="7" t="s">
        <v>31</v>
      </c>
      <c r="D6" s="7" t="s">
        <v>32</v>
      </c>
      <c r="E6" s="8" t="s">
        <v>308</v>
      </c>
      <c r="F6" s="7" t="s">
        <v>33</v>
      </c>
      <c r="G6" s="20" t="s">
        <v>34</v>
      </c>
      <c r="H6" s="20" t="s">
        <v>35</v>
      </c>
      <c r="I6" s="20" t="s">
        <v>36</v>
      </c>
      <c r="J6" s="21"/>
      <c r="K6" s="41" t="str">
        <f>"152,5"</f>
        <v>152,5</v>
      </c>
      <c r="L6" s="9" t="str">
        <f>"129,3276"</f>
        <v>129,3276</v>
      </c>
      <c r="M6" s="7" t="s">
        <v>37</v>
      </c>
    </row>
    <row r="8" spans="1:13" ht="16">
      <c r="A8" s="66" t="s">
        <v>38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1" t="s">
        <v>28</v>
      </c>
      <c r="B9" s="7" t="s">
        <v>39</v>
      </c>
      <c r="C9" s="7" t="s">
        <v>40</v>
      </c>
      <c r="D9" s="7" t="s">
        <v>41</v>
      </c>
      <c r="E9" s="8" t="s">
        <v>308</v>
      </c>
      <c r="F9" s="7" t="s">
        <v>42</v>
      </c>
      <c r="G9" s="22" t="s">
        <v>43</v>
      </c>
      <c r="H9" s="20" t="s">
        <v>43</v>
      </c>
      <c r="I9" s="22" t="s">
        <v>44</v>
      </c>
      <c r="J9" s="21"/>
      <c r="K9" s="41" t="str">
        <f>"165,0"</f>
        <v>165,0</v>
      </c>
      <c r="L9" s="9" t="str">
        <f>"135,3660"</f>
        <v>135,3660</v>
      </c>
      <c r="M9" s="7" t="s">
        <v>37</v>
      </c>
    </row>
    <row r="11" spans="1:13" ht="16">
      <c r="A11" s="66" t="s">
        <v>10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1" t="s">
        <v>28</v>
      </c>
      <c r="B12" s="7" t="s">
        <v>30</v>
      </c>
      <c r="C12" s="7" t="s">
        <v>45</v>
      </c>
      <c r="D12" s="7" t="s">
        <v>46</v>
      </c>
      <c r="E12" s="8" t="s">
        <v>308</v>
      </c>
      <c r="F12" s="7" t="s">
        <v>47</v>
      </c>
      <c r="G12" s="20" t="s">
        <v>48</v>
      </c>
      <c r="H12" s="22" t="s">
        <v>49</v>
      </c>
      <c r="I12" s="22" t="s">
        <v>49</v>
      </c>
      <c r="J12" s="21"/>
      <c r="K12" s="41" t="str">
        <f>"180,0"</f>
        <v>180,0</v>
      </c>
      <c r="L12" s="9" t="str">
        <f>"123,9390"</f>
        <v>123,9390</v>
      </c>
      <c r="M12" s="7"/>
    </row>
    <row r="14" spans="1:13" ht="16">
      <c r="A14" s="66" t="s">
        <v>50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3">
      <c r="A15" s="21" t="s">
        <v>28</v>
      </c>
      <c r="B15" s="7" t="s">
        <v>51</v>
      </c>
      <c r="C15" s="7" t="s">
        <v>52</v>
      </c>
      <c r="D15" s="7" t="s">
        <v>53</v>
      </c>
      <c r="E15" s="8" t="s">
        <v>308</v>
      </c>
      <c r="F15" s="7" t="s">
        <v>33</v>
      </c>
      <c r="G15" s="20" t="s">
        <v>54</v>
      </c>
      <c r="H15" s="20" t="s">
        <v>55</v>
      </c>
      <c r="I15" s="22" t="s">
        <v>56</v>
      </c>
      <c r="J15" s="21"/>
      <c r="K15" s="41" t="str">
        <f>"250,0"</f>
        <v>250,0</v>
      </c>
      <c r="L15" s="9" t="str">
        <f>"167,1875"</f>
        <v>167,1875</v>
      </c>
      <c r="M15" s="7" t="s">
        <v>37</v>
      </c>
    </row>
    <row r="17" spans="1:13" ht="16">
      <c r="A17" s="66" t="s">
        <v>57</v>
      </c>
      <c r="B17" s="66"/>
      <c r="C17" s="67"/>
      <c r="D17" s="67"/>
      <c r="E17" s="67"/>
      <c r="F17" s="67"/>
      <c r="G17" s="67"/>
      <c r="H17" s="67"/>
      <c r="I17" s="67"/>
      <c r="J17" s="67"/>
    </row>
    <row r="18" spans="1:13">
      <c r="A18" s="29" t="s">
        <v>28</v>
      </c>
      <c r="B18" s="23" t="s">
        <v>58</v>
      </c>
      <c r="C18" s="23" t="s">
        <v>59</v>
      </c>
      <c r="D18" s="23" t="s">
        <v>60</v>
      </c>
      <c r="E18" s="24" t="s">
        <v>312</v>
      </c>
      <c r="F18" s="23" t="s">
        <v>47</v>
      </c>
      <c r="G18" s="30" t="s">
        <v>61</v>
      </c>
      <c r="H18" s="30" t="s">
        <v>48</v>
      </c>
      <c r="I18" s="30" t="s">
        <v>49</v>
      </c>
      <c r="J18" s="29"/>
      <c r="K18" s="42" t="str">
        <f>"190,0"</f>
        <v>190,0</v>
      </c>
      <c r="L18" s="25" t="str">
        <f>"118,2940"</f>
        <v>118,2940</v>
      </c>
      <c r="M18" s="23" t="s">
        <v>62</v>
      </c>
    </row>
    <row r="19" spans="1:13">
      <c r="A19" s="31" t="s">
        <v>28</v>
      </c>
      <c r="B19" s="26" t="s">
        <v>63</v>
      </c>
      <c r="C19" s="26" t="s">
        <v>64</v>
      </c>
      <c r="D19" s="26" t="s">
        <v>65</v>
      </c>
      <c r="E19" s="27" t="s">
        <v>308</v>
      </c>
      <c r="F19" s="26" t="s">
        <v>66</v>
      </c>
      <c r="G19" s="32" t="s">
        <v>67</v>
      </c>
      <c r="H19" s="32" t="s">
        <v>68</v>
      </c>
      <c r="I19" s="32" t="s">
        <v>69</v>
      </c>
      <c r="J19" s="31"/>
      <c r="K19" s="44" t="str">
        <f>"300,0"</f>
        <v>300,0</v>
      </c>
      <c r="L19" s="28" t="str">
        <f>"191,0400"</f>
        <v>191,0400</v>
      </c>
      <c r="M19" s="26"/>
    </row>
    <row r="21" spans="1:13" ht="16">
      <c r="A21" s="66" t="s">
        <v>70</v>
      </c>
      <c r="B21" s="66"/>
      <c r="C21" s="67"/>
      <c r="D21" s="67"/>
      <c r="E21" s="67"/>
      <c r="F21" s="67"/>
      <c r="G21" s="67"/>
      <c r="H21" s="67"/>
      <c r="I21" s="67"/>
      <c r="J21" s="67"/>
    </row>
    <row r="22" spans="1:13">
      <c r="A22" s="21" t="s">
        <v>28</v>
      </c>
      <c r="B22" s="7" t="s">
        <v>71</v>
      </c>
      <c r="C22" s="7" t="s">
        <v>72</v>
      </c>
      <c r="D22" s="7" t="s">
        <v>73</v>
      </c>
      <c r="E22" s="8" t="s">
        <v>308</v>
      </c>
      <c r="F22" s="7" t="s">
        <v>33</v>
      </c>
      <c r="G22" s="20" t="s">
        <v>48</v>
      </c>
      <c r="H22" s="20" t="s">
        <v>74</v>
      </c>
      <c r="I22" s="20" t="s">
        <v>75</v>
      </c>
      <c r="J22" s="21"/>
      <c r="K22" s="41" t="str">
        <f>"205,0"</f>
        <v>205,0</v>
      </c>
      <c r="L22" s="9" t="str">
        <f>"120,1607"</f>
        <v>120,1607</v>
      </c>
      <c r="M22" s="7" t="s">
        <v>37</v>
      </c>
    </row>
    <row r="24" spans="1:13" ht="16">
      <c r="A24" s="66" t="s">
        <v>76</v>
      </c>
      <c r="B24" s="66"/>
      <c r="C24" s="67"/>
      <c r="D24" s="67"/>
      <c r="E24" s="67"/>
      <c r="F24" s="67"/>
      <c r="G24" s="67"/>
      <c r="H24" s="67"/>
      <c r="I24" s="67"/>
      <c r="J24" s="67"/>
    </row>
    <row r="25" spans="1:13">
      <c r="A25" s="29" t="s">
        <v>28</v>
      </c>
      <c r="B25" s="23" t="s">
        <v>77</v>
      </c>
      <c r="C25" s="23" t="s">
        <v>78</v>
      </c>
      <c r="D25" s="23" t="s">
        <v>79</v>
      </c>
      <c r="E25" s="24" t="s">
        <v>308</v>
      </c>
      <c r="F25" s="23" t="s">
        <v>301</v>
      </c>
      <c r="G25" s="30" t="s">
        <v>80</v>
      </c>
      <c r="H25" s="30" t="s">
        <v>75</v>
      </c>
      <c r="I25" s="30" t="s">
        <v>81</v>
      </c>
      <c r="J25" s="29"/>
      <c r="K25" s="42" t="str">
        <f>"207,5"</f>
        <v>207,5</v>
      </c>
      <c r="L25" s="25" t="str">
        <f>"118,2231"</f>
        <v>118,2231</v>
      </c>
      <c r="M25" s="23" t="s">
        <v>82</v>
      </c>
    </row>
    <row r="26" spans="1:13">
      <c r="A26" s="31" t="s">
        <v>94</v>
      </c>
      <c r="B26" s="26" t="s">
        <v>83</v>
      </c>
      <c r="C26" s="26" t="s">
        <v>84</v>
      </c>
      <c r="D26" s="26" t="s">
        <v>85</v>
      </c>
      <c r="E26" s="27" t="s">
        <v>308</v>
      </c>
      <c r="F26" s="26" t="s">
        <v>33</v>
      </c>
      <c r="G26" s="33" t="s">
        <v>69</v>
      </c>
      <c r="H26" s="33" t="s">
        <v>86</v>
      </c>
      <c r="I26" s="33" t="s">
        <v>86</v>
      </c>
      <c r="J26" s="31"/>
      <c r="K26" s="44">
        <v>0</v>
      </c>
      <c r="L26" s="28" t="str">
        <f>"0,0000"</f>
        <v>0,0000</v>
      </c>
      <c r="M26" s="26"/>
    </row>
    <row r="28" spans="1:13">
      <c r="M28" s="6"/>
    </row>
    <row r="29" spans="1:13">
      <c r="M29" s="6"/>
    </row>
    <row r="30" spans="1:13" ht="18">
      <c r="B30" s="11" t="s">
        <v>23</v>
      </c>
      <c r="C30" s="11"/>
      <c r="M30" s="6"/>
    </row>
    <row r="31" spans="1:13" ht="16">
      <c r="B31" s="12" t="s">
        <v>87</v>
      </c>
      <c r="C31" s="12"/>
      <c r="M31" s="6"/>
    </row>
    <row r="32" spans="1:13" ht="14">
      <c r="B32" s="13"/>
      <c r="C32" s="14" t="s">
        <v>24</v>
      </c>
      <c r="M32" s="6"/>
    </row>
    <row r="33" spans="2:13" ht="14">
      <c r="B33" s="15" t="s">
        <v>25</v>
      </c>
      <c r="C33" s="15" t="s">
        <v>26</v>
      </c>
      <c r="D33" s="15" t="s">
        <v>303</v>
      </c>
      <c r="E33" s="16" t="s">
        <v>88</v>
      </c>
      <c r="F33" s="15" t="s">
        <v>89</v>
      </c>
      <c r="M33" s="6"/>
    </row>
    <row r="34" spans="2:13">
      <c r="B34" s="5" t="s">
        <v>63</v>
      </c>
      <c r="C34" s="5" t="s">
        <v>24</v>
      </c>
      <c r="D34" s="18" t="s">
        <v>90</v>
      </c>
      <c r="E34" s="19">
        <v>300</v>
      </c>
      <c r="F34" s="17">
        <v>191.039997339249</v>
      </c>
      <c r="M34" s="6"/>
    </row>
    <row r="35" spans="2:13">
      <c r="B35" s="5" t="s">
        <v>51</v>
      </c>
      <c r="C35" s="5" t="s">
        <v>24</v>
      </c>
      <c r="D35" s="18" t="s">
        <v>91</v>
      </c>
      <c r="E35" s="19">
        <v>250</v>
      </c>
      <c r="F35" s="17">
        <v>167.18749701976799</v>
      </c>
      <c r="G35" s="5"/>
      <c r="M35" s="6"/>
    </row>
    <row r="36" spans="2:13">
      <c r="B36" s="5" t="s">
        <v>39</v>
      </c>
      <c r="C36" s="5" t="s">
        <v>24</v>
      </c>
      <c r="D36" s="18" t="s">
        <v>92</v>
      </c>
      <c r="E36" s="19">
        <v>165</v>
      </c>
      <c r="F36" s="17">
        <v>135.36599993705701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4:J24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1:J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4.83203125" style="5" customWidth="1"/>
    <col min="7" max="9" width="5.5" style="18" customWidth="1"/>
    <col min="10" max="10" width="4.5" style="18" customWidth="1"/>
    <col min="11" max="11" width="10.5" style="6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51" t="s">
        <v>295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60" t="s">
        <v>305</v>
      </c>
      <c r="B3" s="47" t="s">
        <v>0</v>
      </c>
      <c r="C3" s="62" t="s">
        <v>306</v>
      </c>
      <c r="D3" s="62" t="s">
        <v>6</v>
      </c>
      <c r="E3" s="49" t="s">
        <v>307</v>
      </c>
      <c r="F3" s="59" t="s">
        <v>5</v>
      </c>
      <c r="G3" s="59" t="s">
        <v>8</v>
      </c>
      <c r="H3" s="59"/>
      <c r="I3" s="59"/>
      <c r="J3" s="59"/>
      <c r="K3" s="49" t="s">
        <v>93</v>
      </c>
      <c r="L3" s="49" t="s">
        <v>3</v>
      </c>
      <c r="M3" s="64" t="s">
        <v>2</v>
      </c>
    </row>
    <row r="4" spans="1:13" s="1" customFormat="1" ht="21" customHeight="1" thickBot="1">
      <c r="A4" s="61"/>
      <c r="B4" s="48"/>
      <c r="C4" s="63"/>
      <c r="D4" s="63"/>
      <c r="E4" s="50"/>
      <c r="F4" s="63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65"/>
    </row>
    <row r="5" spans="1:13" ht="16">
      <c r="A5" s="45" t="s">
        <v>38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1" t="s">
        <v>28</v>
      </c>
      <c r="B6" s="7" t="s">
        <v>95</v>
      </c>
      <c r="C6" s="7" t="s">
        <v>96</v>
      </c>
      <c r="D6" s="7" t="s">
        <v>97</v>
      </c>
      <c r="E6" s="8" t="s">
        <v>313</v>
      </c>
      <c r="F6" s="7" t="s">
        <v>42</v>
      </c>
      <c r="G6" s="20" t="s">
        <v>15</v>
      </c>
      <c r="H6" s="20" t="s">
        <v>98</v>
      </c>
      <c r="I6" s="20" t="s">
        <v>99</v>
      </c>
      <c r="J6" s="21"/>
      <c r="K6" s="9" t="str">
        <f>"107,5"</f>
        <v>107,5</v>
      </c>
      <c r="L6" s="9" t="str">
        <f>"108,8438"</f>
        <v>108,8438</v>
      </c>
      <c r="M6" s="7" t="s">
        <v>100</v>
      </c>
    </row>
    <row r="8" spans="1:13" ht="16">
      <c r="A8" s="66" t="s">
        <v>57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1" t="s">
        <v>28</v>
      </c>
      <c r="B9" s="7" t="s">
        <v>101</v>
      </c>
      <c r="C9" s="7" t="s">
        <v>102</v>
      </c>
      <c r="D9" s="7" t="s">
        <v>103</v>
      </c>
      <c r="E9" s="8" t="s">
        <v>308</v>
      </c>
      <c r="F9" s="7" t="s">
        <v>42</v>
      </c>
      <c r="G9" s="20" t="s">
        <v>104</v>
      </c>
      <c r="H9" s="20" t="s">
        <v>99</v>
      </c>
      <c r="I9" s="22" t="s">
        <v>16</v>
      </c>
      <c r="J9" s="21"/>
      <c r="K9" s="9" t="str">
        <f>"107,5"</f>
        <v>107,5</v>
      </c>
      <c r="L9" s="9" t="str">
        <f>"69,3052"</f>
        <v>69,3052</v>
      </c>
      <c r="M9" s="7" t="s">
        <v>105</v>
      </c>
    </row>
    <row r="11" spans="1:13" ht="16">
      <c r="A11" s="66" t="s">
        <v>70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1" t="s">
        <v>28</v>
      </c>
      <c r="B12" s="7" t="s">
        <v>106</v>
      </c>
      <c r="C12" s="7" t="s">
        <v>107</v>
      </c>
      <c r="D12" s="7" t="s">
        <v>108</v>
      </c>
      <c r="E12" s="8" t="s">
        <v>314</v>
      </c>
      <c r="F12" s="7" t="s">
        <v>33</v>
      </c>
      <c r="G12" s="20" t="s">
        <v>16</v>
      </c>
      <c r="H12" s="22" t="s">
        <v>109</v>
      </c>
      <c r="I12" s="22" t="s">
        <v>109</v>
      </c>
      <c r="J12" s="21"/>
      <c r="K12" s="9" t="str">
        <f>"110,0"</f>
        <v>110,0</v>
      </c>
      <c r="L12" s="9" t="str">
        <f>"104,9890"</f>
        <v>104,9890</v>
      </c>
      <c r="M12" s="7"/>
    </row>
    <row r="14" spans="1:13" ht="16">
      <c r="A14" s="66" t="s">
        <v>110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3">
      <c r="A15" s="21" t="s">
        <v>28</v>
      </c>
      <c r="B15" s="7" t="s">
        <v>111</v>
      </c>
      <c r="C15" s="7" t="s">
        <v>112</v>
      </c>
      <c r="D15" s="7" t="s">
        <v>113</v>
      </c>
      <c r="E15" s="8" t="s">
        <v>313</v>
      </c>
      <c r="F15" s="7" t="s">
        <v>33</v>
      </c>
      <c r="G15" s="20" t="s">
        <v>114</v>
      </c>
      <c r="H15" s="22" t="s">
        <v>115</v>
      </c>
      <c r="I15" s="20" t="s">
        <v>115</v>
      </c>
      <c r="J15" s="21"/>
      <c r="K15" s="9" t="str">
        <f>"160,0"</f>
        <v>160,0</v>
      </c>
      <c r="L15" s="9" t="str">
        <f>"106,0918"</f>
        <v>106,0918</v>
      </c>
      <c r="M15" s="7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7.16406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7.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51" t="s">
        <v>296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60" t="s">
        <v>305</v>
      </c>
      <c r="B3" s="47" t="s">
        <v>0</v>
      </c>
      <c r="C3" s="62" t="s">
        <v>306</v>
      </c>
      <c r="D3" s="62" t="s">
        <v>6</v>
      </c>
      <c r="E3" s="49" t="s">
        <v>307</v>
      </c>
      <c r="F3" s="59" t="s">
        <v>5</v>
      </c>
      <c r="G3" s="59" t="s">
        <v>8</v>
      </c>
      <c r="H3" s="59"/>
      <c r="I3" s="59"/>
      <c r="J3" s="59"/>
      <c r="K3" s="49" t="s">
        <v>93</v>
      </c>
      <c r="L3" s="49" t="s">
        <v>3</v>
      </c>
      <c r="M3" s="64" t="s">
        <v>2</v>
      </c>
    </row>
    <row r="4" spans="1:13" s="1" customFormat="1" ht="21" customHeight="1" thickBot="1">
      <c r="A4" s="61"/>
      <c r="B4" s="48"/>
      <c r="C4" s="63"/>
      <c r="D4" s="63"/>
      <c r="E4" s="50"/>
      <c r="F4" s="63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65"/>
    </row>
    <row r="5" spans="1:13" ht="16">
      <c r="A5" s="45" t="s">
        <v>38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1" t="s">
        <v>28</v>
      </c>
      <c r="B6" s="7" t="s">
        <v>269</v>
      </c>
      <c r="C6" s="7" t="s">
        <v>270</v>
      </c>
      <c r="D6" s="7" t="s">
        <v>271</v>
      </c>
      <c r="E6" s="8" t="s">
        <v>308</v>
      </c>
      <c r="F6" s="7" t="s">
        <v>42</v>
      </c>
      <c r="G6" s="20" t="s">
        <v>272</v>
      </c>
      <c r="H6" s="20" t="s">
        <v>17</v>
      </c>
      <c r="I6" s="22" t="s">
        <v>18</v>
      </c>
      <c r="J6" s="21"/>
      <c r="K6" s="9" t="str">
        <f>"45,0"</f>
        <v>45,0</v>
      </c>
      <c r="L6" s="9" t="str">
        <f>"35,9752"</f>
        <v>35,9752</v>
      </c>
      <c r="M6" s="7" t="s">
        <v>273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workbookViewId="0">
      <selection activeCell="E25" sqref="E25"/>
    </sheetView>
  </sheetViews>
  <sheetFormatPr baseColWidth="10" defaultColWidth="9.1640625" defaultRowHeight="13"/>
  <cols>
    <col min="1" max="1" width="7.1640625" style="5" bestFit="1" customWidth="1"/>
    <col min="2" max="2" width="19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8.1640625" style="5" bestFit="1" customWidth="1"/>
    <col min="7" max="9" width="5.5" style="18" customWidth="1"/>
    <col min="10" max="10" width="4.5" style="18" customWidth="1"/>
    <col min="11" max="11" width="11.5" style="6" customWidth="1"/>
    <col min="12" max="12" width="8.5" style="6" bestFit="1" customWidth="1"/>
    <col min="13" max="13" width="18.33203125" style="5" customWidth="1"/>
    <col min="14" max="16384" width="9.1640625" style="3"/>
  </cols>
  <sheetData>
    <row r="1" spans="1:13" s="2" customFormat="1" ht="29" customHeight="1">
      <c r="A1" s="51" t="s">
        <v>297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60" t="s">
        <v>305</v>
      </c>
      <c r="B3" s="47" t="s">
        <v>0</v>
      </c>
      <c r="C3" s="62" t="s">
        <v>306</v>
      </c>
      <c r="D3" s="62" t="s">
        <v>6</v>
      </c>
      <c r="E3" s="49" t="s">
        <v>307</v>
      </c>
      <c r="F3" s="59" t="s">
        <v>5</v>
      </c>
      <c r="G3" s="59" t="s">
        <v>9</v>
      </c>
      <c r="H3" s="59"/>
      <c r="I3" s="59"/>
      <c r="J3" s="59"/>
      <c r="K3" s="49" t="s">
        <v>93</v>
      </c>
      <c r="L3" s="49" t="s">
        <v>3</v>
      </c>
      <c r="M3" s="64" t="s">
        <v>2</v>
      </c>
    </row>
    <row r="4" spans="1:13" s="1" customFormat="1" ht="21" customHeight="1" thickBot="1">
      <c r="A4" s="61"/>
      <c r="B4" s="48"/>
      <c r="C4" s="63"/>
      <c r="D4" s="63"/>
      <c r="E4" s="50"/>
      <c r="F4" s="63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65"/>
    </row>
    <row r="5" spans="1:13" ht="16">
      <c r="A5" s="45" t="s">
        <v>117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9" t="s">
        <v>28</v>
      </c>
      <c r="B6" s="23" t="s">
        <v>234</v>
      </c>
      <c r="C6" s="23" t="s">
        <v>235</v>
      </c>
      <c r="D6" s="23" t="s">
        <v>236</v>
      </c>
      <c r="E6" s="24" t="s">
        <v>311</v>
      </c>
      <c r="F6" s="23" t="s">
        <v>66</v>
      </c>
      <c r="G6" s="30" t="s">
        <v>154</v>
      </c>
      <c r="H6" s="30" t="s">
        <v>15</v>
      </c>
      <c r="I6" s="30" t="s">
        <v>104</v>
      </c>
      <c r="J6" s="29"/>
      <c r="K6" s="25" t="str">
        <f>"105,0"</f>
        <v>105,0</v>
      </c>
      <c r="L6" s="25" t="str">
        <f>"140,2170"</f>
        <v>140,2170</v>
      </c>
      <c r="M6" s="23" t="s">
        <v>237</v>
      </c>
    </row>
    <row r="7" spans="1:13">
      <c r="A7" s="31" t="s">
        <v>230</v>
      </c>
      <c r="B7" s="26" t="s">
        <v>238</v>
      </c>
      <c r="C7" s="26" t="s">
        <v>239</v>
      </c>
      <c r="D7" s="26" t="s">
        <v>240</v>
      </c>
      <c r="E7" s="27" t="s">
        <v>311</v>
      </c>
      <c r="F7" s="26" t="s">
        <v>47</v>
      </c>
      <c r="G7" s="32" t="s">
        <v>241</v>
      </c>
      <c r="H7" s="32" t="s">
        <v>153</v>
      </c>
      <c r="I7" s="32" t="s">
        <v>14</v>
      </c>
      <c r="J7" s="31"/>
      <c r="K7" s="28" t="str">
        <f>"90,0"</f>
        <v>90,0</v>
      </c>
      <c r="L7" s="28" t="str">
        <f>"113,2380"</f>
        <v>113,2380</v>
      </c>
      <c r="M7" s="26" t="s">
        <v>62</v>
      </c>
    </row>
    <row r="9" spans="1:13" ht="16">
      <c r="A9" s="66" t="s">
        <v>38</v>
      </c>
      <c r="B9" s="66"/>
      <c r="C9" s="67"/>
      <c r="D9" s="67"/>
      <c r="E9" s="67"/>
      <c r="F9" s="67"/>
      <c r="G9" s="67"/>
      <c r="H9" s="67"/>
      <c r="I9" s="67"/>
      <c r="J9" s="67"/>
    </row>
    <row r="10" spans="1:13">
      <c r="A10" s="21" t="s">
        <v>28</v>
      </c>
      <c r="B10" s="7" t="s">
        <v>242</v>
      </c>
      <c r="C10" s="7" t="s">
        <v>243</v>
      </c>
      <c r="D10" s="7" t="s">
        <v>244</v>
      </c>
      <c r="E10" s="8" t="s">
        <v>312</v>
      </c>
      <c r="F10" s="7" t="s">
        <v>42</v>
      </c>
      <c r="G10" s="22" t="s">
        <v>34</v>
      </c>
      <c r="H10" s="20" t="s">
        <v>35</v>
      </c>
      <c r="I10" s="22" t="s">
        <v>115</v>
      </c>
      <c r="J10" s="21"/>
      <c r="K10" s="9" t="str">
        <f>"150,0"</f>
        <v>150,0</v>
      </c>
      <c r="L10" s="9" t="str">
        <f>"116,4900"</f>
        <v>116,4900</v>
      </c>
      <c r="M10" s="7" t="s">
        <v>245</v>
      </c>
    </row>
    <row r="12" spans="1:13" ht="16">
      <c r="A12" s="66" t="s">
        <v>10</v>
      </c>
      <c r="B12" s="66"/>
      <c r="C12" s="67"/>
      <c r="D12" s="67"/>
      <c r="E12" s="67"/>
      <c r="F12" s="67"/>
      <c r="G12" s="67"/>
      <c r="H12" s="67"/>
      <c r="I12" s="67"/>
      <c r="J12" s="67"/>
    </row>
    <row r="13" spans="1:13">
      <c r="A13" s="29" t="s">
        <v>28</v>
      </c>
      <c r="B13" s="23" t="s">
        <v>246</v>
      </c>
      <c r="C13" s="23" t="s">
        <v>247</v>
      </c>
      <c r="D13" s="23" t="s">
        <v>248</v>
      </c>
      <c r="E13" s="24" t="s">
        <v>311</v>
      </c>
      <c r="F13" s="23" t="s">
        <v>66</v>
      </c>
      <c r="G13" s="30" t="s">
        <v>153</v>
      </c>
      <c r="H13" s="30" t="s">
        <v>154</v>
      </c>
      <c r="I13" s="30" t="s">
        <v>14</v>
      </c>
      <c r="J13" s="29"/>
      <c r="K13" s="25" t="str">
        <f>"90,0"</f>
        <v>90,0</v>
      </c>
      <c r="L13" s="25" t="str">
        <f>"68,9850"</f>
        <v>68,9850</v>
      </c>
      <c r="M13" s="23" t="s">
        <v>237</v>
      </c>
    </row>
    <row r="14" spans="1:13">
      <c r="A14" s="31" t="s">
        <v>28</v>
      </c>
      <c r="B14" s="26" t="s">
        <v>249</v>
      </c>
      <c r="C14" s="26" t="s">
        <v>250</v>
      </c>
      <c r="D14" s="26" t="s">
        <v>251</v>
      </c>
      <c r="E14" s="27" t="s">
        <v>308</v>
      </c>
      <c r="F14" s="26" t="s">
        <v>252</v>
      </c>
      <c r="G14" s="32" t="s">
        <v>49</v>
      </c>
      <c r="H14" s="32" t="s">
        <v>74</v>
      </c>
      <c r="I14" s="33" t="s">
        <v>75</v>
      </c>
      <c r="J14" s="31"/>
      <c r="K14" s="28" t="str">
        <f>"195,0"</f>
        <v>195,0</v>
      </c>
      <c r="L14" s="28" t="str">
        <f>"141,6480"</f>
        <v>141,6480</v>
      </c>
      <c r="M14" s="26"/>
    </row>
    <row r="16" spans="1:13" ht="16">
      <c r="A16" s="66" t="s">
        <v>50</v>
      </c>
      <c r="B16" s="66"/>
      <c r="C16" s="67"/>
      <c r="D16" s="67"/>
      <c r="E16" s="67"/>
      <c r="F16" s="67"/>
      <c r="G16" s="67"/>
      <c r="H16" s="67"/>
      <c r="I16" s="67"/>
      <c r="J16" s="67"/>
    </row>
    <row r="17" spans="1:13">
      <c r="A17" s="29" t="s">
        <v>28</v>
      </c>
      <c r="B17" s="23" t="s">
        <v>253</v>
      </c>
      <c r="C17" s="23" t="s">
        <v>254</v>
      </c>
      <c r="D17" s="23" t="s">
        <v>53</v>
      </c>
      <c r="E17" s="24" t="s">
        <v>311</v>
      </c>
      <c r="F17" s="23" t="s">
        <v>66</v>
      </c>
      <c r="G17" s="37" t="s">
        <v>153</v>
      </c>
      <c r="H17" s="30" t="s">
        <v>153</v>
      </c>
      <c r="I17" s="30" t="s">
        <v>154</v>
      </c>
      <c r="J17" s="29"/>
      <c r="K17" s="25" t="str">
        <f>"85,0"</f>
        <v>85,0</v>
      </c>
      <c r="L17" s="25" t="str">
        <f>"58,9305"</f>
        <v>58,9305</v>
      </c>
      <c r="M17" s="23" t="s">
        <v>237</v>
      </c>
    </row>
    <row r="18" spans="1:13">
      <c r="A18" s="31" t="s">
        <v>28</v>
      </c>
      <c r="B18" s="26" t="s">
        <v>191</v>
      </c>
      <c r="C18" s="26" t="s">
        <v>192</v>
      </c>
      <c r="D18" s="26" t="s">
        <v>193</v>
      </c>
      <c r="E18" s="27" t="s">
        <v>308</v>
      </c>
      <c r="F18" s="26" t="s">
        <v>66</v>
      </c>
      <c r="G18" s="32" t="s">
        <v>205</v>
      </c>
      <c r="H18" s="32" t="s">
        <v>255</v>
      </c>
      <c r="I18" s="32" t="s">
        <v>256</v>
      </c>
      <c r="J18" s="31"/>
      <c r="K18" s="28" t="str">
        <f>"235,0"</f>
        <v>235,0</v>
      </c>
      <c r="L18" s="28" t="str">
        <f>"158,7190"</f>
        <v>158,7190</v>
      </c>
      <c r="M18" s="26" t="s">
        <v>196</v>
      </c>
    </row>
    <row r="20" spans="1:13" ht="16">
      <c r="A20" s="66" t="s">
        <v>70</v>
      </c>
      <c r="B20" s="66"/>
      <c r="C20" s="67"/>
      <c r="D20" s="67"/>
      <c r="E20" s="67"/>
      <c r="F20" s="67"/>
      <c r="G20" s="67"/>
      <c r="H20" s="67"/>
      <c r="I20" s="67"/>
      <c r="J20" s="67"/>
    </row>
    <row r="21" spans="1:13">
      <c r="A21" s="29" t="s">
        <v>28</v>
      </c>
      <c r="B21" s="23" t="s">
        <v>211</v>
      </c>
      <c r="C21" s="23" t="s">
        <v>212</v>
      </c>
      <c r="D21" s="23" t="s">
        <v>213</v>
      </c>
      <c r="E21" s="24" t="s">
        <v>308</v>
      </c>
      <c r="F21" s="23" t="s">
        <v>66</v>
      </c>
      <c r="G21" s="30" t="s">
        <v>216</v>
      </c>
      <c r="H21" s="30" t="s">
        <v>217</v>
      </c>
      <c r="I21" s="30" t="s">
        <v>218</v>
      </c>
      <c r="J21" s="29"/>
      <c r="K21" s="25" t="str">
        <f>"312,5"</f>
        <v>312,5</v>
      </c>
      <c r="L21" s="25" t="str">
        <f>"192,2500"</f>
        <v>192,2500</v>
      </c>
      <c r="M21" s="23"/>
    </row>
    <row r="22" spans="1:13">
      <c r="A22" s="38" t="s">
        <v>230</v>
      </c>
      <c r="B22" s="34" t="s">
        <v>207</v>
      </c>
      <c r="C22" s="34" t="s">
        <v>257</v>
      </c>
      <c r="D22" s="34" t="s">
        <v>209</v>
      </c>
      <c r="E22" s="35" t="s">
        <v>308</v>
      </c>
      <c r="F22" s="34" t="s">
        <v>66</v>
      </c>
      <c r="G22" s="39" t="s">
        <v>49</v>
      </c>
      <c r="H22" s="39" t="s">
        <v>75</v>
      </c>
      <c r="I22" s="39" t="s">
        <v>210</v>
      </c>
      <c r="J22" s="38"/>
      <c r="K22" s="36" t="str">
        <f>"222,5"</f>
        <v>222,5</v>
      </c>
      <c r="L22" s="36" t="str">
        <f>"138,0835"</f>
        <v>138,0835</v>
      </c>
      <c r="M22" s="34" t="s">
        <v>196</v>
      </c>
    </row>
    <row r="23" spans="1:13">
      <c r="A23" s="38" t="s">
        <v>231</v>
      </c>
      <c r="B23" s="34" t="s">
        <v>258</v>
      </c>
      <c r="C23" s="34" t="s">
        <v>259</v>
      </c>
      <c r="D23" s="34" t="s">
        <v>260</v>
      </c>
      <c r="E23" s="35" t="s">
        <v>308</v>
      </c>
      <c r="F23" s="34" t="s">
        <v>33</v>
      </c>
      <c r="G23" s="39" t="s">
        <v>206</v>
      </c>
      <c r="H23" s="40" t="s">
        <v>261</v>
      </c>
      <c r="I23" s="40" t="s">
        <v>261</v>
      </c>
      <c r="J23" s="38"/>
      <c r="K23" s="36" t="str">
        <f>"220,0"</f>
        <v>220,0</v>
      </c>
      <c r="L23" s="36" t="str">
        <f>"137,1700"</f>
        <v>137,1700</v>
      </c>
      <c r="M23" s="34" t="s">
        <v>37</v>
      </c>
    </row>
    <row r="24" spans="1:13">
      <c r="A24" s="31" t="s">
        <v>28</v>
      </c>
      <c r="B24" s="26" t="s">
        <v>262</v>
      </c>
      <c r="C24" s="26" t="s">
        <v>263</v>
      </c>
      <c r="D24" s="26" t="s">
        <v>264</v>
      </c>
      <c r="E24" s="27" t="s">
        <v>309</v>
      </c>
      <c r="F24" s="26" t="s">
        <v>33</v>
      </c>
      <c r="G24" s="32" t="s">
        <v>205</v>
      </c>
      <c r="H24" s="32" t="s">
        <v>206</v>
      </c>
      <c r="I24" s="32" t="s">
        <v>256</v>
      </c>
      <c r="J24" s="31"/>
      <c r="K24" s="28" t="str">
        <f>"235,0"</f>
        <v>235,0</v>
      </c>
      <c r="L24" s="28" t="str">
        <f>"155,4433"</f>
        <v>155,4433</v>
      </c>
      <c r="M24" s="26" t="s">
        <v>37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6:J16"/>
    <mergeCell ref="A20:J20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5" bestFit="1" customWidth="1"/>
    <col min="2" max="2" width="19.83203125" style="5" bestFit="1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27.8320312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7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51" t="s">
        <v>298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60" t="s">
        <v>305</v>
      </c>
      <c r="B3" s="47" t="s">
        <v>0</v>
      </c>
      <c r="C3" s="62" t="s">
        <v>306</v>
      </c>
      <c r="D3" s="62" t="s">
        <v>6</v>
      </c>
      <c r="E3" s="49" t="s">
        <v>307</v>
      </c>
      <c r="F3" s="59" t="s">
        <v>5</v>
      </c>
      <c r="G3" s="59" t="s">
        <v>304</v>
      </c>
      <c r="H3" s="59"/>
      <c r="I3" s="59"/>
      <c r="J3" s="59"/>
      <c r="K3" s="49" t="s">
        <v>93</v>
      </c>
      <c r="L3" s="49" t="s">
        <v>3</v>
      </c>
      <c r="M3" s="64" t="s">
        <v>2</v>
      </c>
    </row>
    <row r="4" spans="1:13" s="1" customFormat="1" ht="21" customHeight="1" thickBot="1">
      <c r="A4" s="61"/>
      <c r="B4" s="48"/>
      <c r="C4" s="63"/>
      <c r="D4" s="63"/>
      <c r="E4" s="50"/>
      <c r="F4" s="63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65"/>
    </row>
    <row r="5" spans="1:13" ht="16">
      <c r="A5" s="45" t="s">
        <v>29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1" t="s">
        <v>28</v>
      </c>
      <c r="B6" s="7" t="s">
        <v>133</v>
      </c>
      <c r="C6" s="7" t="s">
        <v>134</v>
      </c>
      <c r="D6" s="7" t="s">
        <v>279</v>
      </c>
      <c r="E6" s="8" t="s">
        <v>309</v>
      </c>
      <c r="F6" s="7" t="s">
        <v>301</v>
      </c>
      <c r="G6" s="22" t="s">
        <v>275</v>
      </c>
      <c r="H6" s="20" t="s">
        <v>280</v>
      </c>
      <c r="I6" s="20" t="s">
        <v>281</v>
      </c>
      <c r="J6" s="21"/>
      <c r="K6" s="9" t="str">
        <f>"25,0"</f>
        <v>25,0</v>
      </c>
      <c r="L6" s="9" t="str">
        <f>"25,8884"</f>
        <v>25,8884</v>
      </c>
      <c r="M6" s="7" t="s">
        <v>82</v>
      </c>
    </row>
    <row r="8" spans="1:13" ht="16">
      <c r="A8" s="66" t="s">
        <v>10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9" t="s">
        <v>28</v>
      </c>
      <c r="B9" s="23" t="s">
        <v>179</v>
      </c>
      <c r="C9" s="23" t="s">
        <v>282</v>
      </c>
      <c r="D9" s="23" t="s">
        <v>181</v>
      </c>
      <c r="E9" s="24" t="s">
        <v>308</v>
      </c>
      <c r="F9" s="23" t="s">
        <v>301</v>
      </c>
      <c r="G9" s="30" t="s">
        <v>18</v>
      </c>
      <c r="H9" s="30" t="s">
        <v>125</v>
      </c>
      <c r="I9" s="30" t="s">
        <v>126</v>
      </c>
      <c r="J9" s="29"/>
      <c r="K9" s="25" t="str">
        <f>"60,0"</f>
        <v>60,0</v>
      </c>
      <c r="L9" s="25" t="str">
        <f>"41,4360"</f>
        <v>41,4360</v>
      </c>
      <c r="M9" s="23"/>
    </row>
    <row r="10" spans="1:13">
      <c r="A10" s="38" t="s">
        <v>230</v>
      </c>
      <c r="B10" s="34" t="s">
        <v>249</v>
      </c>
      <c r="C10" s="34" t="s">
        <v>250</v>
      </c>
      <c r="D10" s="34" t="s">
        <v>251</v>
      </c>
      <c r="E10" s="35" t="s">
        <v>308</v>
      </c>
      <c r="F10" s="34" t="s">
        <v>252</v>
      </c>
      <c r="G10" s="39" t="s">
        <v>131</v>
      </c>
      <c r="H10" s="39" t="s">
        <v>125</v>
      </c>
      <c r="I10" s="40" t="s">
        <v>126</v>
      </c>
      <c r="J10" s="38"/>
      <c r="K10" s="36" t="str">
        <f>"55,0"</f>
        <v>55,0</v>
      </c>
      <c r="L10" s="36" t="str">
        <f>"38,6458"</f>
        <v>38,6458</v>
      </c>
      <c r="M10" s="34"/>
    </row>
    <row r="11" spans="1:13">
      <c r="A11" s="31" t="s">
        <v>231</v>
      </c>
      <c r="B11" s="26" t="s">
        <v>172</v>
      </c>
      <c r="C11" s="26" t="s">
        <v>173</v>
      </c>
      <c r="D11" s="26" t="s">
        <v>174</v>
      </c>
      <c r="E11" s="27" t="s">
        <v>308</v>
      </c>
      <c r="F11" s="26" t="s">
        <v>301</v>
      </c>
      <c r="G11" s="32" t="s">
        <v>272</v>
      </c>
      <c r="H11" s="32" t="s">
        <v>283</v>
      </c>
      <c r="I11" s="33" t="s">
        <v>17</v>
      </c>
      <c r="J11" s="31"/>
      <c r="K11" s="28" t="str">
        <f>"42,5"</f>
        <v>42,5</v>
      </c>
      <c r="L11" s="28" t="str">
        <f>"30,4151"</f>
        <v>30,4151</v>
      </c>
      <c r="M11" s="26" t="s">
        <v>82</v>
      </c>
    </row>
    <row r="13" spans="1:13" ht="16">
      <c r="A13" s="66" t="s">
        <v>57</v>
      </c>
      <c r="B13" s="66"/>
      <c r="C13" s="67"/>
      <c r="D13" s="67"/>
      <c r="E13" s="67"/>
      <c r="F13" s="67"/>
      <c r="G13" s="67"/>
      <c r="H13" s="67"/>
      <c r="I13" s="67"/>
      <c r="J13" s="67"/>
    </row>
    <row r="14" spans="1:13">
      <c r="A14" s="21" t="s">
        <v>28</v>
      </c>
      <c r="B14" s="7" t="s">
        <v>63</v>
      </c>
      <c r="C14" s="7" t="s">
        <v>64</v>
      </c>
      <c r="D14" s="7" t="s">
        <v>65</v>
      </c>
      <c r="E14" s="8" t="s">
        <v>308</v>
      </c>
      <c r="F14" s="7" t="s">
        <v>66</v>
      </c>
      <c r="G14" s="20" t="s">
        <v>274</v>
      </c>
      <c r="H14" s="20" t="s">
        <v>284</v>
      </c>
      <c r="I14" s="22" t="s">
        <v>276</v>
      </c>
      <c r="J14" s="21"/>
      <c r="K14" s="9" t="str">
        <f>"72,5"</f>
        <v>72,5</v>
      </c>
      <c r="L14" s="9" t="str">
        <f>"46,1680"</f>
        <v>46,1680</v>
      </c>
      <c r="M14" s="7"/>
    </row>
    <row r="16" spans="1:13" ht="16">
      <c r="A16" s="66" t="s">
        <v>70</v>
      </c>
      <c r="B16" s="66"/>
      <c r="C16" s="67"/>
      <c r="D16" s="67"/>
      <c r="E16" s="67"/>
      <c r="F16" s="67"/>
      <c r="G16" s="67"/>
      <c r="H16" s="67"/>
      <c r="I16" s="67"/>
      <c r="J16" s="67"/>
    </row>
    <row r="17" spans="1:13">
      <c r="A17" s="21" t="s">
        <v>28</v>
      </c>
      <c r="B17" s="7" t="s">
        <v>207</v>
      </c>
      <c r="C17" s="7" t="s">
        <v>257</v>
      </c>
      <c r="D17" s="7" t="s">
        <v>209</v>
      </c>
      <c r="E17" s="8" t="s">
        <v>308</v>
      </c>
      <c r="F17" s="7" t="s">
        <v>66</v>
      </c>
      <c r="G17" s="20" t="s">
        <v>127</v>
      </c>
      <c r="H17" s="20" t="s">
        <v>241</v>
      </c>
      <c r="I17" s="22" t="s">
        <v>277</v>
      </c>
      <c r="J17" s="21"/>
      <c r="K17" s="9" t="str">
        <f>"70,0"</f>
        <v>70,0</v>
      </c>
      <c r="L17" s="9" t="str">
        <f>"41,5415"</f>
        <v>41,5415</v>
      </c>
      <c r="M17" s="7" t="s">
        <v>196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A16:J16"/>
    <mergeCell ref="B3:B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5"/>
  <sheetViews>
    <sheetView tabSelected="1"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17.33203125" style="5" bestFit="1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28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7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51" t="s">
        <v>299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60" t="s">
        <v>305</v>
      </c>
      <c r="B3" s="47" t="s">
        <v>0</v>
      </c>
      <c r="C3" s="62" t="s">
        <v>306</v>
      </c>
      <c r="D3" s="62" t="s">
        <v>6</v>
      </c>
      <c r="E3" s="49" t="s">
        <v>307</v>
      </c>
      <c r="F3" s="59" t="s">
        <v>5</v>
      </c>
      <c r="G3" s="59" t="s">
        <v>304</v>
      </c>
      <c r="H3" s="59"/>
      <c r="I3" s="59"/>
      <c r="J3" s="59"/>
      <c r="K3" s="49" t="s">
        <v>93</v>
      </c>
      <c r="L3" s="49" t="s">
        <v>3</v>
      </c>
      <c r="M3" s="64" t="s">
        <v>2</v>
      </c>
    </row>
    <row r="4" spans="1:13" s="1" customFormat="1" ht="21" customHeight="1" thickBot="1">
      <c r="A4" s="61"/>
      <c r="B4" s="48"/>
      <c r="C4" s="63"/>
      <c r="D4" s="63"/>
      <c r="E4" s="50"/>
      <c r="F4" s="63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65"/>
    </row>
    <row r="5" spans="1:13" ht="16">
      <c r="A5" s="45" t="s">
        <v>117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21" t="s">
        <v>28</v>
      </c>
      <c r="B6" s="7" t="s">
        <v>118</v>
      </c>
      <c r="C6" s="7" t="s">
        <v>119</v>
      </c>
      <c r="D6" s="7" t="s">
        <v>285</v>
      </c>
      <c r="E6" s="8" t="s">
        <v>308</v>
      </c>
      <c r="F6" s="7" t="s">
        <v>42</v>
      </c>
      <c r="G6" s="20" t="s">
        <v>286</v>
      </c>
      <c r="H6" s="22" t="s">
        <v>287</v>
      </c>
      <c r="I6" s="20" t="s">
        <v>287</v>
      </c>
      <c r="J6" s="21"/>
      <c r="K6" s="9" t="str">
        <f>"30,0"</f>
        <v>30,0</v>
      </c>
      <c r="L6" s="9" t="str">
        <f>"33,6090"</f>
        <v>33,6090</v>
      </c>
      <c r="M6" s="7" t="s">
        <v>105</v>
      </c>
    </row>
    <row r="8" spans="1:13" ht="16">
      <c r="A8" s="66" t="s">
        <v>29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1" t="s">
        <v>28</v>
      </c>
      <c r="B9" s="7" t="s">
        <v>137</v>
      </c>
      <c r="C9" s="7" t="s">
        <v>138</v>
      </c>
      <c r="D9" s="7" t="s">
        <v>139</v>
      </c>
      <c r="E9" s="8" t="s">
        <v>309</v>
      </c>
      <c r="F9" s="7" t="s">
        <v>42</v>
      </c>
      <c r="G9" s="20" t="s">
        <v>288</v>
      </c>
      <c r="H9" s="20" t="s">
        <v>278</v>
      </c>
      <c r="I9" s="22" t="s">
        <v>289</v>
      </c>
      <c r="J9" s="21"/>
      <c r="K9" s="9" t="str">
        <f>"35,0"</f>
        <v>35,0</v>
      </c>
      <c r="L9" s="9" t="str">
        <f>"36,8124"</f>
        <v>36,8124</v>
      </c>
      <c r="M9" s="7" t="s">
        <v>105</v>
      </c>
    </row>
    <row r="11" spans="1:13" ht="16">
      <c r="A11" s="66" t="s">
        <v>10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1" t="s">
        <v>28</v>
      </c>
      <c r="B12" s="7" t="s">
        <v>172</v>
      </c>
      <c r="C12" s="7" t="s">
        <v>173</v>
      </c>
      <c r="D12" s="7" t="s">
        <v>174</v>
      </c>
      <c r="E12" s="8" t="s">
        <v>308</v>
      </c>
      <c r="F12" s="7" t="s">
        <v>301</v>
      </c>
      <c r="G12" s="22" t="s">
        <v>272</v>
      </c>
      <c r="H12" s="20" t="s">
        <v>272</v>
      </c>
      <c r="I12" s="20" t="s">
        <v>283</v>
      </c>
      <c r="J12" s="21"/>
      <c r="K12" s="9" t="str">
        <f>"42,5"</f>
        <v>42,5</v>
      </c>
      <c r="L12" s="9" t="str">
        <f>"30,4151"</f>
        <v>30,4151</v>
      </c>
      <c r="M12" s="7" t="s">
        <v>82</v>
      </c>
    </row>
    <row r="14" spans="1:13" ht="16">
      <c r="A14" s="66" t="s">
        <v>50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3">
      <c r="A15" s="21" t="s">
        <v>28</v>
      </c>
      <c r="B15" s="7" t="s">
        <v>182</v>
      </c>
      <c r="C15" s="7" t="s">
        <v>183</v>
      </c>
      <c r="D15" s="7" t="s">
        <v>184</v>
      </c>
      <c r="E15" s="8" t="s">
        <v>308</v>
      </c>
      <c r="F15" s="7" t="s">
        <v>166</v>
      </c>
      <c r="G15" s="20" t="s">
        <v>126</v>
      </c>
      <c r="H15" s="20" t="s">
        <v>290</v>
      </c>
      <c r="I15" s="22" t="s">
        <v>284</v>
      </c>
      <c r="J15" s="21"/>
      <c r="K15" s="9" t="str">
        <f>"67,5"</f>
        <v>67,5</v>
      </c>
      <c r="L15" s="9" t="str">
        <f>"43,6489"</f>
        <v>43,6489</v>
      </c>
      <c r="M15" s="7" t="s">
        <v>167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WRPF ПЛ без экипировки</vt:lpstr>
      <vt:lpstr>WRPF Двоеборье без экип</vt:lpstr>
      <vt:lpstr>WRPF Жим лежа без экип</vt:lpstr>
      <vt:lpstr>WEPF Жим софт однопетельная</vt:lpstr>
      <vt:lpstr>WRPF Военный жим</vt:lpstr>
      <vt:lpstr>WRPF Жим СФО</vt:lpstr>
      <vt:lpstr>WRPF Тяга без экипировки</vt:lpstr>
      <vt:lpstr>WRPF Подъем на бицепс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2022-09-21T11:46:15Z</dcterms:modified>
</cp:coreProperties>
</file>