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Сентябрь/"/>
    </mc:Choice>
  </mc:AlternateContent>
  <xr:revisionPtr revIDLastSave="0" documentId="13_ncr:1_{2E797485-1EF7-9C4A-AC91-57A65B18D231}" xr6:coauthVersionLast="45" xr6:coauthVersionMax="45" xr10:uidLastSave="{00000000-0000-0000-0000-000000000000}"/>
  <bookViews>
    <workbookView xWindow="480" yWindow="460" windowWidth="28160" windowHeight="15940" firstSheet="6" activeTab="11" xr2:uid="{00000000-000D-0000-FFFF-FFFF00000000}"/>
  </bookViews>
  <sheets>
    <sheet name="WRPF ПЛ без экипировки ДК" sheetId="10" r:id="rId1"/>
    <sheet name="WRPF ПЛ без экипировки" sheetId="9" r:id="rId2"/>
    <sheet name="WRPF Двоеборье без экип ДК" sheetId="30" r:id="rId3"/>
    <sheet name="WRPF Двоеборье без экип" sheetId="29" r:id="rId4"/>
    <sheet name="WRPF Жим лежа без экип ДК" sheetId="16" r:id="rId5"/>
    <sheet name="WRPF Жим лежа без экип" sheetId="15" r:id="rId6"/>
    <sheet name="WEPF Жим однослой" sheetId="18" r:id="rId7"/>
    <sheet name="WRPF Военный жим ДК" sheetId="20" r:id="rId8"/>
    <sheet name="WRPF Тяга без экипировки ДК" sheetId="26" r:id="rId9"/>
    <sheet name="WRPF Тяга без экипировки" sheetId="25" r:id="rId10"/>
    <sheet name="WRPF Подъем на бицепс ДК" sheetId="34" r:id="rId11"/>
    <sheet name="WRPF Подъем на бицепс" sheetId="33" r:id="rId1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5" i="34" l="1"/>
  <c r="K15" i="34"/>
  <c r="L12" i="34"/>
  <c r="K12" i="34"/>
  <c r="L9" i="34"/>
  <c r="K9" i="34"/>
  <c r="L6" i="34"/>
  <c r="K6" i="34"/>
  <c r="L19" i="33"/>
  <c r="K19" i="33"/>
  <c r="L18" i="33"/>
  <c r="K18" i="33"/>
  <c r="L15" i="33"/>
  <c r="K15" i="33"/>
  <c r="L12" i="33"/>
  <c r="K12" i="33"/>
  <c r="L9" i="33"/>
  <c r="K9" i="33"/>
  <c r="L6" i="33"/>
  <c r="K6" i="33"/>
  <c r="P6" i="30"/>
  <c r="O6" i="30"/>
  <c r="P6" i="29"/>
  <c r="O6" i="29"/>
  <c r="L17" i="26"/>
  <c r="K17" i="26"/>
  <c r="L14" i="26"/>
  <c r="K14" i="26"/>
  <c r="L13" i="26"/>
  <c r="K13" i="26"/>
  <c r="L10" i="26"/>
  <c r="K10" i="26"/>
  <c r="L7" i="26"/>
  <c r="K7" i="26"/>
  <c r="L6" i="26"/>
  <c r="K6" i="26"/>
  <c r="L14" i="25"/>
  <c r="K14" i="25"/>
  <c r="L13" i="25"/>
  <c r="K13" i="25"/>
  <c r="L12" i="25"/>
  <c r="K12" i="25"/>
  <c r="L9" i="25"/>
  <c r="K9" i="25"/>
  <c r="L6" i="25"/>
  <c r="K6" i="25"/>
  <c r="L15" i="20"/>
  <c r="K15" i="20"/>
  <c r="L12" i="20"/>
  <c r="K12" i="20"/>
  <c r="L9" i="20"/>
  <c r="K9" i="20"/>
  <c r="L6" i="20"/>
  <c r="K6" i="20"/>
  <c r="L6" i="18"/>
  <c r="K6" i="18"/>
  <c r="L35" i="16"/>
  <c r="K35" i="16"/>
  <c r="L32" i="16"/>
  <c r="K32" i="16"/>
  <c r="L29" i="16"/>
  <c r="K29" i="16"/>
  <c r="L28" i="16"/>
  <c r="K28" i="16"/>
  <c r="L25" i="16"/>
  <c r="K25" i="16"/>
  <c r="L22" i="16"/>
  <c r="K22" i="16"/>
  <c r="L19" i="16"/>
  <c r="K19" i="16"/>
  <c r="L18" i="16"/>
  <c r="K18" i="16"/>
  <c r="L15" i="16"/>
  <c r="K15" i="16"/>
  <c r="L12" i="16"/>
  <c r="K12" i="16"/>
  <c r="L9" i="16"/>
  <c r="K9" i="16"/>
  <c r="L6" i="16"/>
  <c r="K6" i="16"/>
  <c r="L21" i="15"/>
  <c r="K21" i="15"/>
  <c r="L18" i="15"/>
  <c r="K18" i="15"/>
  <c r="L15" i="15"/>
  <c r="K15" i="15"/>
  <c r="L12" i="15"/>
  <c r="K12" i="15"/>
  <c r="L9" i="15"/>
  <c r="K9" i="15"/>
  <c r="L6" i="15"/>
  <c r="K6" i="15"/>
  <c r="T12" i="10"/>
  <c r="S12" i="10"/>
  <c r="T9" i="10"/>
  <c r="S9" i="10"/>
  <c r="T6" i="10"/>
  <c r="S6" i="10"/>
  <c r="T10" i="9"/>
  <c r="S10" i="9"/>
  <c r="T9" i="9"/>
  <c r="S9" i="9"/>
  <c r="T6" i="9"/>
  <c r="S6" i="9"/>
</calcChain>
</file>

<file path=xl/sharedStrings.xml><?xml version="1.0" encoding="utf-8"?>
<sst xmlns="http://schemas.openxmlformats.org/spreadsheetml/2006/main" count="777" uniqueCount="288">
  <si>
    <t>ФИО</t>
  </si>
  <si>
    <t>Сумма</t>
  </si>
  <si>
    <t>Тренер</t>
  </si>
  <si>
    <t>Очки</t>
  </si>
  <si>
    <t>Рек</t>
  </si>
  <si>
    <t>Возрастная группа
Дата рождения/Возраст</t>
  </si>
  <si>
    <t>Город/Область</t>
  </si>
  <si>
    <t>Собственный 
вес</t>
  </si>
  <si>
    <t xml:space="preserve">Абсолютный зачёт </t>
  </si>
  <si>
    <t>Приседание</t>
  </si>
  <si>
    <t>Жим лёжа</t>
  </si>
  <si>
    <t>Становая тяга</t>
  </si>
  <si>
    <t>ВЕСОВАЯ КАТЕГОРИЯ   90</t>
  </si>
  <si>
    <t>Вощенко Антон</t>
  </si>
  <si>
    <t>Открытая (03.09.1983)/39</t>
  </si>
  <si>
    <t>89,70</t>
  </si>
  <si>
    <t>150,0</t>
  </si>
  <si>
    <t>160,0</t>
  </si>
  <si>
    <t>170,0</t>
  </si>
  <si>
    <t>120,0</t>
  </si>
  <si>
    <t>130,0</t>
  </si>
  <si>
    <t>140,0</t>
  </si>
  <si>
    <t>180,0</t>
  </si>
  <si>
    <t>190,0</t>
  </si>
  <si>
    <t>205,0</t>
  </si>
  <si>
    <t>ВЕСОВАЯ КАТЕГОРИЯ   100</t>
  </si>
  <si>
    <t>Сейтнебиев Мустафа</t>
  </si>
  <si>
    <t>Открытая (15.07.1996)/26</t>
  </si>
  <si>
    <t>97,20</t>
  </si>
  <si>
    <t>260,0</t>
  </si>
  <si>
    <t>270,0</t>
  </si>
  <si>
    <t>195,0</t>
  </si>
  <si>
    <t>285,0</t>
  </si>
  <si>
    <t>295,0</t>
  </si>
  <si>
    <t xml:space="preserve">Суслов Н. </t>
  </si>
  <si>
    <t>Бестаев Игорь</t>
  </si>
  <si>
    <t>Мастера 50-59 (12.01.1972)/50</t>
  </si>
  <si>
    <t>96,20</t>
  </si>
  <si>
    <t>110,0</t>
  </si>
  <si>
    <t>115,0</t>
  </si>
  <si>
    <t xml:space="preserve">Похватько Р. </t>
  </si>
  <si>
    <t xml:space="preserve">Мужчины </t>
  </si>
  <si>
    <t xml:space="preserve">Открытая </t>
  </si>
  <si>
    <t xml:space="preserve">ФИО </t>
  </si>
  <si>
    <t xml:space="preserve">Возрастная группа </t>
  </si>
  <si>
    <t xml:space="preserve">Wilks </t>
  </si>
  <si>
    <t>100</t>
  </si>
  <si>
    <t>1</t>
  </si>
  <si>
    <t>ВЕСОВАЯ КАТЕГОРИЯ   60</t>
  </si>
  <si>
    <t>Буренко Анастасия</t>
  </si>
  <si>
    <t>Открытая (01.09.1993)/29</t>
  </si>
  <si>
    <t>59,20</t>
  </si>
  <si>
    <t>85,0</t>
  </si>
  <si>
    <t>92,5</t>
  </si>
  <si>
    <t>47,5</t>
  </si>
  <si>
    <t>50,0</t>
  </si>
  <si>
    <t>52,5</t>
  </si>
  <si>
    <t>105,0</t>
  </si>
  <si>
    <t xml:space="preserve">Поддубный Д. </t>
  </si>
  <si>
    <t>ВЕСОВАЯ КАТЕГОРИЯ   67.5</t>
  </si>
  <si>
    <t>Медведева Лидия</t>
  </si>
  <si>
    <t>Открытая (28.02.1988)/34</t>
  </si>
  <si>
    <t>66,30</t>
  </si>
  <si>
    <t>100,0</t>
  </si>
  <si>
    <t>107,5</t>
  </si>
  <si>
    <t>55,0</t>
  </si>
  <si>
    <t>57,5</t>
  </si>
  <si>
    <t>60,0</t>
  </si>
  <si>
    <t>125,0</t>
  </si>
  <si>
    <t xml:space="preserve">Печерская Е. </t>
  </si>
  <si>
    <t>Захаров Илья</t>
  </si>
  <si>
    <t>Открытая (08.06.1991)/31</t>
  </si>
  <si>
    <t>87,00</t>
  </si>
  <si>
    <t xml:space="preserve">Беловал Е. </t>
  </si>
  <si>
    <t>Результат</t>
  </si>
  <si>
    <t>ВЕСОВАЯ КАТЕГОРИЯ   52</t>
  </si>
  <si>
    <t>Кормилицын Роман</t>
  </si>
  <si>
    <t>Юноши 14-16 (03.08.2009)/13</t>
  </si>
  <si>
    <t>46,40</t>
  </si>
  <si>
    <t>35,0</t>
  </si>
  <si>
    <t>40,0</t>
  </si>
  <si>
    <t>42,5</t>
  </si>
  <si>
    <t>80,0</t>
  </si>
  <si>
    <t>90,0</t>
  </si>
  <si>
    <t>95,0</t>
  </si>
  <si>
    <t>Сейтибрамов Арсен</t>
  </si>
  <si>
    <t>Юноши 14-16 (01.12.2008)/13</t>
  </si>
  <si>
    <t>59,40</t>
  </si>
  <si>
    <t>45,0</t>
  </si>
  <si>
    <t xml:space="preserve">Измайлов Н. </t>
  </si>
  <si>
    <t>ВЕСОВАЯ КАТЕГОРИЯ   75</t>
  </si>
  <si>
    <t>Стадник Михаил</t>
  </si>
  <si>
    <t>Открытая (04.02.1987)/35</t>
  </si>
  <si>
    <t>73,60</t>
  </si>
  <si>
    <t>155,0</t>
  </si>
  <si>
    <t xml:space="preserve">Пинчук А. </t>
  </si>
  <si>
    <t>Рыбалко Владимир</t>
  </si>
  <si>
    <t>Открытая (04.05.1987)/35</t>
  </si>
  <si>
    <t>86,30</t>
  </si>
  <si>
    <t xml:space="preserve">Краснодар/Краснодарский край </t>
  </si>
  <si>
    <t>165,0</t>
  </si>
  <si>
    <t>Гусейнов Рамиль</t>
  </si>
  <si>
    <t>Юноши 14-16 (26.06.2008)/14</t>
  </si>
  <si>
    <t>96,40</t>
  </si>
  <si>
    <t>70,0</t>
  </si>
  <si>
    <t>82,5</t>
  </si>
  <si>
    <t>ВЕСОВАЯ КАТЕГОРИЯ   125</t>
  </si>
  <si>
    <t>Буряченко Андрей</t>
  </si>
  <si>
    <t>Открытая (30.12.1976)/45</t>
  </si>
  <si>
    <t>124,80</t>
  </si>
  <si>
    <t>202,5</t>
  </si>
  <si>
    <t>210,0</t>
  </si>
  <si>
    <t xml:space="preserve">Сороколетов Е. </t>
  </si>
  <si>
    <t xml:space="preserve">Результат </t>
  </si>
  <si>
    <t>Петрюк Анастасия</t>
  </si>
  <si>
    <t>Открытая (22.06.1993)/29</t>
  </si>
  <si>
    <t>51,60</t>
  </si>
  <si>
    <t>Савкина Юлия</t>
  </si>
  <si>
    <t>Юниорки (08.12.1999)/22</t>
  </si>
  <si>
    <t>58,50</t>
  </si>
  <si>
    <t xml:space="preserve">Григорян Э. </t>
  </si>
  <si>
    <t>Рапп Татьяна</t>
  </si>
  <si>
    <t>Открытая (04.04.1984)/38</t>
  </si>
  <si>
    <t>64,30</t>
  </si>
  <si>
    <t xml:space="preserve">Дмитрий Б. </t>
  </si>
  <si>
    <t>ВЕСОВАЯ КАТЕГОРИЯ   56</t>
  </si>
  <si>
    <t>Соболев Анатолий</t>
  </si>
  <si>
    <t>Юноши 14-16 (10.05.2007)/15</t>
  </si>
  <si>
    <t>55,50</t>
  </si>
  <si>
    <t>Черкашин Ярослав</t>
  </si>
  <si>
    <t>Юноши 17-19 (20.10.2003)/18</t>
  </si>
  <si>
    <t>70,10</t>
  </si>
  <si>
    <t>Бунеску Константин</t>
  </si>
  <si>
    <t>Открытая (25.07.1988)/34</t>
  </si>
  <si>
    <t>74,00</t>
  </si>
  <si>
    <t>135,0</t>
  </si>
  <si>
    <t>ВЕСОВАЯ КАТЕГОРИЯ   82.5</t>
  </si>
  <si>
    <t>Вострецов Никита</t>
  </si>
  <si>
    <t>Юноши 17-19 (21.06.2003)/19</t>
  </si>
  <si>
    <t>81,30</t>
  </si>
  <si>
    <t>145,0</t>
  </si>
  <si>
    <t>Шаталин Игорь</t>
  </si>
  <si>
    <t>Открытая (16.03.1980)/42</t>
  </si>
  <si>
    <t>88,80</t>
  </si>
  <si>
    <t>147,5</t>
  </si>
  <si>
    <t>Белаш Дмитрий</t>
  </si>
  <si>
    <t>Открытая (18.06.1990)/32</t>
  </si>
  <si>
    <t>98,60</t>
  </si>
  <si>
    <t>175,0</t>
  </si>
  <si>
    <t xml:space="preserve">Пономарёва В. </t>
  </si>
  <si>
    <t>Лещеок Дмитрий</t>
  </si>
  <si>
    <t>Открытая (12.11.1986)/35</t>
  </si>
  <si>
    <t>99,50</t>
  </si>
  <si>
    <t>152,5</t>
  </si>
  <si>
    <t xml:space="preserve">Белаш Д. </t>
  </si>
  <si>
    <t>ВЕСОВАЯ КАТЕГОРИЯ   110</t>
  </si>
  <si>
    <t>Покидько Игорь</t>
  </si>
  <si>
    <t>Открытая (26.12.1988)/33</t>
  </si>
  <si>
    <t>109,40</t>
  </si>
  <si>
    <t>185,0</t>
  </si>
  <si>
    <t>ВЕСОВАЯ КАТЕГОРИЯ   140</t>
  </si>
  <si>
    <t>Сасаниа Георгий</t>
  </si>
  <si>
    <t>Открытая (14.02.1993)/29</t>
  </si>
  <si>
    <t>131,50</t>
  </si>
  <si>
    <t>275,0</t>
  </si>
  <si>
    <t>140</t>
  </si>
  <si>
    <t>110</t>
  </si>
  <si>
    <t>2</t>
  </si>
  <si>
    <t>Шабалин Дмитрий</t>
  </si>
  <si>
    <t>Мастера 50-59 (19.01.1969)/53</t>
  </si>
  <si>
    <t>130,00</t>
  </si>
  <si>
    <t xml:space="preserve">Москва </t>
  </si>
  <si>
    <t>Дейнеко Светлана</t>
  </si>
  <si>
    <t>Открытая (25.05.1986)/36</t>
  </si>
  <si>
    <t>51,70</t>
  </si>
  <si>
    <t>Алексеев Илья</t>
  </si>
  <si>
    <t>Открытая (30.11.1983)/38</t>
  </si>
  <si>
    <t>81,50</t>
  </si>
  <si>
    <t xml:space="preserve">Каминский Е. </t>
  </si>
  <si>
    <t>Белик Вадим</t>
  </si>
  <si>
    <t>Открытая (10.08.1978)/44</t>
  </si>
  <si>
    <t>92,40</t>
  </si>
  <si>
    <t xml:space="preserve">Даниил П. </t>
  </si>
  <si>
    <t>Гордиенко Николай</t>
  </si>
  <si>
    <t>Открытая (13.01.1992)/30</t>
  </si>
  <si>
    <t>97,30</t>
  </si>
  <si>
    <t>235,0</t>
  </si>
  <si>
    <t>245,0</t>
  </si>
  <si>
    <t>265,0</t>
  </si>
  <si>
    <t>Огуля Максим</t>
  </si>
  <si>
    <t>Юноши 14-16 (30.10.2008)/13</t>
  </si>
  <si>
    <t>106,00</t>
  </si>
  <si>
    <t xml:space="preserve">Тимашевск/Краснодарский край </t>
  </si>
  <si>
    <t>Эреджепов Рустем</t>
  </si>
  <si>
    <t>Открытая (05.08.1982)/40</t>
  </si>
  <si>
    <t>107,20</t>
  </si>
  <si>
    <t>255,0</t>
  </si>
  <si>
    <t xml:space="preserve">Эреджепов Р. </t>
  </si>
  <si>
    <t>Мастера 40-49 (05.08.1982)/40</t>
  </si>
  <si>
    <t>Перевертай Алина</t>
  </si>
  <si>
    <t>Юниорки (11.08.2002)/20</t>
  </si>
  <si>
    <t xml:space="preserve">Апатиты/Мурманская область </t>
  </si>
  <si>
    <t>75,0</t>
  </si>
  <si>
    <t>Карасёв Артём</t>
  </si>
  <si>
    <t>Открытая (27.12.1994)/27</t>
  </si>
  <si>
    <t>66,80</t>
  </si>
  <si>
    <t>Нечистенко Дмитрий</t>
  </si>
  <si>
    <t>Мастера 40-49 (28.01.1978)/44</t>
  </si>
  <si>
    <t>Кормилицын Александр</t>
  </si>
  <si>
    <t>Открытая (20.10.1982)/39</t>
  </si>
  <si>
    <t>110,00</t>
  </si>
  <si>
    <t>200,0</t>
  </si>
  <si>
    <t>215,0</t>
  </si>
  <si>
    <t xml:space="preserve">Богданов К. </t>
  </si>
  <si>
    <t>Подъем на бицепс</t>
  </si>
  <si>
    <t>Усейнов Чингиз</t>
  </si>
  <si>
    <t>55,35</t>
  </si>
  <si>
    <t>Тихомиров Николай</t>
  </si>
  <si>
    <t>Мастера 60+ (24.12.1956)/65</t>
  </si>
  <si>
    <t>59,50</t>
  </si>
  <si>
    <t>48,5</t>
  </si>
  <si>
    <t>Косточка Александр</t>
  </si>
  <si>
    <t>Открытая (25.06.1986)/36</t>
  </si>
  <si>
    <t>80,00</t>
  </si>
  <si>
    <t>30,0</t>
  </si>
  <si>
    <t>Еремеев Виталий</t>
  </si>
  <si>
    <t>Открытая (07.03.1983)/39</t>
  </si>
  <si>
    <t>65,0</t>
  </si>
  <si>
    <t>72,5</t>
  </si>
  <si>
    <t>37,5</t>
  </si>
  <si>
    <t>Мангушев Андрей</t>
  </si>
  <si>
    <t>Открытая (20.09.1993)/28</t>
  </si>
  <si>
    <t>101,60</t>
  </si>
  <si>
    <t>Крищук Олег</t>
  </si>
  <si>
    <t>Открытая (29.05.1975)/47</t>
  </si>
  <si>
    <t>61,70</t>
  </si>
  <si>
    <t xml:space="preserve">Брянск/Брянская область </t>
  </si>
  <si>
    <t>62,5</t>
  </si>
  <si>
    <t>Красовский Виталий</t>
  </si>
  <si>
    <t>Открытая (07.05.1988)/34</t>
  </si>
  <si>
    <t>73,65</t>
  </si>
  <si>
    <t>67,5</t>
  </si>
  <si>
    <t>Карсаков Дмитрий</t>
  </si>
  <si>
    <t>Открытая (02.10.1990)/31</t>
  </si>
  <si>
    <t>98,10</t>
  </si>
  <si>
    <t>80,5</t>
  </si>
  <si>
    <t xml:space="preserve">Ивненко Н. </t>
  </si>
  <si>
    <t>-</t>
  </si>
  <si>
    <t xml:space="preserve">Симферополь/Республика Крым </t>
  </si>
  <si>
    <t xml:space="preserve">Керчь/Республика Крым </t>
  </si>
  <si>
    <t xml:space="preserve">Феодосия/Республика Крым </t>
  </si>
  <si>
    <t xml:space="preserve">Ялта/Республика Крым </t>
  </si>
  <si>
    <t xml:space="preserve">Коктебель/Республика Крым </t>
  </si>
  <si>
    <t xml:space="preserve">Джанкой/Республика Крым </t>
  </si>
  <si>
    <t xml:space="preserve">Саки/Республика Крым </t>
  </si>
  <si>
    <t>Всероссийский мастерский турнир «Crimea Power Pro»
WRPF Пауэрлифтинг без экипировки ДК
Коктебель/Республика Крым, 03 сентября 2022 года</t>
  </si>
  <si>
    <t>Всероссийский мастерский турнир «Crimea Power Pro»
WRPF Пауэрлифтинг без экипировки
Коктебель/Республика Крым, 03 сентября 2022 года</t>
  </si>
  <si>
    <t>Всероссийский мастерский турнир «Crimea Power Pro»
WRPF Силовое двоеборье без экипировки ДК
Коктебель/Республика Крым, 03 сентября 2022 года</t>
  </si>
  <si>
    <t>Всероссийский мастерский турнир «Crimea Power Pro»
WRPF Силовое двоеборье без экипировки
Коктебель/Республика Крым, 03 сентября 2022 года</t>
  </si>
  <si>
    <t>Всероссийский мастерский турнир «Crimea Power Pro»
WRPF Жим лежа без экипировки ДК
Коктебель/Республика Крым, 03 сентября 2022 года</t>
  </si>
  <si>
    <t>Всероссийский мастерский турнир «Crimea Power Pro»
WRPF Жим лежа без экипировки
Коктебель/Республика Крым, 03 сентября 2022 года</t>
  </si>
  <si>
    <t>Всероссийский мастерский турнир «Crimea Power Pro»
WEPF Жим лежа в однослойной экипировке
Коктебель/Республика Крым, 03 сентября 2022 года</t>
  </si>
  <si>
    <t>Всероссийский мастерский турнир «Crimea Power Pro»
WRPF Военный жим лежа с ДК
Коктебель/Республика Крым, 03 сентября 2022 года</t>
  </si>
  <si>
    <t>Всероссийский мастерский турнир «Crimea Power Pro»
WRPF Становая тяга без экипировки ДК
Коктебель/Республика Крым, 03 сентября 2022 года</t>
  </si>
  <si>
    <t>Всероссийский мастерский турнир «Crimea Power Pro»
WRPF Становая тяга без экипировки
Коктебель/Республика Крым, 03 сентября 2022 года</t>
  </si>
  <si>
    <t>Всероссийский мастерский турнир «Crimea Power Pro»
WRPF Строгий подъем штанги на бицепс ДК
Коктебель/Республика Крым, 03 сентября 2022 года</t>
  </si>
  <si>
    <t>Всероссийский мастерский турнир «Crimea Power Pro»
WRPF Строгий подъем штанги на бицепс
Коктебель/Республика Крым, 03 сентября 2022 года</t>
  </si>
  <si>
    <t xml:space="preserve">Пряхин С. </t>
  </si>
  <si>
    <t>Весовая категория</t>
  </si>
  <si>
    <t>Джанкой/Республика Крым</t>
  </si>
  <si>
    <t xml:space="preserve">Соляр А. </t>
  </si>
  <si>
    <t>Симферополь/Республика Крым</t>
  </si>
  <si>
    <t>Юноши 13-19 (05.11.2005)/16</t>
  </si>
  <si>
    <t>Юноши 13-19 (30.10.2008)/13</t>
  </si>
  <si>
    <t>Жим</t>
  </si>
  <si>
    <t>№</t>
  </si>
  <si>
    <t xml:space="preserve"> </t>
  </si>
  <si>
    <t>Возрастная группа</t>
  </si>
  <si>
    <t>O</t>
  </si>
  <si>
    <t>M2</t>
  </si>
  <si>
    <t xml:space="preserve">
Дата рождения/Возраст</t>
  </si>
  <si>
    <t>T1</t>
  </si>
  <si>
    <t>J</t>
  </si>
  <si>
    <t>T2</t>
  </si>
  <si>
    <t>P</t>
  </si>
  <si>
    <t>M1</t>
  </si>
  <si>
    <t>T</t>
  </si>
  <si>
    <t>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</si>
</sst>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9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0" fontId="0" fillId="0" borderId="15" xfId="0" applyNumberFormat="1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 indent="1"/>
    </xf>
    <xf numFmtId="49" fontId="7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0" fontId="0" fillId="0" borderId="17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14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U12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30.664062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20.6640625" style="5" customWidth="1"/>
    <col min="22" max="16384" width="9.1640625" style="3"/>
  </cols>
  <sheetData>
    <row r="1" spans="1:21" s="2" customFormat="1" ht="29" customHeight="1">
      <c r="A1" s="46" t="s">
        <v>255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275</v>
      </c>
      <c r="B3" s="63" t="s">
        <v>0</v>
      </c>
      <c r="C3" s="56" t="s">
        <v>5</v>
      </c>
      <c r="D3" s="56" t="s">
        <v>7</v>
      </c>
      <c r="E3" s="58" t="s">
        <v>277</v>
      </c>
      <c r="F3" s="60" t="s">
        <v>6</v>
      </c>
      <c r="G3" s="60" t="s">
        <v>9</v>
      </c>
      <c r="H3" s="60"/>
      <c r="I3" s="60"/>
      <c r="J3" s="60"/>
      <c r="K3" s="60" t="s">
        <v>10</v>
      </c>
      <c r="L3" s="60"/>
      <c r="M3" s="60"/>
      <c r="N3" s="60"/>
      <c r="O3" s="60" t="s">
        <v>11</v>
      </c>
      <c r="P3" s="60"/>
      <c r="Q3" s="60"/>
      <c r="R3" s="60"/>
      <c r="S3" s="58" t="s">
        <v>1</v>
      </c>
      <c r="T3" s="58" t="s">
        <v>3</v>
      </c>
      <c r="U3" s="42" t="s">
        <v>2</v>
      </c>
    </row>
    <row r="4" spans="1:21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9"/>
      <c r="U4" s="43"/>
    </row>
    <row r="5" spans="1:21" ht="16">
      <c r="A5" s="44" t="s">
        <v>48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29" t="s">
        <v>47</v>
      </c>
      <c r="B6" s="11" t="s">
        <v>49</v>
      </c>
      <c r="C6" s="11" t="s">
        <v>50</v>
      </c>
      <c r="D6" s="11" t="s">
        <v>51</v>
      </c>
      <c r="E6" s="12" t="s">
        <v>278</v>
      </c>
      <c r="F6" s="11" t="s">
        <v>248</v>
      </c>
      <c r="G6" s="28" t="s">
        <v>52</v>
      </c>
      <c r="H6" s="27" t="s">
        <v>53</v>
      </c>
      <c r="I6" s="28" t="s">
        <v>53</v>
      </c>
      <c r="J6" s="29"/>
      <c r="K6" s="28" t="s">
        <v>54</v>
      </c>
      <c r="L6" s="28" t="s">
        <v>55</v>
      </c>
      <c r="M6" s="27" t="s">
        <v>56</v>
      </c>
      <c r="N6" s="29"/>
      <c r="O6" s="28" t="s">
        <v>57</v>
      </c>
      <c r="P6" s="28" t="s">
        <v>38</v>
      </c>
      <c r="Q6" s="28" t="s">
        <v>39</v>
      </c>
      <c r="R6" s="29"/>
      <c r="S6" s="13" t="str">
        <f>"257,5"</f>
        <v>257,5</v>
      </c>
      <c r="T6" s="13" t="str">
        <f>"290,0995"</f>
        <v>290,0995</v>
      </c>
      <c r="U6" s="11" t="s">
        <v>58</v>
      </c>
    </row>
    <row r="8" spans="1:21" ht="16">
      <c r="A8" s="61" t="s">
        <v>59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29" t="s">
        <v>47</v>
      </c>
      <c r="B9" s="11" t="s">
        <v>60</v>
      </c>
      <c r="C9" s="11" t="s">
        <v>61</v>
      </c>
      <c r="D9" s="11" t="s">
        <v>62</v>
      </c>
      <c r="E9" s="12" t="s">
        <v>278</v>
      </c>
      <c r="F9" s="11" t="s">
        <v>249</v>
      </c>
      <c r="G9" s="28" t="s">
        <v>63</v>
      </c>
      <c r="H9" s="28" t="s">
        <v>64</v>
      </c>
      <c r="I9" s="27" t="s">
        <v>38</v>
      </c>
      <c r="J9" s="29"/>
      <c r="K9" s="28" t="s">
        <v>65</v>
      </c>
      <c r="L9" s="28" t="s">
        <v>66</v>
      </c>
      <c r="M9" s="27" t="s">
        <v>67</v>
      </c>
      <c r="N9" s="29"/>
      <c r="O9" s="28" t="s">
        <v>19</v>
      </c>
      <c r="P9" s="28" t="s">
        <v>68</v>
      </c>
      <c r="Q9" s="28" t="s">
        <v>20</v>
      </c>
      <c r="R9" s="29"/>
      <c r="S9" s="13" t="str">
        <f>"295,0"</f>
        <v>295,0</v>
      </c>
      <c r="T9" s="13" t="str">
        <f>"305,0005"</f>
        <v>305,0005</v>
      </c>
      <c r="U9" s="11" t="s">
        <v>69</v>
      </c>
    </row>
    <row r="11" spans="1:21" ht="16">
      <c r="A11" s="61" t="s">
        <v>12</v>
      </c>
      <c r="B11" s="61"/>
      <c r="C11" s="61"/>
      <c r="D11" s="61"/>
      <c r="E11" s="62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</row>
    <row r="12" spans="1:21">
      <c r="A12" s="29" t="s">
        <v>47</v>
      </c>
      <c r="B12" s="11" t="s">
        <v>70</v>
      </c>
      <c r="C12" s="11" t="s">
        <v>71</v>
      </c>
      <c r="D12" s="11" t="s">
        <v>72</v>
      </c>
      <c r="E12" s="12" t="s">
        <v>278</v>
      </c>
      <c r="F12" s="11" t="s">
        <v>248</v>
      </c>
      <c r="G12" s="28" t="s">
        <v>22</v>
      </c>
      <c r="H12" s="28" t="s">
        <v>23</v>
      </c>
      <c r="I12" s="29"/>
      <c r="J12" s="29"/>
      <c r="K12" s="27" t="s">
        <v>21</v>
      </c>
      <c r="L12" s="27" t="s">
        <v>21</v>
      </c>
      <c r="M12" s="28" t="s">
        <v>21</v>
      </c>
      <c r="N12" s="29"/>
      <c r="O12" s="28" t="s">
        <v>18</v>
      </c>
      <c r="P12" s="27" t="s">
        <v>22</v>
      </c>
      <c r="Q12" s="28" t="s">
        <v>22</v>
      </c>
      <c r="R12" s="29"/>
      <c r="S12" s="13" t="str">
        <f>"510,0"</f>
        <v>510,0</v>
      </c>
      <c r="T12" s="13" t="str">
        <f>"331,4490"</f>
        <v>331,4490</v>
      </c>
      <c r="U12" s="11" t="s">
        <v>73</v>
      </c>
    </row>
  </sheetData>
  <mergeCells count="16">
    <mergeCell ref="A8:R8"/>
    <mergeCell ref="A11:R11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M14"/>
  <sheetViews>
    <sheetView workbookViewId="0">
      <selection activeCell="E15" sqref="E15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0.1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6.5" style="5" bestFit="1" customWidth="1"/>
    <col min="14" max="16384" width="9.1640625" style="3"/>
  </cols>
  <sheetData>
    <row r="1" spans="1:13" s="2" customFormat="1" ht="29" customHeight="1">
      <c r="A1" s="46" t="s">
        <v>264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11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76</v>
      </c>
      <c r="C6" s="11" t="s">
        <v>77</v>
      </c>
      <c r="D6" s="11" t="s">
        <v>78</v>
      </c>
      <c r="E6" s="12" t="s">
        <v>281</v>
      </c>
      <c r="F6" s="11" t="s">
        <v>250</v>
      </c>
      <c r="G6" s="28" t="s">
        <v>82</v>
      </c>
      <c r="H6" s="28" t="s">
        <v>83</v>
      </c>
      <c r="I6" s="27" t="s">
        <v>84</v>
      </c>
      <c r="J6" s="29"/>
      <c r="K6" s="13" t="str">
        <f>"90,0"</f>
        <v>90,0</v>
      </c>
      <c r="L6" s="13" t="str">
        <f>"100,1250"</f>
        <v>100,1250</v>
      </c>
      <c r="M6" s="11" t="s">
        <v>213</v>
      </c>
    </row>
    <row r="8" spans="1:13" ht="16">
      <c r="A8" s="61" t="s">
        <v>25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9" t="s">
        <v>47</v>
      </c>
      <c r="B9" s="11" t="s">
        <v>183</v>
      </c>
      <c r="C9" s="11" t="s">
        <v>184</v>
      </c>
      <c r="D9" s="11" t="s">
        <v>185</v>
      </c>
      <c r="E9" s="12" t="s">
        <v>278</v>
      </c>
      <c r="F9" s="11" t="s">
        <v>248</v>
      </c>
      <c r="G9" s="28" t="s">
        <v>186</v>
      </c>
      <c r="H9" s="28" t="s">
        <v>187</v>
      </c>
      <c r="I9" s="28" t="s">
        <v>188</v>
      </c>
      <c r="J9" s="29"/>
      <c r="K9" s="13" t="str">
        <f>"265,0"</f>
        <v>265,0</v>
      </c>
      <c r="L9" s="13" t="str">
        <f>"163,1075"</f>
        <v>163,1075</v>
      </c>
      <c r="M9" s="11" t="s">
        <v>58</v>
      </c>
    </row>
    <row r="11" spans="1:13" ht="16">
      <c r="A11" s="61" t="s">
        <v>155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32" t="s">
        <v>47</v>
      </c>
      <c r="B12" s="14" t="s">
        <v>189</v>
      </c>
      <c r="C12" s="14" t="s">
        <v>190</v>
      </c>
      <c r="D12" s="14" t="s">
        <v>191</v>
      </c>
      <c r="E12" s="15" t="s">
        <v>281</v>
      </c>
      <c r="F12" s="14" t="s">
        <v>192</v>
      </c>
      <c r="G12" s="30" t="s">
        <v>84</v>
      </c>
      <c r="H12" s="30" t="s">
        <v>38</v>
      </c>
      <c r="I12" s="30" t="s">
        <v>19</v>
      </c>
      <c r="J12" s="32"/>
      <c r="K12" s="16" t="str">
        <f>"120,0"</f>
        <v>120,0</v>
      </c>
      <c r="L12" s="16" t="str">
        <f>"71,4720"</f>
        <v>71,4720</v>
      </c>
      <c r="M12" s="14" t="s">
        <v>276</v>
      </c>
    </row>
    <row r="13" spans="1:13">
      <c r="A13" s="39" t="s">
        <v>47</v>
      </c>
      <c r="B13" s="36" t="s">
        <v>193</v>
      </c>
      <c r="C13" s="36" t="s">
        <v>194</v>
      </c>
      <c r="D13" s="36" t="s">
        <v>195</v>
      </c>
      <c r="E13" s="37" t="s">
        <v>278</v>
      </c>
      <c r="F13" s="36" t="s">
        <v>248</v>
      </c>
      <c r="G13" s="40" t="s">
        <v>196</v>
      </c>
      <c r="H13" s="40" t="s">
        <v>188</v>
      </c>
      <c r="I13" s="41" t="s">
        <v>30</v>
      </c>
      <c r="J13" s="39"/>
      <c r="K13" s="38" t="str">
        <f>"265,0"</f>
        <v>265,0</v>
      </c>
      <c r="L13" s="38" t="str">
        <f>"157,2245"</f>
        <v>157,2245</v>
      </c>
      <c r="M13" s="36" t="s">
        <v>197</v>
      </c>
    </row>
    <row r="14" spans="1:13">
      <c r="A14" s="35" t="s">
        <v>47</v>
      </c>
      <c r="B14" s="17" t="s">
        <v>193</v>
      </c>
      <c r="C14" s="17" t="s">
        <v>198</v>
      </c>
      <c r="D14" s="17" t="s">
        <v>195</v>
      </c>
      <c r="E14" s="18" t="s">
        <v>285</v>
      </c>
      <c r="F14" s="17" t="s">
        <v>248</v>
      </c>
      <c r="G14" s="33" t="s">
        <v>196</v>
      </c>
      <c r="H14" s="33" t="s">
        <v>188</v>
      </c>
      <c r="I14" s="34" t="s">
        <v>30</v>
      </c>
      <c r="J14" s="35"/>
      <c r="K14" s="19" t="str">
        <f>"265,0"</f>
        <v>265,0</v>
      </c>
      <c r="L14" s="19" t="str">
        <f>"157,2245"</f>
        <v>157,2245</v>
      </c>
      <c r="M14" s="17" t="s">
        <v>197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9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7.5" style="7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46" t="s">
        <v>265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214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59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233</v>
      </c>
      <c r="C6" s="11" t="s">
        <v>234</v>
      </c>
      <c r="D6" s="11" t="s">
        <v>235</v>
      </c>
      <c r="E6" s="12" t="s">
        <v>278</v>
      </c>
      <c r="F6" s="11" t="s">
        <v>236</v>
      </c>
      <c r="G6" s="28" t="s">
        <v>67</v>
      </c>
      <c r="H6" s="28" t="s">
        <v>237</v>
      </c>
      <c r="I6" s="27" t="s">
        <v>227</v>
      </c>
      <c r="J6" s="29"/>
      <c r="K6" s="13" t="str">
        <f>"62,5"</f>
        <v>62,5</v>
      </c>
      <c r="L6" s="13" t="str">
        <f>"50,6844"</f>
        <v>50,6844</v>
      </c>
      <c r="M6" s="11" t="s">
        <v>276</v>
      </c>
    </row>
    <row r="8" spans="1:13" ht="16">
      <c r="A8" s="61" t="s">
        <v>90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9" t="s">
        <v>47</v>
      </c>
      <c r="B9" s="11" t="s">
        <v>238</v>
      </c>
      <c r="C9" s="11" t="s">
        <v>239</v>
      </c>
      <c r="D9" s="11" t="s">
        <v>240</v>
      </c>
      <c r="E9" s="12" t="s">
        <v>284</v>
      </c>
      <c r="F9" s="11" t="s">
        <v>254</v>
      </c>
      <c r="G9" s="28" t="s">
        <v>54</v>
      </c>
      <c r="H9" s="28" t="s">
        <v>65</v>
      </c>
      <c r="I9" s="28" t="s">
        <v>67</v>
      </c>
      <c r="J9" s="29"/>
      <c r="K9" s="13" t="str">
        <f>"60,0"</f>
        <v>60,0</v>
      </c>
      <c r="L9" s="13" t="str">
        <f>"41,8755"</f>
        <v>41,8755</v>
      </c>
      <c r="M9" s="11" t="s">
        <v>276</v>
      </c>
    </row>
    <row r="11" spans="1:13" ht="16">
      <c r="A11" s="61" t="s">
        <v>12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9" t="s">
        <v>247</v>
      </c>
      <c r="B12" s="11" t="s">
        <v>141</v>
      </c>
      <c r="C12" s="11" t="s">
        <v>142</v>
      </c>
      <c r="D12" s="11" t="s">
        <v>143</v>
      </c>
      <c r="E12" s="12" t="s">
        <v>278</v>
      </c>
      <c r="F12" s="11" t="s">
        <v>250</v>
      </c>
      <c r="G12" s="27" t="s">
        <v>241</v>
      </c>
      <c r="H12" s="27" t="s">
        <v>241</v>
      </c>
      <c r="I12" s="27" t="s">
        <v>241</v>
      </c>
      <c r="J12" s="29"/>
      <c r="K12" s="13" t="str">
        <f>"0.00"</f>
        <v>0.00</v>
      </c>
      <c r="L12" s="13" t="str">
        <f>"0,0000"</f>
        <v>0,0000</v>
      </c>
      <c r="M12" s="11" t="s">
        <v>267</v>
      </c>
    </row>
    <row r="14" spans="1:13" ht="16">
      <c r="A14" s="61" t="s">
        <v>25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9" t="s">
        <v>47</v>
      </c>
      <c r="B15" s="11" t="s">
        <v>242</v>
      </c>
      <c r="C15" s="11" t="s">
        <v>243</v>
      </c>
      <c r="D15" s="11" t="s">
        <v>244</v>
      </c>
      <c r="E15" s="12" t="s">
        <v>278</v>
      </c>
      <c r="F15" s="11" t="s">
        <v>248</v>
      </c>
      <c r="G15" s="28" t="s">
        <v>104</v>
      </c>
      <c r="H15" s="28" t="s">
        <v>202</v>
      </c>
      <c r="I15" s="28" t="s">
        <v>245</v>
      </c>
      <c r="J15" s="29"/>
      <c r="K15" s="13" t="str">
        <f>"80,5"</f>
        <v>80,5</v>
      </c>
      <c r="L15" s="13" t="str">
        <f>"47,1851"</f>
        <v>47,1851</v>
      </c>
      <c r="M15" s="11" t="s">
        <v>246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19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7.6640625" style="5" bestFit="1" customWidth="1"/>
    <col min="4" max="4" width="21.5" style="5" bestFit="1" customWidth="1"/>
    <col min="5" max="5" width="10.5" style="6" bestFit="1" customWidth="1"/>
    <col min="6" max="6" width="30.1640625" style="5" bestFit="1" customWidth="1"/>
    <col min="7" max="10" width="5.5" style="10" customWidth="1"/>
    <col min="11" max="11" width="10.5" style="7" bestFit="1" customWidth="1"/>
    <col min="12" max="12" width="7.5" style="7" bestFit="1" customWidth="1"/>
    <col min="13" max="13" width="19.6640625" style="5" customWidth="1"/>
    <col min="14" max="16384" width="9.1640625" style="3"/>
  </cols>
  <sheetData>
    <row r="1" spans="1:13" s="2" customFormat="1" ht="29" customHeight="1">
      <c r="A1" s="46" t="s">
        <v>266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274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125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215</v>
      </c>
      <c r="C6" s="11" t="s">
        <v>272</v>
      </c>
      <c r="D6" s="11" t="s">
        <v>216</v>
      </c>
      <c r="E6" s="12" t="s">
        <v>286</v>
      </c>
      <c r="F6" s="11" t="s">
        <v>253</v>
      </c>
      <c r="G6" s="28" t="s">
        <v>79</v>
      </c>
      <c r="H6" s="28" t="s">
        <v>81</v>
      </c>
      <c r="I6" s="27" t="s">
        <v>55</v>
      </c>
      <c r="J6" s="29"/>
      <c r="K6" s="13" t="str">
        <f>"42,5"</f>
        <v>42,5</v>
      </c>
      <c r="L6" s="13" t="str">
        <f>"38,3988"</f>
        <v>38,3988</v>
      </c>
      <c r="M6" s="11" t="s">
        <v>276</v>
      </c>
    </row>
    <row r="8" spans="1:13" ht="16">
      <c r="A8" s="61" t="s">
        <v>48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9" t="s">
        <v>47</v>
      </c>
      <c r="B9" s="11" t="s">
        <v>217</v>
      </c>
      <c r="C9" s="11" t="s">
        <v>218</v>
      </c>
      <c r="D9" s="11" t="s">
        <v>219</v>
      </c>
      <c r="E9" s="12" t="s">
        <v>287</v>
      </c>
      <c r="F9" s="11" t="s">
        <v>271</v>
      </c>
      <c r="G9" s="28" t="s">
        <v>80</v>
      </c>
      <c r="H9" s="28" t="s">
        <v>88</v>
      </c>
      <c r="I9" s="28" t="s">
        <v>54</v>
      </c>
      <c r="J9" s="28" t="s">
        <v>220</v>
      </c>
      <c r="K9" s="13" t="str">
        <f>"47,5"</f>
        <v>47,5</v>
      </c>
      <c r="L9" s="13" t="str">
        <f>"59,0274"</f>
        <v>59,0274</v>
      </c>
      <c r="M9" s="11" t="s">
        <v>276</v>
      </c>
    </row>
    <row r="11" spans="1:13" ht="16">
      <c r="A11" s="61" t="s">
        <v>136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9" t="s">
        <v>47</v>
      </c>
      <c r="B12" s="11" t="s">
        <v>221</v>
      </c>
      <c r="C12" s="11" t="s">
        <v>222</v>
      </c>
      <c r="D12" s="11" t="s">
        <v>223</v>
      </c>
      <c r="E12" s="12" t="s">
        <v>278</v>
      </c>
      <c r="F12" s="11" t="s">
        <v>253</v>
      </c>
      <c r="G12" s="28" t="s">
        <v>224</v>
      </c>
      <c r="H12" s="27" t="s">
        <v>88</v>
      </c>
      <c r="I12" s="27" t="s">
        <v>88</v>
      </c>
      <c r="J12" s="29"/>
      <c r="K12" s="13" t="str">
        <f>"30,0"</f>
        <v>30,0</v>
      </c>
      <c r="L12" s="13" t="str">
        <f>"19,7340"</f>
        <v>19,7340</v>
      </c>
      <c r="M12" s="11" t="s">
        <v>89</v>
      </c>
    </row>
    <row r="14" spans="1:13" ht="16">
      <c r="A14" s="61" t="s">
        <v>12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9" t="s">
        <v>47</v>
      </c>
      <c r="B15" s="11" t="s">
        <v>225</v>
      </c>
      <c r="C15" s="11" t="s">
        <v>226</v>
      </c>
      <c r="D15" s="11" t="s">
        <v>15</v>
      </c>
      <c r="E15" s="12" t="s">
        <v>278</v>
      </c>
      <c r="F15" s="11" t="s">
        <v>253</v>
      </c>
      <c r="G15" s="28" t="s">
        <v>65</v>
      </c>
      <c r="H15" s="28" t="s">
        <v>227</v>
      </c>
      <c r="I15" s="27" t="s">
        <v>228</v>
      </c>
      <c r="J15" s="29"/>
      <c r="K15" s="13" t="str">
        <f>"65,0"</f>
        <v>65,0</v>
      </c>
      <c r="L15" s="13" t="str">
        <f>"39,8450"</f>
        <v>39,8450</v>
      </c>
      <c r="M15" s="11" t="s">
        <v>89</v>
      </c>
    </row>
    <row r="17" spans="1:13" ht="16">
      <c r="A17" s="61" t="s">
        <v>155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32" t="s">
        <v>47</v>
      </c>
      <c r="B18" s="14" t="s">
        <v>189</v>
      </c>
      <c r="C18" s="14" t="s">
        <v>273</v>
      </c>
      <c r="D18" s="14" t="s">
        <v>191</v>
      </c>
      <c r="E18" s="15" t="s">
        <v>286</v>
      </c>
      <c r="F18" s="14" t="s">
        <v>192</v>
      </c>
      <c r="G18" s="31" t="s">
        <v>229</v>
      </c>
      <c r="H18" s="30" t="s">
        <v>81</v>
      </c>
      <c r="I18" s="30" t="s">
        <v>54</v>
      </c>
      <c r="J18" s="32"/>
      <c r="K18" s="16" t="str">
        <f>"47,5"</f>
        <v>47,5</v>
      </c>
      <c r="L18" s="16" t="str">
        <f>"27,0204"</f>
        <v>27,0204</v>
      </c>
      <c r="M18" s="14" t="s">
        <v>276</v>
      </c>
    </row>
    <row r="19" spans="1:13">
      <c r="A19" s="35" t="s">
        <v>47</v>
      </c>
      <c r="B19" s="17" t="s">
        <v>230</v>
      </c>
      <c r="C19" s="17" t="s">
        <v>231</v>
      </c>
      <c r="D19" s="17" t="s">
        <v>232</v>
      </c>
      <c r="E19" s="18" t="s">
        <v>278</v>
      </c>
      <c r="F19" s="17" t="s">
        <v>254</v>
      </c>
      <c r="G19" s="34" t="s">
        <v>202</v>
      </c>
      <c r="H19" s="33" t="s">
        <v>82</v>
      </c>
      <c r="I19" s="34" t="s">
        <v>52</v>
      </c>
      <c r="J19" s="35"/>
      <c r="K19" s="19" t="str">
        <f>"80,0"</f>
        <v>80,0</v>
      </c>
      <c r="L19" s="19" t="str">
        <f>"46,2080"</f>
        <v>46,2080</v>
      </c>
      <c r="M19" s="17" t="s">
        <v>270</v>
      </c>
    </row>
  </sheetData>
  <mergeCells count="16">
    <mergeCell ref="A8:J8"/>
    <mergeCell ref="A11:J11"/>
    <mergeCell ref="A14:J14"/>
    <mergeCell ref="A17:J17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U10"/>
  <sheetViews>
    <sheetView workbookViewId="0">
      <selection activeCell="E11" sqref="E11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31.8320312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7" width="5.5" style="10" customWidth="1"/>
    <col min="18" max="18" width="4.83203125" style="10" customWidth="1"/>
    <col min="19" max="19" width="7.83203125" style="7" bestFit="1" customWidth="1"/>
    <col min="20" max="20" width="8.5" style="7" bestFit="1" customWidth="1"/>
    <col min="21" max="21" width="17.6640625" style="5" customWidth="1"/>
    <col min="22" max="16384" width="9.1640625" style="3"/>
  </cols>
  <sheetData>
    <row r="1" spans="1:21" s="2" customFormat="1" ht="29" customHeight="1">
      <c r="A1" s="46" t="s">
        <v>256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9"/>
    </row>
    <row r="2" spans="1:21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3"/>
    </row>
    <row r="3" spans="1:21" s="1" customFormat="1" ht="12.75" customHeight="1">
      <c r="A3" s="54" t="s">
        <v>275</v>
      </c>
      <c r="B3" s="63" t="s">
        <v>0</v>
      </c>
      <c r="C3" s="56" t="s">
        <v>5</v>
      </c>
      <c r="D3" s="56" t="s">
        <v>7</v>
      </c>
      <c r="E3" s="58" t="s">
        <v>277</v>
      </c>
      <c r="F3" s="60" t="s">
        <v>6</v>
      </c>
      <c r="G3" s="60" t="s">
        <v>9</v>
      </c>
      <c r="H3" s="60"/>
      <c r="I3" s="60"/>
      <c r="J3" s="60"/>
      <c r="K3" s="60" t="s">
        <v>10</v>
      </c>
      <c r="L3" s="60"/>
      <c r="M3" s="60"/>
      <c r="N3" s="60"/>
      <c r="O3" s="60" t="s">
        <v>11</v>
      </c>
      <c r="P3" s="60"/>
      <c r="Q3" s="60"/>
      <c r="R3" s="60"/>
      <c r="S3" s="58" t="s">
        <v>1</v>
      </c>
      <c r="T3" s="58" t="s">
        <v>3</v>
      </c>
      <c r="U3" s="42" t="s">
        <v>2</v>
      </c>
    </row>
    <row r="4" spans="1:21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59"/>
      <c r="T4" s="59"/>
      <c r="U4" s="43"/>
    </row>
    <row r="5" spans="1:21" ht="16">
      <c r="A5" s="44" t="s">
        <v>12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21">
      <c r="A6" s="29" t="s">
        <v>47</v>
      </c>
      <c r="B6" s="11" t="s">
        <v>13</v>
      </c>
      <c r="C6" s="11" t="s">
        <v>14</v>
      </c>
      <c r="D6" s="11" t="s">
        <v>15</v>
      </c>
      <c r="E6" s="12" t="s">
        <v>278</v>
      </c>
      <c r="F6" s="11" t="s">
        <v>249</v>
      </c>
      <c r="G6" s="27" t="s">
        <v>16</v>
      </c>
      <c r="H6" s="28" t="s">
        <v>17</v>
      </c>
      <c r="I6" s="28" t="s">
        <v>18</v>
      </c>
      <c r="J6" s="29"/>
      <c r="K6" s="28" t="s">
        <v>19</v>
      </c>
      <c r="L6" s="28" t="s">
        <v>20</v>
      </c>
      <c r="M6" s="27" t="s">
        <v>21</v>
      </c>
      <c r="N6" s="29"/>
      <c r="O6" s="28" t="s">
        <v>22</v>
      </c>
      <c r="P6" s="28" t="s">
        <v>23</v>
      </c>
      <c r="Q6" s="27" t="s">
        <v>24</v>
      </c>
      <c r="R6" s="29"/>
      <c r="S6" s="13" t="str">
        <f>"490,0"</f>
        <v>490,0</v>
      </c>
      <c r="T6" s="13" t="str">
        <f>"313,3550"</f>
        <v>313,3550</v>
      </c>
      <c r="U6" s="11" t="s">
        <v>276</v>
      </c>
    </row>
    <row r="8" spans="1:21" ht="16">
      <c r="A8" s="61" t="s">
        <v>25</v>
      </c>
      <c r="B8" s="61"/>
      <c r="C8" s="61"/>
      <c r="D8" s="61"/>
      <c r="E8" s="62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</row>
    <row r="9" spans="1:21">
      <c r="A9" s="32" t="s">
        <v>47</v>
      </c>
      <c r="B9" s="14" t="s">
        <v>26</v>
      </c>
      <c r="C9" s="14" t="s">
        <v>27</v>
      </c>
      <c r="D9" s="14" t="s">
        <v>28</v>
      </c>
      <c r="E9" s="15" t="s">
        <v>278</v>
      </c>
      <c r="F9" s="14" t="s">
        <v>248</v>
      </c>
      <c r="G9" s="30" t="s">
        <v>29</v>
      </c>
      <c r="H9" s="31" t="s">
        <v>30</v>
      </c>
      <c r="I9" s="31" t="s">
        <v>30</v>
      </c>
      <c r="J9" s="32"/>
      <c r="K9" s="31" t="s">
        <v>31</v>
      </c>
      <c r="L9" s="31" t="s">
        <v>31</v>
      </c>
      <c r="M9" s="30" t="s">
        <v>31</v>
      </c>
      <c r="N9" s="32"/>
      <c r="O9" s="30" t="s">
        <v>32</v>
      </c>
      <c r="P9" s="31" t="s">
        <v>33</v>
      </c>
      <c r="Q9" s="32"/>
      <c r="R9" s="32"/>
      <c r="S9" s="16" t="str">
        <f>"740,0"</f>
        <v>740,0</v>
      </c>
      <c r="T9" s="16" t="str">
        <f>"455,6920"</f>
        <v>455,6920</v>
      </c>
      <c r="U9" s="14" t="s">
        <v>34</v>
      </c>
    </row>
    <row r="10" spans="1:21">
      <c r="A10" s="35" t="s">
        <v>47</v>
      </c>
      <c r="B10" s="17" t="s">
        <v>35</v>
      </c>
      <c r="C10" s="17" t="s">
        <v>36</v>
      </c>
      <c r="D10" s="17" t="s">
        <v>37</v>
      </c>
      <c r="E10" s="18" t="s">
        <v>279</v>
      </c>
      <c r="F10" s="17" t="s">
        <v>248</v>
      </c>
      <c r="G10" s="33" t="s">
        <v>21</v>
      </c>
      <c r="H10" s="33" t="s">
        <v>16</v>
      </c>
      <c r="I10" s="34" t="s">
        <v>17</v>
      </c>
      <c r="J10" s="35"/>
      <c r="K10" s="33" t="s">
        <v>38</v>
      </c>
      <c r="L10" s="34" t="s">
        <v>39</v>
      </c>
      <c r="M10" s="34" t="s">
        <v>39</v>
      </c>
      <c r="N10" s="35"/>
      <c r="O10" s="33" t="s">
        <v>21</v>
      </c>
      <c r="P10" s="33" t="s">
        <v>16</v>
      </c>
      <c r="Q10" s="33" t="s">
        <v>17</v>
      </c>
      <c r="R10" s="35"/>
      <c r="S10" s="19" t="str">
        <f>"420,0"</f>
        <v>420,0</v>
      </c>
      <c r="T10" s="19" t="str">
        <f>"298,7838"</f>
        <v>298,7838</v>
      </c>
      <c r="U10" s="17" t="s">
        <v>40</v>
      </c>
    </row>
  </sheetData>
  <mergeCells count="15">
    <mergeCell ref="A8:R8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6.33203125" style="5" bestFit="1" customWidth="1"/>
    <col min="4" max="4" width="21.5" style="5" bestFit="1" customWidth="1"/>
    <col min="5" max="5" width="10.5" style="6" bestFit="1" customWidth="1"/>
    <col min="6" max="6" width="28.5" style="5" customWidth="1"/>
    <col min="7" max="9" width="5.5" style="10" customWidth="1"/>
    <col min="10" max="10" width="4.83203125" style="10" customWidth="1"/>
    <col min="11" max="13" width="5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0.83203125" style="5" customWidth="1"/>
    <col min="18" max="16384" width="9.1640625" style="3"/>
  </cols>
  <sheetData>
    <row r="1" spans="1:17" s="2" customFormat="1" ht="29" customHeight="1">
      <c r="A1" s="46" t="s">
        <v>257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10</v>
      </c>
      <c r="H3" s="60"/>
      <c r="I3" s="60"/>
      <c r="J3" s="60"/>
      <c r="K3" s="60" t="s">
        <v>11</v>
      </c>
      <c r="L3" s="60"/>
      <c r="M3" s="60"/>
      <c r="N3" s="60"/>
      <c r="O3" s="58" t="s">
        <v>1</v>
      </c>
      <c r="P3" s="58" t="s">
        <v>3</v>
      </c>
      <c r="Q3" s="42" t="s">
        <v>2</v>
      </c>
    </row>
    <row r="4" spans="1:17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43"/>
    </row>
    <row r="5" spans="1:17" ht="16">
      <c r="A5" s="44" t="s">
        <v>155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29" t="s">
        <v>47</v>
      </c>
      <c r="B6" s="11" t="s">
        <v>208</v>
      </c>
      <c r="C6" s="11" t="s">
        <v>209</v>
      </c>
      <c r="D6" s="11" t="s">
        <v>210</v>
      </c>
      <c r="E6" s="12" t="s">
        <v>278</v>
      </c>
      <c r="F6" s="11" t="s">
        <v>250</v>
      </c>
      <c r="G6" s="28" t="s">
        <v>63</v>
      </c>
      <c r="H6" s="27" t="s">
        <v>38</v>
      </c>
      <c r="I6" s="27" t="s">
        <v>38</v>
      </c>
      <c r="J6" s="29"/>
      <c r="K6" s="28" t="s">
        <v>211</v>
      </c>
      <c r="L6" s="27" t="s">
        <v>212</v>
      </c>
      <c r="M6" s="27" t="s">
        <v>212</v>
      </c>
      <c r="N6" s="29"/>
      <c r="O6" s="13" t="str">
        <f>"300,0"</f>
        <v>300,0</v>
      </c>
      <c r="P6" s="13" t="str">
        <f>"176,5500"</f>
        <v>176,5500</v>
      </c>
      <c r="Q6" s="11" t="s">
        <v>213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Q6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8.164062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4" style="5" bestFit="1" customWidth="1"/>
    <col min="7" max="9" width="4.5" style="10" customWidth="1"/>
    <col min="10" max="10" width="4.83203125" style="10" customWidth="1"/>
    <col min="11" max="13" width="4.5" style="10" customWidth="1"/>
    <col min="14" max="14" width="4.83203125" style="10" customWidth="1"/>
    <col min="15" max="15" width="7.83203125" style="7" bestFit="1" customWidth="1"/>
    <col min="16" max="16" width="8.5" style="7" bestFit="1" customWidth="1"/>
    <col min="17" max="17" width="26.5" style="5" bestFit="1" customWidth="1"/>
    <col min="18" max="16384" width="9.1640625" style="3"/>
  </cols>
  <sheetData>
    <row r="1" spans="1:17" s="2" customFormat="1" ht="29" customHeight="1">
      <c r="A1" s="46" t="s">
        <v>258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9"/>
    </row>
    <row r="2" spans="1:17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3"/>
    </row>
    <row r="3" spans="1:17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10</v>
      </c>
      <c r="H3" s="60"/>
      <c r="I3" s="60"/>
      <c r="J3" s="60"/>
      <c r="K3" s="60" t="s">
        <v>11</v>
      </c>
      <c r="L3" s="60"/>
      <c r="M3" s="60"/>
      <c r="N3" s="60"/>
      <c r="O3" s="58" t="s">
        <v>1</v>
      </c>
      <c r="P3" s="58" t="s">
        <v>3</v>
      </c>
      <c r="Q3" s="42" t="s">
        <v>2</v>
      </c>
    </row>
    <row r="4" spans="1:17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59"/>
      <c r="P4" s="59"/>
      <c r="Q4" s="43"/>
    </row>
    <row r="5" spans="1:17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7">
      <c r="A6" s="29" t="s">
        <v>47</v>
      </c>
      <c r="B6" s="11" t="s">
        <v>76</v>
      </c>
      <c r="C6" s="11" t="s">
        <v>77</v>
      </c>
      <c r="D6" s="11" t="s">
        <v>78</v>
      </c>
      <c r="E6" s="12" t="s">
        <v>281</v>
      </c>
      <c r="F6" s="11" t="s">
        <v>250</v>
      </c>
      <c r="G6" s="28" t="s">
        <v>79</v>
      </c>
      <c r="H6" s="28" t="s">
        <v>80</v>
      </c>
      <c r="I6" s="27" t="s">
        <v>81</v>
      </c>
      <c r="J6" s="29"/>
      <c r="K6" s="28" t="s">
        <v>82</v>
      </c>
      <c r="L6" s="28" t="s">
        <v>83</v>
      </c>
      <c r="M6" s="27" t="s">
        <v>84</v>
      </c>
      <c r="N6" s="29"/>
      <c r="O6" s="13" t="str">
        <f>"130,0"</f>
        <v>130,0</v>
      </c>
      <c r="P6" s="13" t="str">
        <f>"144,6250"</f>
        <v>144,6250</v>
      </c>
      <c r="Q6" s="11" t="s">
        <v>213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M46"/>
  <sheetViews>
    <sheetView topLeftCell="A16" workbookViewId="0">
      <selection activeCell="F44" sqref="F44"/>
    </sheetView>
  </sheetViews>
  <sheetFormatPr baseColWidth="10" defaultColWidth="9.1640625" defaultRowHeight="13"/>
  <cols>
    <col min="1" max="1" width="7.5" style="5" bestFit="1" customWidth="1"/>
    <col min="2" max="2" width="22.164062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7.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8.5" style="5" bestFit="1" customWidth="1"/>
    <col min="14" max="16384" width="9.1640625" style="3"/>
  </cols>
  <sheetData>
    <row r="1" spans="1:13" s="2" customFormat="1" ht="29" customHeight="1">
      <c r="A1" s="46" t="s">
        <v>259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10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114</v>
      </c>
      <c r="C6" s="11" t="s">
        <v>115</v>
      </c>
      <c r="D6" s="11" t="s">
        <v>116</v>
      </c>
      <c r="E6" s="12" t="s">
        <v>278</v>
      </c>
      <c r="F6" s="11" t="s">
        <v>248</v>
      </c>
      <c r="G6" s="28" t="s">
        <v>65</v>
      </c>
      <c r="H6" s="27" t="s">
        <v>66</v>
      </c>
      <c r="I6" s="27" t="s">
        <v>66</v>
      </c>
      <c r="J6" s="29"/>
      <c r="K6" s="13" t="str">
        <f>"55,0"</f>
        <v>55,0</v>
      </c>
      <c r="L6" s="13" t="str">
        <f>"68,9755"</f>
        <v>68,9755</v>
      </c>
      <c r="M6" s="11" t="s">
        <v>40</v>
      </c>
    </row>
    <row r="8" spans="1:13" ht="16">
      <c r="A8" s="61" t="s">
        <v>48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9" t="s">
        <v>47</v>
      </c>
      <c r="B9" s="11" t="s">
        <v>117</v>
      </c>
      <c r="C9" s="11" t="s">
        <v>118</v>
      </c>
      <c r="D9" s="11" t="s">
        <v>119</v>
      </c>
      <c r="E9" s="12" t="s">
        <v>282</v>
      </c>
      <c r="F9" s="11" t="s">
        <v>248</v>
      </c>
      <c r="G9" s="28" t="s">
        <v>55</v>
      </c>
      <c r="H9" s="27" t="s">
        <v>65</v>
      </c>
      <c r="I9" s="27" t="s">
        <v>65</v>
      </c>
      <c r="J9" s="29"/>
      <c r="K9" s="13" t="str">
        <f>"50,0"</f>
        <v>50,0</v>
      </c>
      <c r="L9" s="13" t="str">
        <f>"56,8550"</f>
        <v>56,8550</v>
      </c>
      <c r="M9" s="11" t="s">
        <v>120</v>
      </c>
    </row>
    <row r="11" spans="1:13" ht="16">
      <c r="A11" s="61" t="s">
        <v>59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9" t="s">
        <v>47</v>
      </c>
      <c r="B12" s="11" t="s">
        <v>121</v>
      </c>
      <c r="C12" s="11" t="s">
        <v>122</v>
      </c>
      <c r="D12" s="11" t="s">
        <v>123</v>
      </c>
      <c r="E12" s="12" t="s">
        <v>278</v>
      </c>
      <c r="F12" s="11" t="s">
        <v>251</v>
      </c>
      <c r="G12" s="28" t="s">
        <v>88</v>
      </c>
      <c r="H12" s="28" t="s">
        <v>55</v>
      </c>
      <c r="I12" s="27" t="s">
        <v>56</v>
      </c>
      <c r="J12" s="29"/>
      <c r="K12" s="13" t="str">
        <f>"50,0"</f>
        <v>50,0</v>
      </c>
      <c r="L12" s="13" t="str">
        <f>"52,8800"</f>
        <v>52,8800</v>
      </c>
      <c r="M12" s="11" t="s">
        <v>154</v>
      </c>
    </row>
    <row r="14" spans="1:13" ht="16">
      <c r="A14" s="61" t="s">
        <v>125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9" t="s">
        <v>47</v>
      </c>
      <c r="B15" s="11" t="s">
        <v>126</v>
      </c>
      <c r="C15" s="11" t="s">
        <v>127</v>
      </c>
      <c r="D15" s="11" t="s">
        <v>128</v>
      </c>
      <c r="E15" s="12" t="s">
        <v>281</v>
      </c>
      <c r="F15" s="11" t="s">
        <v>251</v>
      </c>
      <c r="G15" s="28" t="s">
        <v>88</v>
      </c>
      <c r="H15" s="28" t="s">
        <v>54</v>
      </c>
      <c r="I15" s="27" t="s">
        <v>56</v>
      </c>
      <c r="J15" s="29"/>
      <c r="K15" s="13" t="str">
        <f>"47,5"</f>
        <v>47,5</v>
      </c>
      <c r="L15" s="13" t="str">
        <f>"43,6240"</f>
        <v>43,6240</v>
      </c>
      <c r="M15" s="11" t="s">
        <v>154</v>
      </c>
    </row>
    <row r="17" spans="1:13" ht="16">
      <c r="A17" s="61" t="s">
        <v>90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32" t="s">
        <v>47</v>
      </c>
      <c r="B18" s="14" t="s">
        <v>129</v>
      </c>
      <c r="C18" s="14" t="s">
        <v>130</v>
      </c>
      <c r="D18" s="14" t="s">
        <v>131</v>
      </c>
      <c r="E18" s="15" t="s">
        <v>283</v>
      </c>
      <c r="F18" s="14" t="s">
        <v>251</v>
      </c>
      <c r="G18" s="30" t="s">
        <v>82</v>
      </c>
      <c r="H18" s="30" t="s">
        <v>83</v>
      </c>
      <c r="I18" s="31" t="s">
        <v>63</v>
      </c>
      <c r="J18" s="32"/>
      <c r="K18" s="16" t="str">
        <f>"90,0"</f>
        <v>90,0</v>
      </c>
      <c r="L18" s="16" t="str">
        <f>"67,3740"</f>
        <v>67,3740</v>
      </c>
      <c r="M18" s="14" t="s">
        <v>154</v>
      </c>
    </row>
    <row r="19" spans="1:13">
      <c r="A19" s="35" t="s">
        <v>47</v>
      </c>
      <c r="B19" s="17" t="s">
        <v>132</v>
      </c>
      <c r="C19" s="17" t="s">
        <v>133</v>
      </c>
      <c r="D19" s="17" t="s">
        <v>134</v>
      </c>
      <c r="E19" s="18" t="s">
        <v>278</v>
      </c>
      <c r="F19" s="17" t="s">
        <v>251</v>
      </c>
      <c r="G19" s="33" t="s">
        <v>68</v>
      </c>
      <c r="H19" s="33" t="s">
        <v>20</v>
      </c>
      <c r="I19" s="34" t="s">
        <v>135</v>
      </c>
      <c r="J19" s="35"/>
      <c r="K19" s="19" t="str">
        <f>"130,0"</f>
        <v>130,0</v>
      </c>
      <c r="L19" s="19" t="str">
        <f>"93,5090"</f>
        <v>93,5090</v>
      </c>
      <c r="M19" s="17" t="s">
        <v>154</v>
      </c>
    </row>
    <row r="21" spans="1:13" ht="16">
      <c r="A21" s="61" t="s">
        <v>136</v>
      </c>
      <c r="B21" s="61"/>
      <c r="C21" s="61"/>
      <c r="D21" s="61"/>
      <c r="E21" s="62"/>
      <c r="F21" s="61"/>
      <c r="G21" s="61"/>
      <c r="H21" s="61"/>
      <c r="I21" s="61"/>
      <c r="J21" s="61"/>
    </row>
    <row r="22" spans="1:13">
      <c r="A22" s="29" t="s">
        <v>47</v>
      </c>
      <c r="B22" s="11" t="s">
        <v>137</v>
      </c>
      <c r="C22" s="11" t="s">
        <v>138</v>
      </c>
      <c r="D22" s="11" t="s">
        <v>139</v>
      </c>
      <c r="E22" s="12" t="s">
        <v>283</v>
      </c>
      <c r="F22" s="11" t="s">
        <v>252</v>
      </c>
      <c r="G22" s="28" t="s">
        <v>39</v>
      </c>
      <c r="H22" s="28" t="s">
        <v>20</v>
      </c>
      <c r="I22" s="28" t="s">
        <v>140</v>
      </c>
      <c r="J22" s="29"/>
      <c r="K22" s="13" t="str">
        <f>"145,0"</f>
        <v>145,0</v>
      </c>
      <c r="L22" s="13" t="str">
        <f>"98,0055"</f>
        <v>98,0055</v>
      </c>
      <c r="M22" s="11" t="s">
        <v>276</v>
      </c>
    </row>
    <row r="24" spans="1:13" ht="16">
      <c r="A24" s="61" t="s">
        <v>12</v>
      </c>
      <c r="B24" s="61"/>
      <c r="C24" s="61"/>
      <c r="D24" s="61"/>
      <c r="E24" s="62"/>
      <c r="F24" s="61"/>
      <c r="G24" s="61"/>
      <c r="H24" s="61"/>
      <c r="I24" s="61"/>
      <c r="J24" s="61"/>
    </row>
    <row r="25" spans="1:13">
      <c r="A25" s="29" t="s">
        <v>47</v>
      </c>
      <c r="B25" s="11" t="s">
        <v>141</v>
      </c>
      <c r="C25" s="11" t="s">
        <v>142</v>
      </c>
      <c r="D25" s="11" t="s">
        <v>143</v>
      </c>
      <c r="E25" s="12" t="s">
        <v>278</v>
      </c>
      <c r="F25" s="11" t="s">
        <v>250</v>
      </c>
      <c r="G25" s="28" t="s">
        <v>21</v>
      </c>
      <c r="H25" s="27" t="s">
        <v>144</v>
      </c>
      <c r="I25" s="27" t="s">
        <v>144</v>
      </c>
      <c r="J25" s="29"/>
      <c r="K25" s="13" t="str">
        <f>"140,0"</f>
        <v>140,0</v>
      </c>
      <c r="L25" s="13" t="str">
        <f>"89,9920"</f>
        <v>89,9920</v>
      </c>
      <c r="M25" s="11" t="s">
        <v>267</v>
      </c>
    </row>
    <row r="27" spans="1:13" ht="16">
      <c r="A27" s="61" t="s">
        <v>25</v>
      </c>
      <c r="B27" s="61"/>
      <c r="C27" s="61"/>
      <c r="D27" s="61"/>
      <c r="E27" s="62"/>
      <c r="F27" s="61"/>
      <c r="G27" s="61"/>
      <c r="H27" s="61"/>
      <c r="I27" s="61"/>
      <c r="J27" s="61"/>
    </row>
    <row r="28" spans="1:13">
      <c r="A28" s="32" t="s">
        <v>47</v>
      </c>
      <c r="B28" s="14" t="s">
        <v>145</v>
      </c>
      <c r="C28" s="14" t="s">
        <v>146</v>
      </c>
      <c r="D28" s="14" t="s">
        <v>147</v>
      </c>
      <c r="E28" s="15" t="s">
        <v>278</v>
      </c>
      <c r="F28" s="14" t="s">
        <v>251</v>
      </c>
      <c r="G28" s="30" t="s">
        <v>18</v>
      </c>
      <c r="H28" s="30" t="s">
        <v>148</v>
      </c>
      <c r="I28" s="31" t="s">
        <v>22</v>
      </c>
      <c r="J28" s="32"/>
      <c r="K28" s="16" t="str">
        <f>"175,0"</f>
        <v>175,0</v>
      </c>
      <c r="L28" s="16" t="str">
        <f>"107,1175"</f>
        <v>107,1175</v>
      </c>
      <c r="M28" s="14" t="s">
        <v>149</v>
      </c>
    </row>
    <row r="29" spans="1:13">
      <c r="A29" s="35" t="s">
        <v>167</v>
      </c>
      <c r="B29" s="17" t="s">
        <v>150</v>
      </c>
      <c r="C29" s="17" t="s">
        <v>151</v>
      </c>
      <c r="D29" s="17" t="s">
        <v>152</v>
      </c>
      <c r="E29" s="18" t="s">
        <v>278</v>
      </c>
      <c r="F29" s="17" t="s">
        <v>251</v>
      </c>
      <c r="G29" s="33" t="s">
        <v>16</v>
      </c>
      <c r="H29" s="33" t="s">
        <v>153</v>
      </c>
      <c r="I29" s="34" t="s">
        <v>94</v>
      </c>
      <c r="J29" s="35"/>
      <c r="K29" s="19" t="str">
        <f>"152,5"</f>
        <v>152,5</v>
      </c>
      <c r="L29" s="19" t="str">
        <f>"92,9945"</f>
        <v>92,9945</v>
      </c>
      <c r="M29" s="17" t="s">
        <v>154</v>
      </c>
    </row>
    <row r="31" spans="1:13" ht="16">
      <c r="A31" s="61" t="s">
        <v>155</v>
      </c>
      <c r="B31" s="61"/>
      <c r="C31" s="61"/>
      <c r="D31" s="61"/>
      <c r="E31" s="62"/>
      <c r="F31" s="61"/>
      <c r="G31" s="61"/>
      <c r="H31" s="61"/>
      <c r="I31" s="61"/>
      <c r="J31" s="61"/>
    </row>
    <row r="32" spans="1:13">
      <c r="A32" s="29" t="s">
        <v>47</v>
      </c>
      <c r="B32" s="11" t="s">
        <v>156</v>
      </c>
      <c r="C32" s="11" t="s">
        <v>157</v>
      </c>
      <c r="D32" s="11" t="s">
        <v>158</v>
      </c>
      <c r="E32" s="12" t="s">
        <v>278</v>
      </c>
      <c r="F32" s="11" t="s">
        <v>249</v>
      </c>
      <c r="G32" s="28" t="s">
        <v>18</v>
      </c>
      <c r="H32" s="28" t="s">
        <v>22</v>
      </c>
      <c r="I32" s="27" t="s">
        <v>159</v>
      </c>
      <c r="J32" s="29"/>
      <c r="K32" s="13" t="str">
        <f>"180,0"</f>
        <v>180,0</v>
      </c>
      <c r="L32" s="13" t="str">
        <f>"106,1100"</f>
        <v>106,1100</v>
      </c>
      <c r="M32" s="11" t="s">
        <v>112</v>
      </c>
    </row>
    <row r="34" spans="1:13" ht="16">
      <c r="A34" s="61" t="s">
        <v>160</v>
      </c>
      <c r="B34" s="61"/>
      <c r="C34" s="61"/>
      <c r="D34" s="61"/>
      <c r="E34" s="62"/>
      <c r="F34" s="61"/>
      <c r="G34" s="61"/>
      <c r="H34" s="61"/>
      <c r="I34" s="61"/>
      <c r="J34" s="61"/>
    </row>
    <row r="35" spans="1:13">
      <c r="A35" s="29" t="s">
        <v>47</v>
      </c>
      <c r="B35" s="11" t="s">
        <v>161</v>
      </c>
      <c r="C35" s="11" t="s">
        <v>162</v>
      </c>
      <c r="D35" s="11" t="s">
        <v>163</v>
      </c>
      <c r="E35" s="12" t="s">
        <v>278</v>
      </c>
      <c r="F35" s="11" t="s">
        <v>249</v>
      </c>
      <c r="G35" s="28" t="s">
        <v>29</v>
      </c>
      <c r="H35" s="28" t="s">
        <v>30</v>
      </c>
      <c r="I35" s="27" t="s">
        <v>164</v>
      </c>
      <c r="J35" s="29"/>
      <c r="K35" s="13" t="str">
        <f>"270,0"</f>
        <v>270,0</v>
      </c>
      <c r="L35" s="13" t="str">
        <f>"152,3880"</f>
        <v>152,3880</v>
      </c>
      <c r="M35" s="11" t="s">
        <v>112</v>
      </c>
    </row>
    <row r="37" spans="1:13" ht="16">
      <c r="F37" s="8"/>
      <c r="G37" s="5"/>
      <c r="K37" s="10"/>
      <c r="M37" s="7"/>
    </row>
    <row r="38" spans="1:13">
      <c r="G38" s="5"/>
      <c r="K38" s="10"/>
      <c r="M38" s="7"/>
    </row>
    <row r="39" spans="1:13" ht="18">
      <c r="B39" s="9" t="s">
        <v>8</v>
      </c>
      <c r="C39" s="9"/>
      <c r="G39" s="3"/>
      <c r="K39" s="10"/>
      <c r="M39" s="7"/>
    </row>
    <row r="40" spans="1:13" ht="16">
      <c r="B40" s="20" t="s">
        <v>41</v>
      </c>
      <c r="C40" s="20"/>
      <c r="G40" s="3"/>
      <c r="K40" s="10"/>
      <c r="M40" s="7"/>
    </row>
    <row r="41" spans="1:13" ht="14">
      <c r="B41" s="21"/>
      <c r="C41" s="22" t="s">
        <v>42</v>
      </c>
      <c r="G41" s="3"/>
      <c r="K41" s="10"/>
      <c r="M41" s="7"/>
    </row>
    <row r="42" spans="1:13" ht="14">
      <c r="B42" s="23" t="s">
        <v>43</v>
      </c>
      <c r="C42" s="23" t="s">
        <v>44</v>
      </c>
      <c r="D42" s="23" t="s">
        <v>268</v>
      </c>
      <c r="E42" s="24" t="s">
        <v>113</v>
      </c>
      <c r="F42" s="23" t="s">
        <v>45</v>
      </c>
      <c r="G42" s="3"/>
      <c r="K42" s="10"/>
      <c r="M42" s="7"/>
    </row>
    <row r="43" spans="1:13">
      <c r="B43" s="5" t="s">
        <v>161</v>
      </c>
      <c r="C43" s="5" t="s">
        <v>42</v>
      </c>
      <c r="D43" s="10" t="s">
        <v>165</v>
      </c>
      <c r="E43" s="26">
        <v>270</v>
      </c>
      <c r="F43" s="25">
        <v>152.38800466060599</v>
      </c>
      <c r="G43" s="3"/>
      <c r="K43" s="10"/>
      <c r="M43" s="7"/>
    </row>
    <row r="44" spans="1:13">
      <c r="B44" s="5" t="s">
        <v>145</v>
      </c>
      <c r="C44" s="5" t="s">
        <v>42</v>
      </c>
      <c r="D44" s="10" t="s">
        <v>46</v>
      </c>
      <c r="E44" s="26">
        <v>175</v>
      </c>
      <c r="F44" s="25">
        <v>107.117500901222</v>
      </c>
      <c r="G44" s="3"/>
      <c r="K44" s="10"/>
      <c r="M44" s="7"/>
    </row>
    <row r="45" spans="1:13">
      <c r="B45" s="5" t="s">
        <v>156</v>
      </c>
      <c r="C45" s="5" t="s">
        <v>42</v>
      </c>
      <c r="D45" s="10" t="s">
        <v>166</v>
      </c>
      <c r="E45" s="26">
        <v>180</v>
      </c>
      <c r="F45" s="25">
        <v>106.110001802444</v>
      </c>
      <c r="G45" s="3"/>
      <c r="K45" s="10"/>
      <c r="M45" s="7"/>
    </row>
    <row r="46" spans="1:13">
      <c r="E46" s="5"/>
      <c r="F46" s="6"/>
      <c r="G46" s="5"/>
      <c r="K46" s="10"/>
      <c r="M46" s="7"/>
    </row>
  </sheetData>
  <mergeCells count="21">
    <mergeCell ref="A27:J27"/>
    <mergeCell ref="A31:J31"/>
    <mergeCell ref="A34:J34"/>
    <mergeCell ref="B3:B4"/>
    <mergeCell ref="A8:J8"/>
    <mergeCell ref="A11:J11"/>
    <mergeCell ref="A14:J14"/>
    <mergeCell ref="A17:J17"/>
    <mergeCell ref="A21:J21"/>
    <mergeCell ref="A24:J2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M21"/>
  <sheetViews>
    <sheetView workbookViewId="0">
      <selection activeCell="E22" sqref="E22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29.6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6.5" style="5" bestFit="1" customWidth="1"/>
    <col min="14" max="16384" width="9.1640625" style="3"/>
  </cols>
  <sheetData>
    <row r="1" spans="1:13" s="2" customFormat="1" ht="29" customHeight="1">
      <c r="A1" s="46" t="s">
        <v>260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10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76</v>
      </c>
      <c r="C6" s="11" t="s">
        <v>77</v>
      </c>
      <c r="D6" s="11" t="s">
        <v>78</v>
      </c>
      <c r="E6" s="12" t="s">
        <v>281</v>
      </c>
      <c r="F6" s="11" t="s">
        <v>250</v>
      </c>
      <c r="G6" s="28" t="s">
        <v>79</v>
      </c>
      <c r="H6" s="28" t="s">
        <v>80</v>
      </c>
      <c r="I6" s="27" t="s">
        <v>81</v>
      </c>
      <c r="J6" s="29"/>
      <c r="K6" s="13" t="str">
        <f>"40,0"</f>
        <v>40,0</v>
      </c>
      <c r="L6" s="13" t="str">
        <f>"44,5000"</f>
        <v>44,5000</v>
      </c>
      <c r="M6" s="11" t="s">
        <v>213</v>
      </c>
    </row>
    <row r="8" spans="1:13" ht="16">
      <c r="A8" s="61" t="s">
        <v>48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9" t="s">
        <v>47</v>
      </c>
      <c r="B9" s="11" t="s">
        <v>85</v>
      </c>
      <c r="C9" s="11" t="s">
        <v>86</v>
      </c>
      <c r="D9" s="11" t="s">
        <v>87</v>
      </c>
      <c r="E9" s="12" t="s">
        <v>281</v>
      </c>
      <c r="F9" s="11" t="s">
        <v>253</v>
      </c>
      <c r="G9" s="28" t="s">
        <v>88</v>
      </c>
      <c r="H9" s="28" t="s">
        <v>56</v>
      </c>
      <c r="I9" s="28" t="s">
        <v>66</v>
      </c>
      <c r="J9" s="29"/>
      <c r="K9" s="13" t="str">
        <f>"57,5"</f>
        <v>57,5</v>
      </c>
      <c r="L9" s="13" t="str">
        <f>"49,4960"</f>
        <v>49,4960</v>
      </c>
      <c r="M9" s="11" t="s">
        <v>89</v>
      </c>
    </row>
    <row r="11" spans="1:13" ht="16">
      <c r="A11" s="61" t="s">
        <v>90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9" t="s">
        <v>47</v>
      </c>
      <c r="B12" s="11" t="s">
        <v>91</v>
      </c>
      <c r="C12" s="11" t="s">
        <v>92</v>
      </c>
      <c r="D12" s="11" t="s">
        <v>93</v>
      </c>
      <c r="E12" s="12" t="s">
        <v>278</v>
      </c>
      <c r="F12" s="11" t="s">
        <v>254</v>
      </c>
      <c r="G12" s="28" t="s">
        <v>16</v>
      </c>
      <c r="H12" s="27" t="s">
        <v>94</v>
      </c>
      <c r="I12" s="27" t="s">
        <v>94</v>
      </c>
      <c r="J12" s="29"/>
      <c r="K12" s="13" t="str">
        <f>"150,0"</f>
        <v>150,0</v>
      </c>
      <c r="L12" s="13" t="str">
        <f>"108,3150"</f>
        <v>108,3150</v>
      </c>
      <c r="M12" s="11" t="s">
        <v>95</v>
      </c>
    </row>
    <row r="14" spans="1:13" ht="16">
      <c r="A14" s="61" t="s">
        <v>12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9" t="s">
        <v>47</v>
      </c>
      <c r="B15" s="11" t="s">
        <v>96</v>
      </c>
      <c r="C15" s="11" t="s">
        <v>97</v>
      </c>
      <c r="D15" s="11" t="s">
        <v>98</v>
      </c>
      <c r="E15" s="12" t="s">
        <v>278</v>
      </c>
      <c r="F15" s="11" t="s">
        <v>99</v>
      </c>
      <c r="G15" s="28" t="s">
        <v>17</v>
      </c>
      <c r="H15" s="28" t="s">
        <v>100</v>
      </c>
      <c r="I15" s="28" t="s">
        <v>18</v>
      </c>
      <c r="J15" s="29"/>
      <c r="K15" s="13" t="str">
        <f>"170,0"</f>
        <v>170,0</v>
      </c>
      <c r="L15" s="13" t="str">
        <f>"110,9760"</f>
        <v>110,9760</v>
      </c>
      <c r="M15" s="11" t="s">
        <v>276</v>
      </c>
    </row>
    <row r="17" spans="1:13" ht="16">
      <c r="A17" s="61" t="s">
        <v>25</v>
      </c>
      <c r="B17" s="61"/>
      <c r="C17" s="61"/>
      <c r="D17" s="61"/>
      <c r="E17" s="62"/>
      <c r="F17" s="61"/>
      <c r="G17" s="61"/>
      <c r="H17" s="61"/>
      <c r="I17" s="61"/>
      <c r="J17" s="61"/>
    </row>
    <row r="18" spans="1:13">
      <c r="A18" s="29" t="s">
        <v>47</v>
      </c>
      <c r="B18" s="11" t="s">
        <v>101</v>
      </c>
      <c r="C18" s="11" t="s">
        <v>102</v>
      </c>
      <c r="D18" s="11" t="s">
        <v>103</v>
      </c>
      <c r="E18" s="12" t="s">
        <v>281</v>
      </c>
      <c r="F18" s="11" t="s">
        <v>269</v>
      </c>
      <c r="G18" s="28" t="s">
        <v>104</v>
      </c>
      <c r="H18" s="28" t="s">
        <v>82</v>
      </c>
      <c r="I18" s="28" t="s">
        <v>105</v>
      </c>
      <c r="J18" s="29"/>
      <c r="K18" s="13" t="str">
        <f>"82,5"</f>
        <v>82,5</v>
      </c>
      <c r="L18" s="13" t="str">
        <f>"50,9850"</f>
        <v>50,9850</v>
      </c>
      <c r="M18" s="11" t="s">
        <v>89</v>
      </c>
    </row>
    <row r="20" spans="1:13" ht="16">
      <c r="A20" s="61" t="s">
        <v>106</v>
      </c>
      <c r="B20" s="61"/>
      <c r="C20" s="61"/>
      <c r="D20" s="61"/>
      <c r="E20" s="62"/>
      <c r="F20" s="61"/>
      <c r="G20" s="61"/>
      <c r="H20" s="61"/>
      <c r="I20" s="61"/>
      <c r="J20" s="61"/>
    </row>
    <row r="21" spans="1:13">
      <c r="A21" s="29" t="s">
        <v>47</v>
      </c>
      <c r="B21" s="11" t="s">
        <v>107</v>
      </c>
      <c r="C21" s="11" t="s">
        <v>108</v>
      </c>
      <c r="D21" s="11" t="s">
        <v>109</v>
      </c>
      <c r="E21" s="12" t="s">
        <v>278</v>
      </c>
      <c r="F21" s="11" t="s">
        <v>249</v>
      </c>
      <c r="G21" s="28" t="s">
        <v>23</v>
      </c>
      <c r="H21" s="28" t="s">
        <v>110</v>
      </c>
      <c r="I21" s="28" t="s">
        <v>111</v>
      </c>
      <c r="J21" s="29"/>
      <c r="K21" s="13" t="str">
        <f>"210,0"</f>
        <v>210,0</v>
      </c>
      <c r="L21" s="13" t="str">
        <f>"119,7000"</f>
        <v>119,7000</v>
      </c>
      <c r="M21" s="11" t="s">
        <v>112</v>
      </c>
    </row>
  </sheetData>
  <mergeCells count="17">
    <mergeCell ref="A20:J20"/>
    <mergeCell ref="A5:J5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M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1640625" style="5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17.33203125" style="5" bestFit="1" customWidth="1"/>
    <col min="7" max="8" width="5.5" style="10" customWidth="1"/>
    <col min="9" max="9" width="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19.5" style="5" customWidth="1"/>
    <col min="14" max="16384" width="9.1640625" style="3"/>
  </cols>
  <sheetData>
    <row r="1" spans="1:13" s="2" customFormat="1" ht="29" customHeight="1">
      <c r="A1" s="46" t="s">
        <v>261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10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160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168</v>
      </c>
      <c r="C6" s="11" t="s">
        <v>169</v>
      </c>
      <c r="D6" s="11" t="s">
        <v>170</v>
      </c>
      <c r="E6" s="12" t="s">
        <v>279</v>
      </c>
      <c r="F6" s="11" t="s">
        <v>171</v>
      </c>
      <c r="G6" s="28" t="s">
        <v>29</v>
      </c>
      <c r="H6" s="27" t="s">
        <v>30</v>
      </c>
      <c r="I6" s="29"/>
      <c r="J6" s="29"/>
      <c r="K6" s="13" t="str">
        <f>"260,0"</f>
        <v>260,0</v>
      </c>
      <c r="L6" s="13" t="str">
        <f>"177,4966"</f>
        <v>177,4966</v>
      </c>
      <c r="M6" s="11" t="s">
        <v>276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M15"/>
  <sheetViews>
    <sheetView workbookViewId="0">
      <selection activeCell="E16" sqref="E16"/>
    </sheetView>
  </sheetViews>
  <sheetFormatPr baseColWidth="10" defaultColWidth="9.1640625" defaultRowHeight="13"/>
  <cols>
    <col min="1" max="1" width="7.5" style="5" bestFit="1" customWidth="1"/>
    <col min="2" max="2" width="21.6640625" style="5" customWidth="1"/>
    <col min="3" max="3" width="26.5" style="5" bestFit="1" customWidth="1"/>
    <col min="4" max="4" width="21.5" style="5" bestFit="1" customWidth="1"/>
    <col min="5" max="5" width="10.5" style="6" bestFit="1" customWidth="1"/>
    <col min="6" max="6" width="30.5" style="5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0.33203125" style="5" customWidth="1"/>
    <col min="14" max="16384" width="9.1640625" style="3"/>
  </cols>
  <sheetData>
    <row r="1" spans="1:13" s="2" customFormat="1" ht="29" customHeight="1">
      <c r="A1" s="46" t="s">
        <v>262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10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29" t="s">
        <v>47</v>
      </c>
      <c r="B6" s="11" t="s">
        <v>172</v>
      </c>
      <c r="C6" s="11" t="s">
        <v>173</v>
      </c>
      <c r="D6" s="11" t="s">
        <v>174</v>
      </c>
      <c r="E6" s="12" t="s">
        <v>278</v>
      </c>
      <c r="F6" s="11" t="s">
        <v>251</v>
      </c>
      <c r="G6" s="28" t="s">
        <v>55</v>
      </c>
      <c r="H6" s="28" t="s">
        <v>56</v>
      </c>
      <c r="I6" s="28" t="s">
        <v>65</v>
      </c>
      <c r="J6" s="29"/>
      <c r="K6" s="13" t="str">
        <f>"55,0"</f>
        <v>55,0</v>
      </c>
      <c r="L6" s="13" t="str">
        <f>"68,8710"</f>
        <v>68,8710</v>
      </c>
      <c r="M6" s="11" t="s">
        <v>154</v>
      </c>
    </row>
    <row r="8" spans="1:13" ht="16">
      <c r="A8" s="61" t="s">
        <v>125</v>
      </c>
      <c r="B8" s="61"/>
      <c r="C8" s="61"/>
      <c r="D8" s="61"/>
      <c r="E8" s="62"/>
      <c r="F8" s="61"/>
      <c r="G8" s="61"/>
      <c r="H8" s="61"/>
      <c r="I8" s="61"/>
      <c r="J8" s="61"/>
    </row>
    <row r="9" spans="1:13">
      <c r="A9" s="29" t="s">
        <v>47</v>
      </c>
      <c r="B9" s="11" t="s">
        <v>126</v>
      </c>
      <c r="C9" s="11" t="s">
        <v>127</v>
      </c>
      <c r="D9" s="11" t="s">
        <v>128</v>
      </c>
      <c r="E9" s="12" t="s">
        <v>281</v>
      </c>
      <c r="F9" s="11" t="s">
        <v>251</v>
      </c>
      <c r="G9" s="28" t="s">
        <v>80</v>
      </c>
      <c r="H9" s="28" t="s">
        <v>88</v>
      </c>
      <c r="I9" s="28" t="s">
        <v>55</v>
      </c>
      <c r="J9" s="29"/>
      <c r="K9" s="13" t="str">
        <f>"50,0"</f>
        <v>50,0</v>
      </c>
      <c r="L9" s="13" t="str">
        <f>"45,9200"</f>
        <v>45,9200</v>
      </c>
      <c r="M9" s="11" t="s">
        <v>124</v>
      </c>
    </row>
    <row r="11" spans="1:13" ht="16">
      <c r="A11" s="61" t="s">
        <v>136</v>
      </c>
      <c r="B11" s="61"/>
      <c r="C11" s="61"/>
      <c r="D11" s="61"/>
      <c r="E11" s="62"/>
      <c r="F11" s="61"/>
      <c r="G11" s="61"/>
      <c r="H11" s="61"/>
      <c r="I11" s="61"/>
      <c r="J11" s="61"/>
    </row>
    <row r="12" spans="1:13">
      <c r="A12" s="29" t="s">
        <v>47</v>
      </c>
      <c r="B12" s="11" t="s">
        <v>175</v>
      </c>
      <c r="C12" s="11" t="s">
        <v>176</v>
      </c>
      <c r="D12" s="11" t="s">
        <v>177</v>
      </c>
      <c r="E12" s="12" t="s">
        <v>278</v>
      </c>
      <c r="F12" s="11" t="s">
        <v>251</v>
      </c>
      <c r="G12" s="28" t="s">
        <v>19</v>
      </c>
      <c r="H12" s="28" t="s">
        <v>20</v>
      </c>
      <c r="I12" s="28" t="s">
        <v>135</v>
      </c>
      <c r="J12" s="29"/>
      <c r="K12" s="13" t="str">
        <f>"135,0"</f>
        <v>135,0</v>
      </c>
      <c r="L12" s="13" t="str">
        <f>"91,1115"</f>
        <v>91,1115</v>
      </c>
      <c r="M12" s="11" t="s">
        <v>178</v>
      </c>
    </row>
    <row r="14" spans="1:13" ht="16">
      <c r="A14" s="61" t="s">
        <v>25</v>
      </c>
      <c r="B14" s="61"/>
      <c r="C14" s="61"/>
      <c r="D14" s="61"/>
      <c r="E14" s="62"/>
      <c r="F14" s="61"/>
      <c r="G14" s="61"/>
      <c r="H14" s="61"/>
      <c r="I14" s="61"/>
      <c r="J14" s="61"/>
    </row>
    <row r="15" spans="1:13">
      <c r="A15" s="29" t="s">
        <v>47</v>
      </c>
      <c r="B15" s="11" t="s">
        <v>179</v>
      </c>
      <c r="C15" s="11" t="s">
        <v>180</v>
      </c>
      <c r="D15" s="11" t="s">
        <v>181</v>
      </c>
      <c r="E15" s="12" t="s">
        <v>278</v>
      </c>
      <c r="F15" s="11" t="s">
        <v>248</v>
      </c>
      <c r="G15" s="28" t="s">
        <v>18</v>
      </c>
      <c r="H15" s="27" t="s">
        <v>159</v>
      </c>
      <c r="I15" s="27" t="s">
        <v>159</v>
      </c>
      <c r="J15" s="29"/>
      <c r="K15" s="13" t="str">
        <f>"170,0"</f>
        <v>170,0</v>
      </c>
      <c r="L15" s="13" t="str">
        <f>"107,1170"</f>
        <v>107,1170</v>
      </c>
      <c r="M15" s="11" t="s">
        <v>182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M17"/>
  <sheetViews>
    <sheetView workbookViewId="0">
      <selection activeCell="E18" sqref="E18"/>
    </sheetView>
  </sheetViews>
  <sheetFormatPr baseColWidth="10" defaultColWidth="9.1640625" defaultRowHeight="13"/>
  <cols>
    <col min="1" max="1" width="7.5" style="5" bestFit="1" customWidth="1"/>
    <col min="2" max="2" width="22" style="5" bestFit="1" customWidth="1"/>
    <col min="3" max="3" width="27.5" style="5" bestFit="1" customWidth="1"/>
    <col min="4" max="4" width="21.5" style="5" bestFit="1" customWidth="1"/>
    <col min="5" max="5" width="10.5" style="6" bestFit="1" customWidth="1"/>
    <col min="6" max="6" width="27.6640625" style="5" bestFit="1" customWidth="1"/>
    <col min="7" max="9" width="5.5" style="10" customWidth="1"/>
    <col min="10" max="10" width="4.83203125" style="10" customWidth="1"/>
    <col min="11" max="11" width="10.5" style="7" bestFit="1" customWidth="1"/>
    <col min="12" max="12" width="8.5" style="7" bestFit="1" customWidth="1"/>
    <col min="13" max="13" width="20.6640625" style="5" customWidth="1"/>
    <col min="14" max="16384" width="9.1640625" style="3"/>
  </cols>
  <sheetData>
    <row r="1" spans="1:13" s="2" customFormat="1" ht="29" customHeight="1">
      <c r="A1" s="46" t="s">
        <v>263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2" customFormat="1" ht="62" customHeight="1" thickBot="1">
      <c r="A2" s="50"/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</row>
    <row r="3" spans="1:13" s="1" customFormat="1" ht="12.75" customHeight="1">
      <c r="A3" s="54" t="s">
        <v>275</v>
      </c>
      <c r="B3" s="63" t="s">
        <v>0</v>
      </c>
      <c r="C3" s="56" t="s">
        <v>280</v>
      </c>
      <c r="D3" s="56" t="s">
        <v>7</v>
      </c>
      <c r="E3" s="58" t="s">
        <v>277</v>
      </c>
      <c r="F3" s="60" t="s">
        <v>6</v>
      </c>
      <c r="G3" s="60" t="s">
        <v>11</v>
      </c>
      <c r="H3" s="60"/>
      <c r="I3" s="60"/>
      <c r="J3" s="60"/>
      <c r="K3" s="58" t="s">
        <v>74</v>
      </c>
      <c r="L3" s="58" t="s">
        <v>3</v>
      </c>
      <c r="M3" s="42" t="s">
        <v>2</v>
      </c>
    </row>
    <row r="4" spans="1:13" s="1" customFormat="1" ht="21" customHeight="1" thickBot="1">
      <c r="A4" s="55"/>
      <c r="B4" s="64"/>
      <c r="C4" s="57"/>
      <c r="D4" s="57"/>
      <c r="E4" s="59"/>
      <c r="F4" s="57"/>
      <c r="G4" s="4">
        <v>1</v>
      </c>
      <c r="H4" s="4">
        <v>2</v>
      </c>
      <c r="I4" s="4">
        <v>3</v>
      </c>
      <c r="J4" s="4" t="s">
        <v>4</v>
      </c>
      <c r="K4" s="59"/>
      <c r="L4" s="59"/>
      <c r="M4" s="43"/>
    </row>
    <row r="5" spans="1:13" ht="16">
      <c r="A5" s="44" t="s">
        <v>75</v>
      </c>
      <c r="B5" s="44"/>
      <c r="C5" s="45"/>
      <c r="D5" s="45"/>
      <c r="E5" s="45"/>
      <c r="F5" s="45"/>
      <c r="G5" s="45"/>
      <c r="H5" s="45"/>
      <c r="I5" s="45"/>
      <c r="J5" s="45"/>
    </row>
    <row r="6" spans="1:13">
      <c r="A6" s="32" t="s">
        <v>47</v>
      </c>
      <c r="B6" s="14" t="s">
        <v>199</v>
      </c>
      <c r="C6" s="14" t="s">
        <v>200</v>
      </c>
      <c r="D6" s="14" t="s">
        <v>116</v>
      </c>
      <c r="E6" s="15" t="s">
        <v>282</v>
      </c>
      <c r="F6" s="14" t="s">
        <v>201</v>
      </c>
      <c r="G6" s="30" t="s">
        <v>104</v>
      </c>
      <c r="H6" s="31" t="s">
        <v>202</v>
      </c>
      <c r="I6" s="30" t="s">
        <v>202</v>
      </c>
      <c r="J6" s="32"/>
      <c r="K6" s="16" t="str">
        <f>"75,0"</f>
        <v>75,0</v>
      </c>
      <c r="L6" s="16" t="str">
        <f>"94,0575"</f>
        <v>94,0575</v>
      </c>
      <c r="M6" s="14" t="s">
        <v>276</v>
      </c>
    </row>
    <row r="7" spans="1:13">
      <c r="A7" s="35" t="s">
        <v>47</v>
      </c>
      <c r="B7" s="17" t="s">
        <v>172</v>
      </c>
      <c r="C7" s="17" t="s">
        <v>173</v>
      </c>
      <c r="D7" s="17" t="s">
        <v>174</v>
      </c>
      <c r="E7" s="18" t="s">
        <v>278</v>
      </c>
      <c r="F7" s="17" t="s">
        <v>251</v>
      </c>
      <c r="G7" s="33" t="s">
        <v>63</v>
      </c>
      <c r="H7" s="34" t="s">
        <v>57</v>
      </c>
      <c r="I7" s="34" t="s">
        <v>57</v>
      </c>
      <c r="J7" s="35"/>
      <c r="K7" s="19" t="str">
        <f>"100,0"</f>
        <v>100,0</v>
      </c>
      <c r="L7" s="19" t="str">
        <f>"125,2200"</f>
        <v>125,2200</v>
      </c>
      <c r="M7" s="17" t="s">
        <v>154</v>
      </c>
    </row>
    <row r="9" spans="1:13" ht="16">
      <c r="A9" s="61" t="s">
        <v>59</v>
      </c>
      <c r="B9" s="61"/>
      <c r="C9" s="61"/>
      <c r="D9" s="61"/>
      <c r="E9" s="62"/>
      <c r="F9" s="61"/>
      <c r="G9" s="61"/>
      <c r="H9" s="61"/>
      <c r="I9" s="61"/>
      <c r="J9" s="61"/>
    </row>
    <row r="10" spans="1:13">
      <c r="A10" s="29" t="s">
        <v>47</v>
      </c>
      <c r="B10" s="11" t="s">
        <v>203</v>
      </c>
      <c r="C10" s="11" t="s">
        <v>204</v>
      </c>
      <c r="D10" s="11" t="s">
        <v>205</v>
      </c>
      <c r="E10" s="12" t="s">
        <v>278</v>
      </c>
      <c r="F10" s="11" t="s">
        <v>251</v>
      </c>
      <c r="G10" s="28" t="s">
        <v>21</v>
      </c>
      <c r="H10" s="27" t="s">
        <v>16</v>
      </c>
      <c r="I10" s="27" t="s">
        <v>16</v>
      </c>
      <c r="J10" s="29"/>
      <c r="K10" s="13" t="str">
        <f>"140,0"</f>
        <v>140,0</v>
      </c>
      <c r="L10" s="13" t="str">
        <f>"108,8500"</f>
        <v>108,8500</v>
      </c>
      <c r="M10" s="11" t="s">
        <v>124</v>
      </c>
    </row>
    <row r="12" spans="1:13" ht="16">
      <c r="A12" s="61" t="s">
        <v>136</v>
      </c>
      <c r="B12" s="61"/>
      <c r="C12" s="61"/>
      <c r="D12" s="61"/>
      <c r="E12" s="62"/>
      <c r="F12" s="61"/>
      <c r="G12" s="61"/>
      <c r="H12" s="61"/>
      <c r="I12" s="61"/>
      <c r="J12" s="61"/>
    </row>
    <row r="13" spans="1:13">
      <c r="A13" s="32" t="s">
        <v>47</v>
      </c>
      <c r="B13" s="14" t="s">
        <v>137</v>
      </c>
      <c r="C13" s="14" t="s">
        <v>138</v>
      </c>
      <c r="D13" s="14" t="s">
        <v>139</v>
      </c>
      <c r="E13" s="15" t="s">
        <v>283</v>
      </c>
      <c r="F13" s="14" t="s">
        <v>252</v>
      </c>
      <c r="G13" s="30" t="s">
        <v>148</v>
      </c>
      <c r="H13" s="31" t="s">
        <v>23</v>
      </c>
      <c r="I13" s="30" t="s">
        <v>110</v>
      </c>
      <c r="J13" s="32"/>
      <c r="K13" s="16" t="str">
        <f>"202,5"</f>
        <v>202,5</v>
      </c>
      <c r="L13" s="16" t="str">
        <f>"136,8697"</f>
        <v>136,8697</v>
      </c>
      <c r="M13" s="14" t="s">
        <v>276</v>
      </c>
    </row>
    <row r="14" spans="1:13">
      <c r="A14" s="35" t="s">
        <v>47</v>
      </c>
      <c r="B14" s="17" t="s">
        <v>206</v>
      </c>
      <c r="C14" s="17" t="s">
        <v>207</v>
      </c>
      <c r="D14" s="17" t="s">
        <v>177</v>
      </c>
      <c r="E14" s="18" t="s">
        <v>285</v>
      </c>
      <c r="F14" s="17" t="s">
        <v>249</v>
      </c>
      <c r="G14" s="33" t="s">
        <v>100</v>
      </c>
      <c r="H14" s="33" t="s">
        <v>18</v>
      </c>
      <c r="I14" s="33" t="s">
        <v>22</v>
      </c>
      <c r="J14" s="35"/>
      <c r="K14" s="19" t="str">
        <f>"180,0"</f>
        <v>180,0</v>
      </c>
      <c r="L14" s="19" t="str">
        <f>"126,8272"</f>
        <v>126,8272</v>
      </c>
      <c r="M14" s="17" t="s">
        <v>69</v>
      </c>
    </row>
    <row r="16" spans="1:13" ht="16">
      <c r="A16" s="61" t="s">
        <v>155</v>
      </c>
      <c r="B16" s="61"/>
      <c r="C16" s="61"/>
      <c r="D16" s="61"/>
      <c r="E16" s="62"/>
      <c r="F16" s="61"/>
      <c r="G16" s="61"/>
      <c r="H16" s="61"/>
      <c r="I16" s="61"/>
      <c r="J16" s="61"/>
    </row>
    <row r="17" spans="1:13">
      <c r="A17" s="29" t="s">
        <v>47</v>
      </c>
      <c r="B17" s="11" t="s">
        <v>208</v>
      </c>
      <c r="C17" s="11" t="s">
        <v>209</v>
      </c>
      <c r="D17" s="11" t="s">
        <v>210</v>
      </c>
      <c r="E17" s="12" t="s">
        <v>278</v>
      </c>
      <c r="F17" s="11" t="s">
        <v>250</v>
      </c>
      <c r="G17" s="28" t="s">
        <v>211</v>
      </c>
      <c r="H17" s="27" t="s">
        <v>212</v>
      </c>
      <c r="I17" s="27" t="s">
        <v>212</v>
      </c>
      <c r="J17" s="29"/>
      <c r="K17" s="13" t="str">
        <f>"200,0"</f>
        <v>200,0</v>
      </c>
      <c r="L17" s="13" t="str">
        <f>"117,7000"</f>
        <v>117,7000</v>
      </c>
      <c r="M17" s="11" t="s">
        <v>213</v>
      </c>
    </row>
  </sheetData>
  <mergeCells count="15">
    <mergeCell ref="A9:J9"/>
    <mergeCell ref="A12:J12"/>
    <mergeCell ref="A16:J16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WRPF ПЛ без экипировки ДК</vt:lpstr>
      <vt:lpstr>WRPF ПЛ без экипировки</vt:lpstr>
      <vt:lpstr>WRPF Двоеборье без экип ДК</vt:lpstr>
      <vt:lpstr>WRPF Двоеборье без экип</vt:lpstr>
      <vt:lpstr>WRPF Жим лежа без экип ДК</vt:lpstr>
      <vt:lpstr>WRPF Жим лежа без экип</vt:lpstr>
      <vt:lpstr>WEPF Жим однослой</vt:lpstr>
      <vt:lpstr>WRPF Военный жим ДК</vt:lpstr>
      <vt:lpstr>WRPF Тяга без экипировки ДК</vt:lpstr>
      <vt:lpstr>WRPF Тяга без экипировки</vt:lpstr>
      <vt:lpstr>WRPF Подъем на бицепс ДК</vt:lpstr>
      <vt:lpstr>WRPF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2022-09-17T07:37:43Z</dcterms:modified>
</cp:coreProperties>
</file>