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1B1923E7-8F00-8241-A2CB-75136F7B44FA}" xr6:coauthVersionLast="45" xr6:coauthVersionMax="47" xr10:uidLastSave="{00000000-0000-0000-0000-000000000000}"/>
  <bookViews>
    <workbookView xWindow="0" yWindow="460" windowWidth="28800" windowHeight="16080" tabRatio="954" firstSheet="29" activeTab="29" xr2:uid="{00000000-000D-0000-FFFF-FFFF00000000}"/>
  </bookViews>
  <sheets>
    <sheet name="IPL ПЛ без экипировки ДК" sheetId="8" r:id="rId1"/>
    <sheet name="IPL ПЛ без экипировки" sheetId="7" r:id="rId2"/>
    <sheet name="IPL ПЛ в бинтах ДК" sheetId="10" r:id="rId3"/>
    <sheet name="IPL ПЛ в бинтах" sheetId="9" r:id="rId4"/>
    <sheet name="IPL ПЛ однослой" sheetId="5" r:id="rId5"/>
    <sheet name="IPL Двоеборье без экип ДК" sheetId="25" r:id="rId6"/>
    <sheet name="IPL Двоеборье без экип" sheetId="24" r:id="rId7"/>
    <sheet name="IPL Двоеборье экип" sheetId="26" r:id="rId8"/>
    <sheet name="IPL Присед без экипировки ДК" sheetId="21" r:id="rId9"/>
    <sheet name="IPL Присед без экипировки" sheetId="20" r:id="rId10"/>
    <sheet name="IPL Присед в бинтах ДК" sheetId="23" r:id="rId11"/>
    <sheet name="IPL Присед в бинтах" sheetId="22" r:id="rId12"/>
    <sheet name="IPL Жим без экипировки ДК" sheetId="12" r:id="rId13"/>
    <sheet name="IPL Жим без экипировки" sheetId="11" r:id="rId14"/>
    <sheet name="IPL Жим однослой ДК" sheetId="14" r:id="rId15"/>
    <sheet name="IPL Жим однослой" sheetId="13" r:id="rId16"/>
    <sheet name="IPL Жим многослой" sheetId="15" r:id="rId17"/>
    <sheet name="СПР Жим софт однопетельная ДК" sheetId="65" r:id="rId18"/>
    <sheet name="СПР Жим софт однопетельная" sheetId="64" r:id="rId19"/>
    <sheet name="СПР Жим софт многопетельная ДК" sheetId="67" r:id="rId20"/>
    <sheet name="СПР Жим софт многопетельная" sheetId="66" r:id="rId21"/>
    <sheet name="СПР Жим СФО" sheetId="63" r:id="rId22"/>
    <sheet name="IPL Тяга без экипировки ДК" sheetId="17" r:id="rId23"/>
    <sheet name="IPL Тяга без экипировки" sheetId="16" r:id="rId24"/>
    <sheet name="IPL Тяга однослой ДК" sheetId="19" r:id="rId25"/>
    <sheet name="СПР Пауэрспорт ДК" sheetId="53" r:id="rId26"/>
    <sheet name="СПР Пауэрспорт" sheetId="52" r:id="rId27"/>
    <sheet name="СПР Жим стоя" sheetId="48" r:id="rId28"/>
    <sheet name="СПР Подъем на бицепс ДК" sheetId="51" r:id="rId29"/>
    <sheet name="СПР Подъем на бицепс" sheetId="50" r:id="rId30"/>
  </sheets>
  <definedNames>
    <definedName name="_FilterDatabase" localSheetId="4" hidden="1">'IPL ПЛ однослой'!$A$1:$S$3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67" l="1"/>
  <c r="K11" i="67"/>
  <c r="L10" i="67"/>
  <c r="K10" i="67"/>
  <c r="L7" i="67"/>
  <c r="K7" i="67"/>
  <c r="L6" i="67"/>
  <c r="K6" i="67"/>
  <c r="L20" i="66"/>
  <c r="K20" i="66"/>
  <c r="L17" i="66"/>
  <c r="K17" i="66"/>
  <c r="L16" i="66"/>
  <c r="K16" i="66"/>
  <c r="L13" i="66"/>
  <c r="L10" i="66"/>
  <c r="K10" i="66"/>
  <c r="L7" i="66"/>
  <c r="K7" i="66"/>
  <c r="L6" i="66"/>
  <c r="K6" i="66"/>
  <c r="L28" i="65"/>
  <c r="K28" i="65"/>
  <c r="L27" i="65"/>
  <c r="K27" i="65"/>
  <c r="L24" i="65"/>
  <c r="K24" i="65"/>
  <c r="L21" i="65"/>
  <c r="K21" i="65"/>
  <c r="L18" i="65"/>
  <c r="K18" i="65"/>
  <c r="L15" i="65"/>
  <c r="K15" i="65"/>
  <c r="L14" i="65"/>
  <c r="K14" i="65"/>
  <c r="L11" i="65"/>
  <c r="K11" i="65"/>
  <c r="L10" i="65"/>
  <c r="L9" i="65"/>
  <c r="K9" i="65"/>
  <c r="L6" i="65"/>
  <c r="L29" i="64"/>
  <c r="K29" i="64"/>
  <c r="L28" i="64"/>
  <c r="K28" i="64"/>
  <c r="L27" i="64"/>
  <c r="K27" i="64"/>
  <c r="L24" i="64"/>
  <c r="K24" i="64"/>
  <c r="L23" i="64"/>
  <c r="K23" i="64"/>
  <c r="L20" i="64"/>
  <c r="K20" i="64"/>
  <c r="L19" i="64"/>
  <c r="K19" i="64"/>
  <c r="L18" i="64"/>
  <c r="K18" i="64"/>
  <c r="L15" i="64"/>
  <c r="K15" i="64"/>
  <c r="L14" i="64"/>
  <c r="K14" i="64"/>
  <c r="L11" i="64"/>
  <c r="K11" i="64"/>
  <c r="L8" i="64"/>
  <c r="K8" i="64"/>
  <c r="L7" i="64"/>
  <c r="K7" i="64"/>
  <c r="L6" i="64"/>
  <c r="K6" i="64"/>
  <c r="L30" i="63"/>
  <c r="K30" i="63"/>
  <c r="L27" i="63"/>
  <c r="K27" i="63"/>
  <c r="L26" i="63"/>
  <c r="K26" i="63"/>
  <c r="L23" i="63"/>
  <c r="K23" i="63"/>
  <c r="L20" i="63"/>
  <c r="K20" i="63"/>
  <c r="L17" i="63"/>
  <c r="K17" i="63"/>
  <c r="L16" i="63"/>
  <c r="K16" i="63"/>
  <c r="L15" i="63"/>
  <c r="K15" i="63"/>
  <c r="L12" i="63"/>
  <c r="K12" i="63"/>
  <c r="L9" i="63"/>
  <c r="K9" i="63"/>
  <c r="L6" i="63"/>
  <c r="K6" i="63"/>
  <c r="P10" i="53"/>
  <c r="O10" i="53"/>
  <c r="P9" i="53"/>
  <c r="O9" i="53"/>
  <c r="P6" i="53"/>
  <c r="O6" i="53"/>
  <c r="P7" i="52"/>
  <c r="O7" i="52"/>
  <c r="P6" i="52"/>
  <c r="O6" i="52"/>
  <c r="L33" i="51"/>
  <c r="K33" i="51"/>
  <c r="L30" i="51"/>
  <c r="K30" i="51"/>
  <c r="L27" i="51"/>
  <c r="K27" i="51"/>
  <c r="L24" i="51"/>
  <c r="K24" i="51"/>
  <c r="L23" i="51"/>
  <c r="K23" i="51"/>
  <c r="L20" i="51"/>
  <c r="K20" i="51"/>
  <c r="L17" i="51"/>
  <c r="K17" i="51"/>
  <c r="L16" i="51"/>
  <c r="K16" i="51"/>
  <c r="L13" i="51"/>
  <c r="K13" i="51"/>
  <c r="L12" i="51"/>
  <c r="K12" i="51"/>
  <c r="L9" i="51"/>
  <c r="K9" i="51"/>
  <c r="L6" i="51"/>
  <c r="K6" i="51"/>
  <c r="L11" i="50"/>
  <c r="K11" i="50"/>
  <c r="L8" i="50"/>
  <c r="K8" i="50"/>
  <c r="L7" i="50"/>
  <c r="K7" i="50"/>
  <c r="L6" i="50"/>
  <c r="K6" i="50"/>
  <c r="L7" i="48"/>
  <c r="K7" i="48"/>
  <c r="L6" i="48"/>
  <c r="K6" i="48"/>
  <c r="P9" i="26"/>
  <c r="O9" i="26"/>
  <c r="P6" i="26"/>
  <c r="O6" i="26"/>
  <c r="P36" i="25"/>
  <c r="O36" i="25"/>
  <c r="P33" i="25"/>
  <c r="O33" i="25"/>
  <c r="P30" i="25"/>
  <c r="O30" i="25"/>
  <c r="P29" i="25"/>
  <c r="O29" i="25"/>
  <c r="P28" i="25"/>
  <c r="O28" i="25"/>
  <c r="P25" i="25"/>
  <c r="O25" i="25"/>
  <c r="P22" i="25"/>
  <c r="O22" i="25"/>
  <c r="P21" i="25"/>
  <c r="O21" i="25"/>
  <c r="P20" i="25"/>
  <c r="O20" i="25"/>
  <c r="P19" i="25"/>
  <c r="O19" i="25"/>
  <c r="P16" i="25"/>
  <c r="O16" i="25"/>
  <c r="P13" i="25"/>
  <c r="O13" i="25"/>
  <c r="P10" i="25"/>
  <c r="O10" i="25"/>
  <c r="P9" i="25"/>
  <c r="O9" i="25"/>
  <c r="P6" i="25"/>
  <c r="O6" i="25"/>
  <c r="P18" i="24"/>
  <c r="O18" i="24"/>
  <c r="P15" i="24"/>
  <c r="O15" i="24"/>
  <c r="P12" i="24"/>
  <c r="O12" i="24"/>
  <c r="P9" i="24"/>
  <c r="O9" i="24"/>
  <c r="P6" i="24"/>
  <c r="O6" i="24"/>
  <c r="L9" i="23"/>
  <c r="K9" i="23"/>
  <c r="L6" i="23"/>
  <c r="K6" i="23"/>
  <c r="L9" i="22"/>
  <c r="L6" i="22"/>
  <c r="K6" i="22"/>
  <c r="L9" i="21"/>
  <c r="K9" i="21"/>
  <c r="L6" i="21"/>
  <c r="L9" i="20"/>
  <c r="K9" i="20"/>
  <c r="L6" i="20"/>
  <c r="K6" i="20"/>
  <c r="L6" i="19"/>
  <c r="K6" i="19"/>
  <c r="L59" i="17"/>
  <c r="K59" i="17"/>
  <c r="L58" i="17"/>
  <c r="K58" i="17"/>
  <c r="L57" i="17"/>
  <c r="K57" i="17"/>
  <c r="L56" i="17"/>
  <c r="K56" i="17"/>
  <c r="L53" i="17"/>
  <c r="K53" i="17"/>
  <c r="L52" i="17"/>
  <c r="K52" i="17"/>
  <c r="L51" i="17"/>
  <c r="K51" i="17"/>
  <c r="L50" i="17"/>
  <c r="K50" i="17"/>
  <c r="L47" i="17"/>
  <c r="K47" i="17"/>
  <c r="L46" i="17"/>
  <c r="K46" i="17"/>
  <c r="L45" i="17"/>
  <c r="K45" i="17"/>
  <c r="L44" i="17"/>
  <c r="K44" i="17"/>
  <c r="L41" i="17"/>
  <c r="K41" i="17"/>
  <c r="L40" i="17"/>
  <c r="K40" i="17"/>
  <c r="L37" i="17"/>
  <c r="K37" i="17"/>
  <c r="L34" i="17"/>
  <c r="K34" i="17"/>
  <c r="L31" i="17"/>
  <c r="K31" i="17"/>
  <c r="L30" i="17"/>
  <c r="L29" i="17"/>
  <c r="K29" i="17"/>
  <c r="L28" i="17"/>
  <c r="K28" i="17"/>
  <c r="L27" i="17"/>
  <c r="K27" i="17"/>
  <c r="L26" i="17"/>
  <c r="K26" i="17"/>
  <c r="L23" i="17"/>
  <c r="K23" i="17"/>
  <c r="L22" i="17"/>
  <c r="K22" i="17"/>
  <c r="L21" i="17"/>
  <c r="K21" i="17"/>
  <c r="L20" i="17"/>
  <c r="K20" i="17"/>
  <c r="L19" i="17"/>
  <c r="K19" i="17"/>
  <c r="L16" i="17"/>
  <c r="K16" i="17"/>
  <c r="L15" i="17"/>
  <c r="K15" i="17"/>
  <c r="L14" i="17"/>
  <c r="K14" i="17"/>
  <c r="L13" i="17"/>
  <c r="K13" i="17"/>
  <c r="L12" i="17"/>
  <c r="K12" i="17"/>
  <c r="L9" i="17"/>
  <c r="K9" i="17"/>
  <c r="L6" i="17"/>
  <c r="K6" i="17"/>
  <c r="L30" i="16"/>
  <c r="K30" i="16"/>
  <c r="L29" i="16"/>
  <c r="K29" i="16"/>
  <c r="L28" i="16"/>
  <c r="K28" i="16"/>
  <c r="L27" i="16"/>
  <c r="K27" i="16"/>
  <c r="L24" i="16"/>
  <c r="K24" i="16"/>
  <c r="L23" i="16"/>
  <c r="K23" i="16"/>
  <c r="L22" i="16"/>
  <c r="K22" i="16"/>
  <c r="L19" i="16"/>
  <c r="K19" i="16"/>
  <c r="L18" i="16"/>
  <c r="K18" i="16"/>
  <c r="L17" i="16"/>
  <c r="K17" i="16"/>
  <c r="L14" i="16"/>
  <c r="L11" i="16"/>
  <c r="K11" i="16"/>
  <c r="L8" i="16"/>
  <c r="K8" i="16"/>
  <c r="L7" i="16"/>
  <c r="K7" i="16"/>
  <c r="L6" i="16"/>
  <c r="K6" i="16"/>
  <c r="L17" i="15"/>
  <c r="K17" i="15"/>
  <c r="L14" i="15"/>
  <c r="K14" i="15"/>
  <c r="L13" i="15"/>
  <c r="K13" i="15"/>
  <c r="L12" i="15"/>
  <c r="K12" i="15"/>
  <c r="L9" i="15"/>
  <c r="K9" i="15"/>
  <c r="L6" i="15"/>
  <c r="K6" i="15"/>
  <c r="L10" i="14"/>
  <c r="K10" i="14"/>
  <c r="L7" i="14"/>
  <c r="K7" i="14"/>
  <c r="L6" i="14"/>
  <c r="K6" i="14"/>
  <c r="L25" i="13"/>
  <c r="K25" i="13"/>
  <c r="L22" i="13"/>
  <c r="K22" i="13"/>
  <c r="L21" i="13"/>
  <c r="K21" i="13"/>
  <c r="L20" i="13"/>
  <c r="K20" i="13"/>
  <c r="L17" i="13"/>
  <c r="K17" i="13"/>
  <c r="L16" i="13"/>
  <c r="K16" i="13"/>
  <c r="L13" i="13"/>
  <c r="L10" i="13"/>
  <c r="K10" i="13"/>
  <c r="L9" i="13"/>
  <c r="K9" i="13"/>
  <c r="L6" i="13"/>
  <c r="L94" i="12"/>
  <c r="K94" i="12"/>
  <c r="L93" i="12"/>
  <c r="K93" i="12"/>
  <c r="L92" i="12"/>
  <c r="K92" i="12"/>
  <c r="L89" i="12"/>
  <c r="K89" i="12"/>
  <c r="L88" i="12"/>
  <c r="K88" i="12"/>
  <c r="L87" i="12"/>
  <c r="K87" i="12"/>
  <c r="L86" i="12"/>
  <c r="K86" i="12"/>
  <c r="L83" i="12"/>
  <c r="K83" i="12"/>
  <c r="L82" i="12"/>
  <c r="K82" i="12"/>
  <c r="L79" i="12"/>
  <c r="K79" i="12"/>
  <c r="L78" i="12"/>
  <c r="K78" i="12"/>
  <c r="L77" i="12"/>
  <c r="K77" i="12"/>
  <c r="L76" i="12"/>
  <c r="K76" i="12"/>
  <c r="L75" i="12"/>
  <c r="K75" i="12"/>
  <c r="L74" i="12"/>
  <c r="K74" i="12"/>
  <c r="L73" i="12"/>
  <c r="K73" i="12"/>
  <c r="L72" i="12"/>
  <c r="K72" i="12"/>
  <c r="L71" i="12"/>
  <c r="K71" i="12"/>
  <c r="L68" i="12"/>
  <c r="K68" i="12"/>
  <c r="L67" i="12"/>
  <c r="K67" i="12"/>
  <c r="L66" i="12"/>
  <c r="K66" i="12"/>
  <c r="L63" i="12"/>
  <c r="K63" i="12"/>
  <c r="L62" i="12"/>
  <c r="K62" i="12"/>
  <c r="L61" i="12"/>
  <c r="K61" i="12"/>
  <c r="L60" i="12"/>
  <c r="K60" i="12"/>
  <c r="L59" i="12"/>
  <c r="K59" i="12"/>
  <c r="L58" i="12"/>
  <c r="K58" i="12"/>
  <c r="L57" i="12"/>
  <c r="K57" i="12"/>
  <c r="L56" i="12"/>
  <c r="K56" i="12"/>
  <c r="L53" i="12"/>
  <c r="K53" i="12"/>
  <c r="L52" i="12"/>
  <c r="K52" i="12"/>
  <c r="L51" i="12"/>
  <c r="K51" i="12"/>
  <c r="L48" i="12"/>
  <c r="K48" i="12"/>
  <c r="L47" i="12"/>
  <c r="L46" i="12"/>
  <c r="K46" i="12"/>
  <c r="L43" i="12"/>
  <c r="K43" i="12"/>
  <c r="L42" i="12"/>
  <c r="K42" i="12"/>
  <c r="L41" i="12"/>
  <c r="K41" i="12"/>
  <c r="L38" i="12"/>
  <c r="K38" i="12"/>
  <c r="L37" i="12"/>
  <c r="K37" i="12"/>
  <c r="L34" i="12"/>
  <c r="K34" i="12"/>
  <c r="L31" i="12"/>
  <c r="K31" i="12"/>
  <c r="L28" i="12"/>
  <c r="K28" i="12"/>
  <c r="L27" i="12"/>
  <c r="K27" i="12"/>
  <c r="L24" i="12"/>
  <c r="K24" i="12"/>
  <c r="L21" i="12"/>
  <c r="K21" i="12"/>
  <c r="L18" i="12"/>
  <c r="K18" i="12"/>
  <c r="L17" i="12"/>
  <c r="K17" i="12"/>
  <c r="L16" i="12"/>
  <c r="K16" i="12"/>
  <c r="L15" i="12"/>
  <c r="K15" i="12"/>
  <c r="L14" i="12"/>
  <c r="K14" i="12"/>
  <c r="L11" i="12"/>
  <c r="K11" i="12"/>
  <c r="L10" i="12"/>
  <c r="K10" i="12"/>
  <c r="L7" i="12"/>
  <c r="K7" i="12"/>
  <c r="L6" i="12"/>
  <c r="K6" i="12"/>
  <c r="L70" i="11"/>
  <c r="K70" i="11"/>
  <c r="L67" i="11"/>
  <c r="K67" i="11"/>
  <c r="L66" i="11"/>
  <c r="K66" i="11"/>
  <c r="L65" i="11"/>
  <c r="K65" i="11"/>
  <c r="L64" i="11"/>
  <c r="K64" i="11"/>
  <c r="L61" i="11"/>
  <c r="K61" i="11"/>
  <c r="L60" i="11"/>
  <c r="K60" i="11"/>
  <c r="L59" i="11"/>
  <c r="K59" i="11"/>
  <c r="L58" i="11"/>
  <c r="K58" i="11"/>
  <c r="L57" i="11"/>
  <c r="K57" i="11"/>
  <c r="L56" i="11"/>
  <c r="K56" i="11"/>
  <c r="L55" i="11"/>
  <c r="K55" i="11"/>
  <c r="L52" i="11"/>
  <c r="K52" i="11"/>
  <c r="L51" i="11"/>
  <c r="K51" i="11"/>
  <c r="L50" i="11"/>
  <c r="K50" i="11"/>
  <c r="L49" i="11"/>
  <c r="K49" i="11"/>
  <c r="L48" i="11"/>
  <c r="K48" i="11"/>
  <c r="L47" i="11"/>
  <c r="K47" i="11"/>
  <c r="L46" i="11"/>
  <c r="K46" i="11"/>
  <c r="L45" i="11"/>
  <c r="K45" i="11"/>
  <c r="L44" i="11"/>
  <c r="K44" i="11"/>
  <c r="L43" i="11"/>
  <c r="K43" i="11"/>
  <c r="L42" i="11"/>
  <c r="K42" i="11"/>
  <c r="L41" i="11"/>
  <c r="K41" i="11"/>
  <c r="L40" i="11"/>
  <c r="K40" i="11"/>
  <c r="L39" i="11"/>
  <c r="K39" i="11"/>
  <c r="L36" i="11"/>
  <c r="K36" i="11"/>
  <c r="L35" i="11"/>
  <c r="K35" i="11"/>
  <c r="L34" i="11"/>
  <c r="K34" i="11"/>
  <c r="L33" i="11"/>
  <c r="K33" i="11"/>
  <c r="L32" i="11"/>
  <c r="K32" i="11"/>
  <c r="L31" i="11"/>
  <c r="K31" i="11"/>
  <c r="L28" i="11"/>
  <c r="K28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6" i="11"/>
  <c r="K16" i="11"/>
  <c r="L13" i="11"/>
  <c r="K13" i="11"/>
  <c r="L12" i="11"/>
  <c r="K12" i="11"/>
  <c r="L9" i="11"/>
  <c r="K9" i="11"/>
  <c r="L6" i="11"/>
  <c r="K6" i="11"/>
  <c r="T27" i="10"/>
  <c r="S27" i="10"/>
  <c r="T24" i="10"/>
  <c r="S24" i="10"/>
  <c r="T23" i="10"/>
  <c r="S23" i="10"/>
  <c r="T22" i="10"/>
  <c r="S22" i="10"/>
  <c r="T19" i="10"/>
  <c r="S19" i="10"/>
  <c r="T16" i="10"/>
  <c r="T15" i="10"/>
  <c r="S15" i="10"/>
  <c r="T12" i="10"/>
  <c r="S12" i="10"/>
  <c r="T9" i="10"/>
  <c r="S9" i="10"/>
  <c r="T6" i="10"/>
  <c r="S6" i="10"/>
  <c r="T19" i="9"/>
  <c r="S19" i="9"/>
  <c r="T18" i="9"/>
  <c r="S18" i="9"/>
  <c r="T17" i="9"/>
  <c r="S17" i="9"/>
  <c r="T14" i="9"/>
  <c r="S14" i="9"/>
  <c r="T13" i="9"/>
  <c r="S13" i="9"/>
  <c r="T10" i="9"/>
  <c r="T9" i="9"/>
  <c r="S9" i="9"/>
  <c r="T6" i="9"/>
  <c r="S6" i="9"/>
  <c r="T103" i="8"/>
  <c r="S103" i="8"/>
  <c r="T100" i="8"/>
  <c r="S100" i="8"/>
  <c r="T99" i="8"/>
  <c r="S99" i="8"/>
  <c r="T98" i="8"/>
  <c r="S98" i="8"/>
  <c r="T97" i="8"/>
  <c r="S97" i="8"/>
  <c r="T94" i="8"/>
  <c r="S94" i="8"/>
  <c r="T93" i="8"/>
  <c r="S93" i="8"/>
  <c r="T92" i="8"/>
  <c r="S92" i="8"/>
  <c r="T91" i="8"/>
  <c r="S91" i="8"/>
  <c r="T90" i="8"/>
  <c r="S90" i="8"/>
  <c r="T89" i="8"/>
  <c r="S89" i="8"/>
  <c r="T88" i="8"/>
  <c r="S88" i="8"/>
  <c r="T85" i="8"/>
  <c r="S85" i="8"/>
  <c r="T84" i="8"/>
  <c r="S84" i="8"/>
  <c r="T83" i="8"/>
  <c r="S83" i="8"/>
  <c r="T82" i="8"/>
  <c r="S82" i="8"/>
  <c r="T81" i="8"/>
  <c r="S81" i="8"/>
  <c r="T80" i="8"/>
  <c r="S80" i="8"/>
  <c r="T79" i="8"/>
  <c r="S79" i="8"/>
  <c r="T78" i="8"/>
  <c r="S78" i="8"/>
  <c r="T77" i="8"/>
  <c r="S77" i="8"/>
  <c r="T76" i="8"/>
  <c r="S76" i="8"/>
  <c r="T75" i="8"/>
  <c r="S75" i="8"/>
  <c r="T72" i="8"/>
  <c r="S72" i="8"/>
  <c r="T71" i="8"/>
  <c r="S71" i="8"/>
  <c r="T70" i="8"/>
  <c r="S70" i="8"/>
  <c r="T69" i="8"/>
  <c r="S69" i="8"/>
  <c r="T68" i="8"/>
  <c r="S68" i="8"/>
  <c r="T67" i="8"/>
  <c r="S67" i="8"/>
  <c r="T66" i="8"/>
  <c r="S66" i="8"/>
  <c r="T65" i="8"/>
  <c r="S65" i="8"/>
  <c r="T62" i="8"/>
  <c r="S62" i="8"/>
  <c r="T61" i="8"/>
  <c r="S61" i="8"/>
  <c r="T60" i="8"/>
  <c r="S60" i="8"/>
  <c r="T59" i="8"/>
  <c r="S59" i="8"/>
  <c r="T58" i="8"/>
  <c r="S58" i="8"/>
  <c r="T57" i="8"/>
  <c r="S57" i="8"/>
  <c r="T54" i="8"/>
  <c r="S54" i="8"/>
  <c r="T51" i="8"/>
  <c r="S51" i="8"/>
  <c r="T48" i="8"/>
  <c r="S48" i="8"/>
  <c r="T47" i="8"/>
  <c r="S47" i="8"/>
  <c r="T44" i="8"/>
  <c r="S44" i="8"/>
  <c r="T41" i="8"/>
  <c r="S41" i="8"/>
  <c r="T40" i="8"/>
  <c r="T39" i="8"/>
  <c r="T38" i="8"/>
  <c r="T37" i="8"/>
  <c r="S37" i="8"/>
  <c r="T36" i="8"/>
  <c r="S36" i="8"/>
  <c r="T35" i="8"/>
  <c r="S35" i="8"/>
  <c r="T34" i="8"/>
  <c r="S34" i="8"/>
  <c r="T33" i="8"/>
  <c r="S33" i="8"/>
  <c r="T32" i="8"/>
  <c r="S32" i="8"/>
  <c r="T29" i="8"/>
  <c r="S29" i="8"/>
  <c r="T28" i="8"/>
  <c r="S28" i="8"/>
  <c r="T27" i="8"/>
  <c r="S27" i="8"/>
  <c r="T26" i="8"/>
  <c r="S26" i="8"/>
  <c r="T25" i="8"/>
  <c r="S25" i="8"/>
  <c r="T24" i="8"/>
  <c r="S24" i="8"/>
  <c r="T21" i="8"/>
  <c r="S21" i="8"/>
  <c r="T20" i="8"/>
  <c r="S20" i="8"/>
  <c r="T19" i="8"/>
  <c r="S19" i="8"/>
  <c r="T18" i="8"/>
  <c r="T15" i="8"/>
  <c r="S15" i="8"/>
  <c r="T14" i="8"/>
  <c r="S14" i="8"/>
  <c r="T13" i="8"/>
  <c r="S13" i="8"/>
  <c r="T12" i="8"/>
  <c r="S12" i="8"/>
  <c r="T9" i="8"/>
  <c r="S9" i="8"/>
  <c r="T6" i="8"/>
  <c r="S6" i="8"/>
  <c r="T45" i="7"/>
  <c r="S45" i="7"/>
  <c r="T42" i="7"/>
  <c r="S42" i="7"/>
  <c r="T41" i="7"/>
  <c r="S41" i="7"/>
  <c r="T40" i="7"/>
  <c r="S40" i="7"/>
  <c r="T37" i="7"/>
  <c r="S37" i="7"/>
  <c r="T36" i="7"/>
  <c r="S36" i="7"/>
  <c r="T35" i="7"/>
  <c r="T34" i="7"/>
  <c r="S34" i="7"/>
  <c r="T33" i="7"/>
  <c r="S33" i="7"/>
  <c r="T32" i="7"/>
  <c r="S32" i="7"/>
  <c r="T31" i="7"/>
  <c r="S31" i="7"/>
  <c r="T30" i="7"/>
  <c r="S30" i="7"/>
  <c r="T29" i="7"/>
  <c r="S29" i="7"/>
  <c r="T28" i="7"/>
  <c r="S28" i="7"/>
  <c r="T25" i="7"/>
  <c r="S25" i="7"/>
  <c r="T24" i="7"/>
  <c r="S24" i="7"/>
  <c r="T23" i="7"/>
  <c r="S23" i="7"/>
  <c r="T22" i="7"/>
  <c r="S22" i="7"/>
  <c r="T19" i="7"/>
  <c r="S19" i="7"/>
  <c r="T18" i="7"/>
  <c r="S18" i="7"/>
  <c r="T17" i="7"/>
  <c r="S17" i="7"/>
  <c r="T16" i="7"/>
  <c r="S16" i="7"/>
  <c r="T13" i="7"/>
  <c r="S13" i="7"/>
  <c r="T10" i="7"/>
  <c r="S10" i="7"/>
  <c r="T7" i="7"/>
  <c r="S7" i="7"/>
  <c r="T6" i="7"/>
  <c r="S6" i="7"/>
  <c r="T9" i="5"/>
  <c r="T6" i="5"/>
  <c r="S6" i="5"/>
</calcChain>
</file>

<file path=xl/sharedStrings.xml><?xml version="1.0" encoding="utf-8"?>
<sst xmlns="http://schemas.openxmlformats.org/spreadsheetml/2006/main" count="5199" uniqueCount="1300">
  <si>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</si>
  <si>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</si>
  <si>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</si>
  <si>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</si>
  <si>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</si>
  <si>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</si>
  <si>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</si>
  <si>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</si>
  <si>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</si>
  <si>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</si>
  <si>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82.5</t>
  </si>
  <si>
    <t>Емельянов Алексей</t>
  </si>
  <si>
    <t>Открытая (25.02.1983)/39</t>
  </si>
  <si>
    <t>77,30</t>
  </si>
  <si>
    <t xml:space="preserve">Серпухов/Московская область </t>
  </si>
  <si>
    <t>235,0</t>
  </si>
  <si>
    <t>250,0</t>
  </si>
  <si>
    <t>265,0</t>
  </si>
  <si>
    <t>175,0</t>
  </si>
  <si>
    <t>182,5</t>
  </si>
  <si>
    <t>245,0</t>
  </si>
  <si>
    <t xml:space="preserve">Длужневский С. </t>
  </si>
  <si>
    <t>ВЕСОВАЯ КАТЕГОРИЯ   125</t>
  </si>
  <si>
    <t>Логинов Дмитрий</t>
  </si>
  <si>
    <t>Открытая (12.05.1989)/33</t>
  </si>
  <si>
    <t>123,90</t>
  </si>
  <si>
    <t xml:space="preserve">Тверь/Тверская область </t>
  </si>
  <si>
    <t>355,0</t>
  </si>
  <si>
    <t>310,0</t>
  </si>
  <si>
    <t xml:space="preserve">Бобров В. 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</si>
  <si>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</si>
  <si>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</si>
  <si>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</si>
  <si>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</si>
  <si>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</si>
  <si>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</si>
  <si>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</si>
  <si>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</si>
  <si>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82.5</t>
  </si>
  <si>
    <t>1</t>
  </si>
  <si>
    <t>-</t>
  </si>
  <si>
    <t>ВЕСОВАЯ КАТЕГОРИЯ   67.5</t>
  </si>
  <si>
    <t>Смолина Татьяна</t>
  </si>
  <si>
    <t>Открытая (02.07.1991)/30</t>
  </si>
  <si>
    <t>67,20</t>
  </si>
  <si>
    <t xml:space="preserve">Новосибирск/Новосибирская область </t>
  </si>
  <si>
    <t>80,0</t>
  </si>
  <si>
    <t>85,0</t>
  </si>
  <si>
    <t>90,0</t>
  </si>
  <si>
    <t>42,5</t>
  </si>
  <si>
    <t>45,0</t>
  </si>
  <si>
    <t>47,5</t>
  </si>
  <si>
    <t>105,0</t>
  </si>
  <si>
    <t>110,0</t>
  </si>
  <si>
    <t>115,0</t>
  </si>
  <si>
    <t xml:space="preserve">Елистратов В. </t>
  </si>
  <si>
    <t>Мишина Алла</t>
  </si>
  <si>
    <t>Открытая (10.04.1989)/33</t>
  </si>
  <si>
    <t>64,00</t>
  </si>
  <si>
    <t xml:space="preserve">Радужный/Владимирская область </t>
  </si>
  <si>
    <t>70,0</t>
  </si>
  <si>
    <t>75,0</t>
  </si>
  <si>
    <t>50,0</t>
  </si>
  <si>
    <t>55,0</t>
  </si>
  <si>
    <t>87,5</t>
  </si>
  <si>
    <t>92,5</t>
  </si>
  <si>
    <t xml:space="preserve">Прошин А. </t>
  </si>
  <si>
    <t>ВЕСОВАЯ КАТЕГОРИЯ   75</t>
  </si>
  <si>
    <t>Пархоменко Ольга</t>
  </si>
  <si>
    <t>Открытая (12.11.1988)/33</t>
  </si>
  <si>
    <t>67,90</t>
  </si>
  <si>
    <t xml:space="preserve">Москва </t>
  </si>
  <si>
    <t>120,0</t>
  </si>
  <si>
    <t>82,5</t>
  </si>
  <si>
    <t>130,0</t>
  </si>
  <si>
    <t>140,0</t>
  </si>
  <si>
    <t>ВЕСОВАЯ КАТЕГОРИЯ   90+</t>
  </si>
  <si>
    <t>Осипова Ольга</t>
  </si>
  <si>
    <t>103,10</t>
  </si>
  <si>
    <t>160,0</t>
  </si>
  <si>
    <t>180,0</t>
  </si>
  <si>
    <t>190,0</t>
  </si>
  <si>
    <t>100,0</t>
  </si>
  <si>
    <t>170,0</t>
  </si>
  <si>
    <t>200,0</t>
  </si>
  <si>
    <t>210,0</t>
  </si>
  <si>
    <t xml:space="preserve">Казаков В. </t>
  </si>
  <si>
    <t>Морозов Ярослав</t>
  </si>
  <si>
    <t>Открытая (26.03.1999)/23</t>
  </si>
  <si>
    <t>82,00</t>
  </si>
  <si>
    <t>225,0</t>
  </si>
  <si>
    <t>172,5</t>
  </si>
  <si>
    <t>185,0</t>
  </si>
  <si>
    <t>240,0</t>
  </si>
  <si>
    <t>Пашков Игорь</t>
  </si>
  <si>
    <t>Открытая (10.06.1986)/36</t>
  </si>
  <si>
    <t>81,70</t>
  </si>
  <si>
    <t xml:space="preserve">Иваново/Ивановская область </t>
  </si>
  <si>
    <t>150,0</t>
  </si>
  <si>
    <t>Саркисян Аркадий</t>
  </si>
  <si>
    <t>Открытая (05.02.1993)/29</t>
  </si>
  <si>
    <t>82,50</t>
  </si>
  <si>
    <t>125,0</t>
  </si>
  <si>
    <t>260,0</t>
  </si>
  <si>
    <t xml:space="preserve">Амирханов А. </t>
  </si>
  <si>
    <t>Тимохин Павел</t>
  </si>
  <si>
    <t>80,30</t>
  </si>
  <si>
    <t xml:space="preserve">Тула/Тульская область </t>
  </si>
  <si>
    <t>205,0</t>
  </si>
  <si>
    <t>215,0</t>
  </si>
  <si>
    <t>155,0</t>
  </si>
  <si>
    <t>165,0</t>
  </si>
  <si>
    <t>230,0</t>
  </si>
  <si>
    <t>ВЕСОВАЯ КАТЕГОРИЯ   90</t>
  </si>
  <si>
    <t>Лукьянов Сергей</t>
  </si>
  <si>
    <t>Открытая (02.06.1986)/36</t>
  </si>
  <si>
    <t>90,00</t>
  </si>
  <si>
    <t xml:space="preserve">Нижний Новгород/Нижегородская область </t>
  </si>
  <si>
    <t>187,5</t>
  </si>
  <si>
    <t>325,0</t>
  </si>
  <si>
    <t>327,5</t>
  </si>
  <si>
    <t>Катаев Ленур</t>
  </si>
  <si>
    <t>Открытая (11.10.1994)/27</t>
  </si>
  <si>
    <t>89,50</t>
  </si>
  <si>
    <t>257,5</t>
  </si>
  <si>
    <t>220,0</t>
  </si>
  <si>
    <t>290,0</t>
  </si>
  <si>
    <t>Ковалевский Георгий</t>
  </si>
  <si>
    <t>Открытая (28.10.1997)/24</t>
  </si>
  <si>
    <t>88,50</t>
  </si>
  <si>
    <t xml:space="preserve">Монино/Московская область </t>
  </si>
  <si>
    <t>252,5</t>
  </si>
  <si>
    <t>305,0</t>
  </si>
  <si>
    <t>Андрющенко Алексей</t>
  </si>
  <si>
    <t>Открытая (07.05.1997)/25</t>
  </si>
  <si>
    <t>87,40</t>
  </si>
  <si>
    <t xml:space="preserve">Екатеринбург/Свердловская область </t>
  </si>
  <si>
    <t>ВЕСОВАЯ КАТЕГОРИЯ   100</t>
  </si>
  <si>
    <t>Федерякин Илья</t>
  </si>
  <si>
    <t>90,70</t>
  </si>
  <si>
    <t>112,5</t>
  </si>
  <si>
    <t>Белкин Юрий</t>
  </si>
  <si>
    <t>Открытая (05.12.1990)/31</t>
  </si>
  <si>
    <t>99,90</t>
  </si>
  <si>
    <t xml:space="preserve">Хабаровск/Хабаровский край </t>
  </si>
  <si>
    <t>315,0</t>
  </si>
  <si>
    <t>385,0</t>
  </si>
  <si>
    <t>405,0</t>
  </si>
  <si>
    <t>Денискин Сергей</t>
  </si>
  <si>
    <t>Открытая (28.08.1995)/26</t>
  </si>
  <si>
    <t>98,80</t>
  </si>
  <si>
    <t>197,5</t>
  </si>
  <si>
    <t>275,0</t>
  </si>
  <si>
    <t>280,0</t>
  </si>
  <si>
    <t>Абрамов Сергей</t>
  </si>
  <si>
    <t>Открытая (19.07.1990)/31</t>
  </si>
  <si>
    <t>98,30</t>
  </si>
  <si>
    <t xml:space="preserve">Ярославль/Ярославская область </t>
  </si>
  <si>
    <t>177,5</t>
  </si>
  <si>
    <t>Корнилов Евгений</t>
  </si>
  <si>
    <t>Открытая (10.05.1991)/31</t>
  </si>
  <si>
    <t>93,60</t>
  </si>
  <si>
    <t xml:space="preserve">Юрьев-Польский/Владимирская область </t>
  </si>
  <si>
    <t>167,5</t>
  </si>
  <si>
    <t xml:space="preserve">Джуромский А. </t>
  </si>
  <si>
    <t>Юровской Максим</t>
  </si>
  <si>
    <t>Открытая (19.05.1991)/31</t>
  </si>
  <si>
    <t>99,50</t>
  </si>
  <si>
    <t xml:space="preserve">Железногорск/Курская область </t>
  </si>
  <si>
    <t>202,5</t>
  </si>
  <si>
    <t>157,5</t>
  </si>
  <si>
    <t xml:space="preserve">Луговой А. </t>
  </si>
  <si>
    <t>Калинин Антон</t>
  </si>
  <si>
    <t>Открытая (05.12.1986)/35</t>
  </si>
  <si>
    <t>99,80</t>
  </si>
  <si>
    <t xml:space="preserve">Рязань/Рязанская область </t>
  </si>
  <si>
    <t>162,5</t>
  </si>
  <si>
    <t>227,5</t>
  </si>
  <si>
    <t>Яруков Станислав</t>
  </si>
  <si>
    <t>Открытая (12.07.1990)/31</t>
  </si>
  <si>
    <t>100,00</t>
  </si>
  <si>
    <t xml:space="preserve">Вязники/Владимирская область </t>
  </si>
  <si>
    <t>232,5</t>
  </si>
  <si>
    <t>Лукьянов Евгений</t>
  </si>
  <si>
    <t>97,00</t>
  </si>
  <si>
    <t>Полещук Дмитрий</t>
  </si>
  <si>
    <t>99,20</t>
  </si>
  <si>
    <t>145,0</t>
  </si>
  <si>
    <t>95,0</t>
  </si>
  <si>
    <t>107,5</t>
  </si>
  <si>
    <t>ВЕСОВАЯ КАТЕГОРИЯ   110</t>
  </si>
  <si>
    <t>Загороднюк Иван</t>
  </si>
  <si>
    <t>Открытая (02.05.1997)/25</t>
  </si>
  <si>
    <t>109,00</t>
  </si>
  <si>
    <t>295,0</t>
  </si>
  <si>
    <t>192,5</t>
  </si>
  <si>
    <t>322,5</t>
  </si>
  <si>
    <t>Костерин Валерий</t>
  </si>
  <si>
    <t>Открытая (26.07.1991)/30</t>
  </si>
  <si>
    <t>109,20</t>
  </si>
  <si>
    <t xml:space="preserve">Жуковский/Московская область </t>
  </si>
  <si>
    <t>Пантелеев Александр</t>
  </si>
  <si>
    <t>Открытая (11.07.1985)/36</t>
  </si>
  <si>
    <t>109,60</t>
  </si>
  <si>
    <t xml:space="preserve">Железнодорожный/Московская область </t>
  </si>
  <si>
    <t>Степанов Игорь</t>
  </si>
  <si>
    <t>Открытая (09.04.1989)/33</t>
  </si>
  <si>
    <t>118,90</t>
  </si>
  <si>
    <t xml:space="preserve">Томск/Томская область </t>
  </si>
  <si>
    <t>300,0</t>
  </si>
  <si>
    <t>217,5</t>
  </si>
  <si>
    <t>320,0</t>
  </si>
  <si>
    <t xml:space="preserve">Насонов Д. </t>
  </si>
  <si>
    <t xml:space="preserve">Женщины </t>
  </si>
  <si>
    <t>75</t>
  </si>
  <si>
    <t>67.5</t>
  </si>
  <si>
    <t xml:space="preserve">Мастера </t>
  </si>
  <si>
    <t>100</t>
  </si>
  <si>
    <t>90</t>
  </si>
  <si>
    <t>2</t>
  </si>
  <si>
    <t>3</t>
  </si>
  <si>
    <t>4</t>
  </si>
  <si>
    <t>5</t>
  </si>
  <si>
    <t>6</t>
  </si>
  <si>
    <t>ВЕСОВАЯ КАТЕГОРИЯ   44</t>
  </si>
  <si>
    <t>Василенко Анастасия</t>
  </si>
  <si>
    <t>Девушки 15-19 (18.06.2009)/13</t>
  </si>
  <si>
    <t>44,00</t>
  </si>
  <si>
    <t xml:space="preserve">Котельники/Московская область </t>
  </si>
  <si>
    <t>60,0</t>
  </si>
  <si>
    <t>67,5</t>
  </si>
  <si>
    <t>25,0</t>
  </si>
  <si>
    <t>27,5</t>
  </si>
  <si>
    <t>30,0</t>
  </si>
  <si>
    <t>77,5</t>
  </si>
  <si>
    <t xml:space="preserve">Василенко Д. </t>
  </si>
  <si>
    <t>ВЕСОВАЯ КАТЕГОРИЯ   48</t>
  </si>
  <si>
    <t>Мошенко Анна</t>
  </si>
  <si>
    <t>Открытая (22.09.1985)/36</t>
  </si>
  <si>
    <t>44,70</t>
  </si>
  <si>
    <t>65,0</t>
  </si>
  <si>
    <t>72,5</t>
  </si>
  <si>
    <t>ВЕСОВАЯ КАТЕГОРИЯ   52</t>
  </si>
  <si>
    <t>Павлова Ксения</t>
  </si>
  <si>
    <t>51,20</t>
  </si>
  <si>
    <t>40,0</t>
  </si>
  <si>
    <t>97,5</t>
  </si>
  <si>
    <t xml:space="preserve">Засядкин А. </t>
  </si>
  <si>
    <t>Россохина Людмила</t>
  </si>
  <si>
    <t>Открытая (03.10.1986)/35</t>
  </si>
  <si>
    <t>51,30</t>
  </si>
  <si>
    <t xml:space="preserve">Пермь/Пермский край </t>
  </si>
  <si>
    <t>52,5</t>
  </si>
  <si>
    <t>Кокорина Снежана</t>
  </si>
  <si>
    <t>Открытая (05.11.1983)/38</t>
  </si>
  <si>
    <t>49,30</t>
  </si>
  <si>
    <t>102,5</t>
  </si>
  <si>
    <t xml:space="preserve">Суслов Н. </t>
  </si>
  <si>
    <t>Бакина Анна</t>
  </si>
  <si>
    <t>Открытая (16.05.1991)/31</t>
  </si>
  <si>
    <t>52,00</t>
  </si>
  <si>
    <t xml:space="preserve">Стасюк И. </t>
  </si>
  <si>
    <t>ВЕСОВАЯ КАТЕГОРИЯ   56</t>
  </si>
  <si>
    <t>Репина Анастасия</t>
  </si>
  <si>
    <t>55,80</t>
  </si>
  <si>
    <t>Цветкова Светлана</t>
  </si>
  <si>
    <t>Открытая (10.03.1980)/42</t>
  </si>
  <si>
    <t>56,00</t>
  </si>
  <si>
    <t xml:space="preserve">Владимир/Владимирская область </t>
  </si>
  <si>
    <t>Гукасян Сусанна</t>
  </si>
  <si>
    <t>Открытая (22.12.1987)/34</t>
  </si>
  <si>
    <t>53,80</t>
  </si>
  <si>
    <t>57,5</t>
  </si>
  <si>
    <t>62,5</t>
  </si>
  <si>
    <t>Колесникова Ольга</t>
  </si>
  <si>
    <t>Открытая (13.09.1994)/27</t>
  </si>
  <si>
    <t>55,00</t>
  </si>
  <si>
    <t xml:space="preserve">Пезиков И. </t>
  </si>
  <si>
    <t>ВЕСОВАЯ КАТЕГОРИЯ   60</t>
  </si>
  <si>
    <t>Брик Ольга</t>
  </si>
  <si>
    <t>Открытая (25.12.1987)/34</t>
  </si>
  <si>
    <t>58,80</t>
  </si>
  <si>
    <t xml:space="preserve">Никулин А. </t>
  </si>
  <si>
    <t>Чупракова Екатерина</t>
  </si>
  <si>
    <t>Открытая (11.05.1982)/40</t>
  </si>
  <si>
    <t>58,20</t>
  </si>
  <si>
    <t>127,5</t>
  </si>
  <si>
    <t>135,0</t>
  </si>
  <si>
    <t xml:space="preserve">Белкин Ю. </t>
  </si>
  <si>
    <t>Сапожникова Анастасия</t>
  </si>
  <si>
    <t>Открытая (23.12.1995)/26</t>
  </si>
  <si>
    <t>59,30</t>
  </si>
  <si>
    <t>132,5</t>
  </si>
  <si>
    <t>122,5</t>
  </si>
  <si>
    <t xml:space="preserve">Румянцев С. </t>
  </si>
  <si>
    <t>Бочарова Анна</t>
  </si>
  <si>
    <t>Открытая (03.11.1995)/26</t>
  </si>
  <si>
    <t>59,20</t>
  </si>
  <si>
    <t xml:space="preserve">Электросталь/Московская область </t>
  </si>
  <si>
    <t>117,5</t>
  </si>
  <si>
    <t>Ермолаева Ольга</t>
  </si>
  <si>
    <t>Открытая (23.01.1983)/39</t>
  </si>
  <si>
    <t>59,40</t>
  </si>
  <si>
    <t>Скрыпник Наталья</t>
  </si>
  <si>
    <t>59,80</t>
  </si>
  <si>
    <t xml:space="preserve">Аршинов И. </t>
  </si>
  <si>
    <t>Кутепова Марина</t>
  </si>
  <si>
    <t>Открытая (12.01.1979)/43</t>
  </si>
  <si>
    <t>67,00</t>
  </si>
  <si>
    <t>Ядрихинская Мария</t>
  </si>
  <si>
    <t>Открытая (09.07.1982)/39</t>
  </si>
  <si>
    <t>66,30</t>
  </si>
  <si>
    <t xml:space="preserve">Снежинск/Челябинская область </t>
  </si>
  <si>
    <t>137,5</t>
  </si>
  <si>
    <t>Ершова Светлана</t>
  </si>
  <si>
    <t>Открытая (15.01.1980)/42</t>
  </si>
  <si>
    <t>66,40</t>
  </si>
  <si>
    <t>152,5</t>
  </si>
  <si>
    <t xml:space="preserve">Лукьянов С. </t>
  </si>
  <si>
    <t>Мячина Алина</t>
  </si>
  <si>
    <t>Открытая (22.03.1997)/25</t>
  </si>
  <si>
    <t>65,90</t>
  </si>
  <si>
    <t xml:space="preserve">Харина В. </t>
  </si>
  <si>
    <t>Гришина Полина</t>
  </si>
  <si>
    <t>Открытая (19.04.1988)/34</t>
  </si>
  <si>
    <t xml:space="preserve">Одинцово/Московская область </t>
  </si>
  <si>
    <t>Тюлькина Татьяна</t>
  </si>
  <si>
    <t>Открытая (01.02.1983)/39</t>
  </si>
  <si>
    <t>66,00</t>
  </si>
  <si>
    <t>Хорт Юлия</t>
  </si>
  <si>
    <t>Открытая (04.04.1997)/25</t>
  </si>
  <si>
    <t>62,50</t>
  </si>
  <si>
    <t xml:space="preserve">Королёв/Московская область </t>
  </si>
  <si>
    <t>Головина Олеся</t>
  </si>
  <si>
    <t>Открытая (01.03.1984)/38</t>
  </si>
  <si>
    <t>66,70</t>
  </si>
  <si>
    <t xml:space="preserve">Олейник М. </t>
  </si>
  <si>
    <t>Леонтьева Дарья</t>
  </si>
  <si>
    <t>Открытая (26.01.1995)/27</t>
  </si>
  <si>
    <t>67,50</t>
  </si>
  <si>
    <t xml:space="preserve">Ермолаев В. </t>
  </si>
  <si>
    <t>Крайнова Анна</t>
  </si>
  <si>
    <t>Открытая (20.04.1997)/25</t>
  </si>
  <si>
    <t>73,70</t>
  </si>
  <si>
    <t>Качко Виктория</t>
  </si>
  <si>
    <t>Открытая (03.09.1997)/24</t>
  </si>
  <si>
    <t>79,80</t>
  </si>
  <si>
    <t xml:space="preserve">Люберцы/Московская область </t>
  </si>
  <si>
    <t>Башкатова Наталия</t>
  </si>
  <si>
    <t>81,10</t>
  </si>
  <si>
    <t xml:space="preserve">Конев Н. </t>
  </si>
  <si>
    <t>Герасимова Ирина</t>
  </si>
  <si>
    <t>Открытая (09.10.1987)/34</t>
  </si>
  <si>
    <t>109,40</t>
  </si>
  <si>
    <t xml:space="preserve">Пономарев В </t>
  </si>
  <si>
    <t>Крылов Антон</t>
  </si>
  <si>
    <t>Юноши 15-19 (11.11.2005)/16</t>
  </si>
  <si>
    <t>63,30</t>
  </si>
  <si>
    <t xml:space="preserve">Гусь-Хрустальный/Владимирская область </t>
  </si>
  <si>
    <t xml:space="preserve">Кочнев Г. </t>
  </si>
  <si>
    <t>Уханов Павел</t>
  </si>
  <si>
    <t>Открытая (30.11.1987)/34</t>
  </si>
  <si>
    <t>74,70</t>
  </si>
  <si>
    <t xml:space="preserve">Ковров/Владимирская область </t>
  </si>
  <si>
    <t xml:space="preserve">Атанов Р. </t>
  </si>
  <si>
    <t>Шпадин Александр</t>
  </si>
  <si>
    <t>Открытая (20.02.2001)/21</t>
  </si>
  <si>
    <t>72,20</t>
  </si>
  <si>
    <t xml:space="preserve">Головизнин Н. </t>
  </si>
  <si>
    <t>Калинин Даниил</t>
  </si>
  <si>
    <t>Открытая (12.06.1988)/34</t>
  </si>
  <si>
    <t>74,40</t>
  </si>
  <si>
    <t>142,5</t>
  </si>
  <si>
    <t>147,5</t>
  </si>
  <si>
    <t xml:space="preserve">Щенников А. </t>
  </si>
  <si>
    <t>Бордов Роман</t>
  </si>
  <si>
    <t>Открытая (28.11.2002)/19</t>
  </si>
  <si>
    <t>72,50</t>
  </si>
  <si>
    <t>Харин Максим</t>
  </si>
  <si>
    <t>Открытая (28.10.1987)/34</t>
  </si>
  <si>
    <t>212,5</t>
  </si>
  <si>
    <t xml:space="preserve">Иванов М. </t>
  </si>
  <si>
    <t>Волков Алексей</t>
  </si>
  <si>
    <t>Открытая (26.12.1992)/29</t>
  </si>
  <si>
    <t>71,40</t>
  </si>
  <si>
    <t>Ткачев Владимир</t>
  </si>
  <si>
    <t>81,30</t>
  </si>
  <si>
    <t xml:space="preserve">Фурманов/Ивановская область </t>
  </si>
  <si>
    <t>282,5</t>
  </si>
  <si>
    <t>277,5</t>
  </si>
  <si>
    <t>Рябинников Олег</t>
  </si>
  <si>
    <t>Открытая (30.05.1978)/44</t>
  </si>
  <si>
    <t>78,70</t>
  </si>
  <si>
    <t>222,5</t>
  </si>
  <si>
    <t xml:space="preserve">Иванова Е. </t>
  </si>
  <si>
    <t>Заверняев Александр</t>
  </si>
  <si>
    <t>Открытая (17.10.1980)/41</t>
  </si>
  <si>
    <t>80,80</t>
  </si>
  <si>
    <t xml:space="preserve">Судогда/Владимирская область </t>
  </si>
  <si>
    <t>Масолбасов Алексей</t>
  </si>
  <si>
    <t>Открытая (29.03.2002)/20</t>
  </si>
  <si>
    <t>77,60</t>
  </si>
  <si>
    <t>Замятин Виктор</t>
  </si>
  <si>
    <t>Открытая (02.02.1991)/31</t>
  </si>
  <si>
    <t>195,0</t>
  </si>
  <si>
    <t>Захарчев Александр</t>
  </si>
  <si>
    <t>80,10</t>
  </si>
  <si>
    <t>Симкин Андрей</t>
  </si>
  <si>
    <t>Открытая (27.05.1983)/39</t>
  </si>
  <si>
    <t>89,20</t>
  </si>
  <si>
    <t xml:space="preserve">Пенза/Пензенская область </t>
  </si>
  <si>
    <t>270,0</t>
  </si>
  <si>
    <t>Васильев Максим</t>
  </si>
  <si>
    <t>Открытая (13.10.1989)/32</t>
  </si>
  <si>
    <t>89,80</t>
  </si>
  <si>
    <t xml:space="preserve">Кубинка/Московская область </t>
  </si>
  <si>
    <t xml:space="preserve">Рябинников О. </t>
  </si>
  <si>
    <t>Воротников Алексей</t>
  </si>
  <si>
    <t>Открытая (08.10.1980)/41</t>
  </si>
  <si>
    <t>89,10</t>
  </si>
  <si>
    <t xml:space="preserve">Видное/Московская область </t>
  </si>
  <si>
    <t>Кириллов Артём</t>
  </si>
  <si>
    <t>Открытая (28.06.1988)/33</t>
  </si>
  <si>
    <t>87,80</t>
  </si>
  <si>
    <t>Абрамов Максим</t>
  </si>
  <si>
    <t>Открытая (30.08.1983)/38</t>
  </si>
  <si>
    <t>88,80</t>
  </si>
  <si>
    <t>Фомин Владимир</t>
  </si>
  <si>
    <t>Открытая (19.03.1997)/25</t>
  </si>
  <si>
    <t>84,70</t>
  </si>
  <si>
    <t>Пайзулаев Расул</t>
  </si>
  <si>
    <t>Открытая (07.09.1988)/33</t>
  </si>
  <si>
    <t>85,00</t>
  </si>
  <si>
    <t>207,5</t>
  </si>
  <si>
    <t xml:space="preserve">Ортега А. </t>
  </si>
  <si>
    <t>Мурсюкаев Марс</t>
  </si>
  <si>
    <t>Открытая (11.12.1984)/37</t>
  </si>
  <si>
    <t>89,00</t>
  </si>
  <si>
    <t>Кусакин Дмитрий</t>
  </si>
  <si>
    <t>Открытая (19.03.1990)/32</t>
  </si>
  <si>
    <t>Зубарев Игорь</t>
  </si>
  <si>
    <t>88,10</t>
  </si>
  <si>
    <t>Куличихин Андрей</t>
  </si>
  <si>
    <t>88,70</t>
  </si>
  <si>
    <t>Шабунин Александр</t>
  </si>
  <si>
    <t>93,00</t>
  </si>
  <si>
    <t xml:space="preserve">Кузнецов В. </t>
  </si>
  <si>
    <t>Майоров Александр</t>
  </si>
  <si>
    <t>Открытая (29.11.1980)/41</t>
  </si>
  <si>
    <t>95,30</t>
  </si>
  <si>
    <t xml:space="preserve">Бастрыкин А. </t>
  </si>
  <si>
    <t>Ширшов Михаил</t>
  </si>
  <si>
    <t>Открытая (30.04.1987)/35</t>
  </si>
  <si>
    <t>Третьяков Сергей</t>
  </si>
  <si>
    <t>99,60</t>
  </si>
  <si>
    <t xml:space="preserve">Краснозаводск/Московская область </t>
  </si>
  <si>
    <t xml:space="preserve">Кляузов С. </t>
  </si>
  <si>
    <t>Серегин Константин</t>
  </si>
  <si>
    <t>99,00</t>
  </si>
  <si>
    <t xml:space="preserve">Ногинск/Московская область </t>
  </si>
  <si>
    <t>Макаров Владимир</t>
  </si>
  <si>
    <t>95,20</t>
  </si>
  <si>
    <t xml:space="preserve">Собинка/Владимирская область </t>
  </si>
  <si>
    <t>Ефимов Александр</t>
  </si>
  <si>
    <t>Открытая (18.03.1979)/43</t>
  </si>
  <si>
    <t>108,80</t>
  </si>
  <si>
    <t>272,5</t>
  </si>
  <si>
    <t xml:space="preserve">Качан С. </t>
  </si>
  <si>
    <t>Елистратов Максим</t>
  </si>
  <si>
    <t>Открытая (12.07.1994)/27</t>
  </si>
  <si>
    <t>105,70</t>
  </si>
  <si>
    <t xml:space="preserve">Истра/Московская область </t>
  </si>
  <si>
    <t>Сухарев Дмитрий</t>
  </si>
  <si>
    <t>106,00</t>
  </si>
  <si>
    <t xml:space="preserve">Туляков Н. </t>
  </si>
  <si>
    <t>Gnabro Kokolou</t>
  </si>
  <si>
    <t>Открытая (11.07.1998)/23</t>
  </si>
  <si>
    <t>119,10</t>
  </si>
  <si>
    <t>52</t>
  </si>
  <si>
    <t>56</t>
  </si>
  <si>
    <t>48</t>
  </si>
  <si>
    <t>60</t>
  </si>
  <si>
    <t>110</t>
  </si>
  <si>
    <t>7</t>
  </si>
  <si>
    <t>8</t>
  </si>
  <si>
    <t>9</t>
  </si>
  <si>
    <t>Венгер Александр</t>
  </si>
  <si>
    <t>Открытая (22.02.1988)/34</t>
  </si>
  <si>
    <t>88,00</t>
  </si>
  <si>
    <t>302,5</t>
  </si>
  <si>
    <t>Семенюк Александр</t>
  </si>
  <si>
    <t>Открытая (16.05.1995)/27</t>
  </si>
  <si>
    <t>330,0</t>
  </si>
  <si>
    <t>Юдаев Александр</t>
  </si>
  <si>
    <t>Открытая (10.02.1994)/28</t>
  </si>
  <si>
    <t>98,50</t>
  </si>
  <si>
    <t>285,0</t>
  </si>
  <si>
    <t>Боначев Алексей</t>
  </si>
  <si>
    <t>Открытая (01.03.1996)/26</t>
  </si>
  <si>
    <t xml:space="preserve">Анисимов Е. </t>
  </si>
  <si>
    <t>Захаров Никита</t>
  </si>
  <si>
    <t>101,00</t>
  </si>
  <si>
    <t xml:space="preserve">Самара/Самарская область </t>
  </si>
  <si>
    <t>255,0</t>
  </si>
  <si>
    <t>Анисимов Егор</t>
  </si>
  <si>
    <t>Открытая (09.09.1988)/33</t>
  </si>
  <si>
    <t>Пономарев Владимир</t>
  </si>
  <si>
    <t>104,30</t>
  </si>
  <si>
    <t>262,5</t>
  </si>
  <si>
    <t>Комлякова Есения</t>
  </si>
  <si>
    <t>54,50</t>
  </si>
  <si>
    <t>120,5</t>
  </si>
  <si>
    <t xml:space="preserve">Гребнев Е. </t>
  </si>
  <si>
    <t>Голубовская Алла</t>
  </si>
  <si>
    <t>Открытая (29.07.1991)/30</t>
  </si>
  <si>
    <t>59,90</t>
  </si>
  <si>
    <t>Виноградова Дарья</t>
  </si>
  <si>
    <t>Открытая (21.01.1989)/33</t>
  </si>
  <si>
    <t>80,20</t>
  </si>
  <si>
    <t xml:space="preserve">Щёлково/Московская область </t>
  </si>
  <si>
    <t>Москвин Александр</t>
  </si>
  <si>
    <t>Открытая (25.11.1989)/32</t>
  </si>
  <si>
    <t xml:space="preserve">Кинешма/Ивановская область </t>
  </si>
  <si>
    <t>Майоров Дмитрий</t>
  </si>
  <si>
    <t>Открытая (04.09.1992)/29</t>
  </si>
  <si>
    <t>89,60</t>
  </si>
  <si>
    <t>Киселев Сергей</t>
  </si>
  <si>
    <t>Открытая (20.06.1990)/32</t>
  </si>
  <si>
    <t>Маренков Юрий</t>
  </si>
  <si>
    <t>Открытая (18.12.1976)/45</t>
  </si>
  <si>
    <t>96,40</t>
  </si>
  <si>
    <t xml:space="preserve">Танаев М. </t>
  </si>
  <si>
    <t>Долгих Андрей</t>
  </si>
  <si>
    <t>Открытая (06.11.1987)/34</t>
  </si>
  <si>
    <t>122,90</t>
  </si>
  <si>
    <t>Балясина Евгения</t>
  </si>
  <si>
    <t>Открытая (21.05.1989)/33</t>
  </si>
  <si>
    <t>48,00</t>
  </si>
  <si>
    <t xml:space="preserve">Беляев Р. </t>
  </si>
  <si>
    <t>Бака Елена</t>
  </si>
  <si>
    <t>Открытая (08.04.1994)/28</t>
  </si>
  <si>
    <t>58,10</t>
  </si>
  <si>
    <t xml:space="preserve">Венгер А. </t>
  </si>
  <si>
    <t>Харина Валентина</t>
  </si>
  <si>
    <t>Открытая (24.12.1977)/44</t>
  </si>
  <si>
    <t>123,0</t>
  </si>
  <si>
    <t xml:space="preserve">Прокопов М. </t>
  </si>
  <si>
    <t>Байдуров Егор</t>
  </si>
  <si>
    <t>Открытая (13.01.1986)/36</t>
  </si>
  <si>
    <t>74,50</t>
  </si>
  <si>
    <t>Сычев Сергей</t>
  </si>
  <si>
    <t>Открытая (18.07.1978)/43</t>
  </si>
  <si>
    <t>79,10</t>
  </si>
  <si>
    <t xml:space="preserve">Брянск/Брянская область </t>
  </si>
  <si>
    <t>Балясников Александр</t>
  </si>
  <si>
    <t>Открытая (20.07.1993)/28</t>
  </si>
  <si>
    <t>81,90</t>
  </si>
  <si>
    <t>Соков Денис</t>
  </si>
  <si>
    <t>Открытая (26.12.1985)/36</t>
  </si>
  <si>
    <t>81,00</t>
  </si>
  <si>
    <t xml:space="preserve">Кострома/Костромская область </t>
  </si>
  <si>
    <t>Марфицын Дмитрий</t>
  </si>
  <si>
    <t>Открытая (21.08.1991)/30</t>
  </si>
  <si>
    <t>81,20</t>
  </si>
  <si>
    <t xml:space="preserve">Краснодар/Краснодарский край </t>
  </si>
  <si>
    <t>Баранов Артём</t>
  </si>
  <si>
    <t>Открытая (03.07.1989)/32</t>
  </si>
  <si>
    <t xml:space="preserve">Силушин П. </t>
  </si>
  <si>
    <t>Федосеев Сергей</t>
  </si>
  <si>
    <t>Открытая (05.10.1992)/29</t>
  </si>
  <si>
    <t>80,90</t>
  </si>
  <si>
    <t xml:space="preserve">Балашиха/Московская область </t>
  </si>
  <si>
    <t>Козырев Сергей</t>
  </si>
  <si>
    <t>Открытая (07.02.1983)/39</t>
  </si>
  <si>
    <t xml:space="preserve">Сергиев Посад/Московская область </t>
  </si>
  <si>
    <t xml:space="preserve">Люситин М. </t>
  </si>
  <si>
    <t>Кокорев Илья</t>
  </si>
  <si>
    <t>Открытая (19.01.1973)/49</t>
  </si>
  <si>
    <t xml:space="preserve">Орехово-Зуево/Московская область </t>
  </si>
  <si>
    <t>Плюснин Олег</t>
  </si>
  <si>
    <t>79,20</t>
  </si>
  <si>
    <t xml:space="preserve">Васев А. </t>
  </si>
  <si>
    <t>Рудаков Максим</t>
  </si>
  <si>
    <t>Открытая (12.03.1991)/31</t>
  </si>
  <si>
    <t>87,70</t>
  </si>
  <si>
    <t xml:space="preserve">Воскресенск/Московская область </t>
  </si>
  <si>
    <t xml:space="preserve">Сенькин В. </t>
  </si>
  <si>
    <t>Воронин Кирилл</t>
  </si>
  <si>
    <t>Открытая (22.04.1988)/34</t>
  </si>
  <si>
    <t xml:space="preserve">Подольск/Московская область </t>
  </si>
  <si>
    <t>Филатов Антон</t>
  </si>
  <si>
    <t>Открытая (09.10.1988)/33</t>
  </si>
  <si>
    <t>Рахимов Махмадулло</t>
  </si>
  <si>
    <t>Открытая (07.09.1997)/24</t>
  </si>
  <si>
    <t>87,00</t>
  </si>
  <si>
    <t xml:space="preserve">Ульянов В. </t>
  </si>
  <si>
    <t>Рязанцев Александр</t>
  </si>
  <si>
    <t>89,30</t>
  </si>
  <si>
    <t xml:space="preserve">Журавлёв К. </t>
  </si>
  <si>
    <t>Ветров Владимир</t>
  </si>
  <si>
    <t>87,90</t>
  </si>
  <si>
    <t xml:space="preserve">Домодедово/Московская область </t>
  </si>
  <si>
    <t xml:space="preserve">Петров А. </t>
  </si>
  <si>
    <t>Пыткин Максим</t>
  </si>
  <si>
    <t>Открытая (30.03.1992)/30</t>
  </si>
  <si>
    <t>96,20</t>
  </si>
  <si>
    <t xml:space="preserve">Липецк/Липецкая область </t>
  </si>
  <si>
    <t>Бакушкин Юрий</t>
  </si>
  <si>
    <t>Открытая (17.07.1990)/31</t>
  </si>
  <si>
    <t>91,50</t>
  </si>
  <si>
    <t>Терлецкий Матвей</t>
  </si>
  <si>
    <t>Открытая (22.04.1992)/30</t>
  </si>
  <si>
    <t xml:space="preserve">Потапов А. </t>
  </si>
  <si>
    <t>Горшков Никита</t>
  </si>
  <si>
    <t>Открытая (08.06.1991)/31</t>
  </si>
  <si>
    <t>99,10</t>
  </si>
  <si>
    <t>Кашицын Дмитрий</t>
  </si>
  <si>
    <t>Открытая (26.09.1989)/32</t>
  </si>
  <si>
    <t xml:space="preserve">Муром/Владимирская область </t>
  </si>
  <si>
    <t>Шарапов Владислав</t>
  </si>
  <si>
    <t>Открытая (20.10.1994)/27</t>
  </si>
  <si>
    <t>96,00</t>
  </si>
  <si>
    <t>Синюхин Алексей</t>
  </si>
  <si>
    <t>Открытая (22.07.1993)/28</t>
  </si>
  <si>
    <t>97,20</t>
  </si>
  <si>
    <t>Богачев Дмитрий</t>
  </si>
  <si>
    <t>Открытая (26.03.1996)/26</t>
  </si>
  <si>
    <t>91,80</t>
  </si>
  <si>
    <t>Касатов Дмитрий</t>
  </si>
  <si>
    <t>98,60</t>
  </si>
  <si>
    <t xml:space="preserve">Пушкино/Московская область </t>
  </si>
  <si>
    <t>Оводов Игорь</t>
  </si>
  <si>
    <t>Пеньков Александр</t>
  </si>
  <si>
    <t xml:space="preserve">Капитонов Ю. </t>
  </si>
  <si>
    <t>Зяблов Николай</t>
  </si>
  <si>
    <t xml:space="preserve">Дубна/Московская область </t>
  </si>
  <si>
    <t xml:space="preserve">Разумов А. </t>
  </si>
  <si>
    <t>Солохин Денис</t>
  </si>
  <si>
    <t>Открытая (25.02.1981)/41</t>
  </si>
  <si>
    <t>101,10</t>
  </si>
  <si>
    <t>Мурашов Максим</t>
  </si>
  <si>
    <t>Открытая (19.09.1979)/42</t>
  </si>
  <si>
    <t>108,00</t>
  </si>
  <si>
    <t>Моисеев Александр</t>
  </si>
  <si>
    <t>Открытая (11.11.1972)/49</t>
  </si>
  <si>
    <t>109,70</t>
  </si>
  <si>
    <t>Самодуров Владимир</t>
  </si>
  <si>
    <t>105,50</t>
  </si>
  <si>
    <t xml:space="preserve">Вологда/Вологодская область </t>
  </si>
  <si>
    <t xml:space="preserve">Якушевич А. </t>
  </si>
  <si>
    <t>Селезнёв Виталий</t>
  </si>
  <si>
    <t>Открытая (23.09.1987)/34</t>
  </si>
  <si>
    <t>122,20</t>
  </si>
  <si>
    <t xml:space="preserve">Лисютин М. </t>
  </si>
  <si>
    <t>Кустов Максим</t>
  </si>
  <si>
    <t>Открытая (25.03.1985)/37</t>
  </si>
  <si>
    <t>114,60</t>
  </si>
  <si>
    <t>Куликов Евгений</t>
  </si>
  <si>
    <t>Открытая (18.03.1983)/39</t>
  </si>
  <si>
    <t>121,80</t>
  </si>
  <si>
    <t xml:space="preserve">Порядин И. </t>
  </si>
  <si>
    <t>ВЕСОВАЯ КАТЕГОРИЯ   140</t>
  </si>
  <si>
    <t>Филиппов Антон</t>
  </si>
  <si>
    <t>Открытая (12.08.1986)/35</t>
  </si>
  <si>
    <t>135,70</t>
  </si>
  <si>
    <t xml:space="preserve">Результат </t>
  </si>
  <si>
    <t>Результат</t>
  </si>
  <si>
    <t>10</t>
  </si>
  <si>
    <t>Идиятуллина Алия</t>
  </si>
  <si>
    <t>Открытая (01.04.1990)/32</t>
  </si>
  <si>
    <t>44,60</t>
  </si>
  <si>
    <t xml:space="preserve">Сочи/Краснодарский край </t>
  </si>
  <si>
    <t>Кузнецова Ксения</t>
  </si>
  <si>
    <t>Открытая (01.11.1989)/32</t>
  </si>
  <si>
    <t>50,70</t>
  </si>
  <si>
    <t xml:space="preserve">Сапожонков А. </t>
  </si>
  <si>
    <t>Авдеева Екатерина</t>
  </si>
  <si>
    <t>Открытая (09.02.1982)/40</t>
  </si>
  <si>
    <t>48,50</t>
  </si>
  <si>
    <t>Качан Ярослава</t>
  </si>
  <si>
    <t>Открытая (03.03.1990)/32</t>
  </si>
  <si>
    <t>55,60</t>
  </si>
  <si>
    <t>Артемьева Ирина</t>
  </si>
  <si>
    <t>Открытая (26.09.1985)/36</t>
  </si>
  <si>
    <t>Баннова Екатерина</t>
  </si>
  <si>
    <t>Открытая (12.02.1986)/36</t>
  </si>
  <si>
    <t>55,50</t>
  </si>
  <si>
    <t xml:space="preserve">Гусаров К. </t>
  </si>
  <si>
    <t>Голуб Анна</t>
  </si>
  <si>
    <t>Открытая (23.06.1992)/30</t>
  </si>
  <si>
    <t>55,30</t>
  </si>
  <si>
    <t xml:space="preserve">Павлов А. </t>
  </si>
  <si>
    <t>Красикова Инна</t>
  </si>
  <si>
    <t>Открытая (27.10.1994)/27</t>
  </si>
  <si>
    <t>53,70</t>
  </si>
  <si>
    <t xml:space="preserve">Пржевальское/Смоленская область </t>
  </si>
  <si>
    <t>Савчук Анастасия</t>
  </si>
  <si>
    <t>Открытая (31.03.1992)/30</t>
  </si>
  <si>
    <t>57,00</t>
  </si>
  <si>
    <t xml:space="preserve">Силантьев А. </t>
  </si>
  <si>
    <t>Григорьева Светлана</t>
  </si>
  <si>
    <t>Открытая (15.07.1982)/39</t>
  </si>
  <si>
    <t>65,20</t>
  </si>
  <si>
    <t xml:space="preserve">Крылов В. </t>
  </si>
  <si>
    <t>Лымарева Елена</t>
  </si>
  <si>
    <t>Открытая (20.04.1966)/56</t>
  </si>
  <si>
    <t>70,50</t>
  </si>
  <si>
    <t xml:space="preserve">Вишняков М. </t>
  </si>
  <si>
    <t>Соловьева Ирина</t>
  </si>
  <si>
    <t>Открытая (04.07.1981)/40</t>
  </si>
  <si>
    <t>82,40</t>
  </si>
  <si>
    <t>Уханова Наталия</t>
  </si>
  <si>
    <t>Открытая (31.05.1989)/33</t>
  </si>
  <si>
    <t xml:space="preserve">Уханов П. </t>
  </si>
  <si>
    <t>Поднебесная Ирина</t>
  </si>
  <si>
    <t>Открытая (28.02.1977)/45</t>
  </si>
  <si>
    <t>95,80</t>
  </si>
  <si>
    <t>Сухарев Никита</t>
  </si>
  <si>
    <t>Юноши 15-19 (02.11.2011)/10</t>
  </si>
  <si>
    <t>46,30</t>
  </si>
  <si>
    <t>32,5</t>
  </si>
  <si>
    <t xml:space="preserve">Сухарев А. </t>
  </si>
  <si>
    <t>Касараев Никита</t>
  </si>
  <si>
    <t>Юноши 15-19 (10.11.2011)/10</t>
  </si>
  <si>
    <t>33,70</t>
  </si>
  <si>
    <t xml:space="preserve">Владивосток/Приморский край </t>
  </si>
  <si>
    <t>20,0</t>
  </si>
  <si>
    <t>Открытая (10.11.2011)/10</t>
  </si>
  <si>
    <t>Стреляев Даниил</t>
  </si>
  <si>
    <t>Юноши 15-19 (05.06.2003)/19</t>
  </si>
  <si>
    <t>64,70</t>
  </si>
  <si>
    <t xml:space="preserve">Донской/Тульская область </t>
  </si>
  <si>
    <t>Лебедик Павел</t>
  </si>
  <si>
    <t>66,60</t>
  </si>
  <si>
    <t>Нежиков Иван</t>
  </si>
  <si>
    <t>Открытая (27.04.1997)/25</t>
  </si>
  <si>
    <t>65,50</t>
  </si>
  <si>
    <t>Савкин Андрей</t>
  </si>
  <si>
    <t>Юноши 15-19 (10.03.2006)/16</t>
  </si>
  <si>
    <t>73,40</t>
  </si>
  <si>
    <t>Шишлянников Даниил</t>
  </si>
  <si>
    <t>71,10</t>
  </si>
  <si>
    <t xml:space="preserve">Ступино/Московская область </t>
  </si>
  <si>
    <t xml:space="preserve">Шишлянников Д. </t>
  </si>
  <si>
    <t>Касараев Сергей</t>
  </si>
  <si>
    <t>Открытая (18.02.1974)/48</t>
  </si>
  <si>
    <t>Тамоян Васпурак</t>
  </si>
  <si>
    <t>Открытая (20.12.1990)/31</t>
  </si>
  <si>
    <t>81,80</t>
  </si>
  <si>
    <t>Болотников Сергей</t>
  </si>
  <si>
    <t>Открытая (05.11.1996)/25</t>
  </si>
  <si>
    <t>Кузьмичёв Сергей</t>
  </si>
  <si>
    <t>Открытая (14.01.1986)/36</t>
  </si>
  <si>
    <t>Пономарев Михаил</t>
  </si>
  <si>
    <t>Открытая (22.02.1984)/38</t>
  </si>
  <si>
    <t xml:space="preserve">Пыткин М. </t>
  </si>
  <si>
    <t>Дмитриев Илья</t>
  </si>
  <si>
    <t>Открытая (08.12.1991)/30</t>
  </si>
  <si>
    <t>Тимофеев Игорь</t>
  </si>
  <si>
    <t>Бабич Артем</t>
  </si>
  <si>
    <t xml:space="preserve">Кузнецов С. </t>
  </si>
  <si>
    <t>Самвел Едигарян</t>
  </si>
  <si>
    <t>Открытая (23.10.1985)/36</t>
  </si>
  <si>
    <t>88,90</t>
  </si>
  <si>
    <t>Шувалов Денис</t>
  </si>
  <si>
    <t>86,40</t>
  </si>
  <si>
    <t>Данильченко Алексей</t>
  </si>
  <si>
    <t>Открытая (10.10.1990)/31</t>
  </si>
  <si>
    <t>98,00</t>
  </si>
  <si>
    <t xml:space="preserve">Камышин/Волгоградская область </t>
  </si>
  <si>
    <t>Мирзоян Евгений</t>
  </si>
  <si>
    <t>Открытая (26.06.1991)/30</t>
  </si>
  <si>
    <t>99,30</t>
  </si>
  <si>
    <t>Солодин Дмитрий</t>
  </si>
  <si>
    <t>Открытая (05.08.1992)/29</t>
  </si>
  <si>
    <t xml:space="preserve">Богородск/Нижегородская область </t>
  </si>
  <si>
    <t>Бобров Виталий</t>
  </si>
  <si>
    <t>Открытая (30.07.1981)/40</t>
  </si>
  <si>
    <t>Азарсков Николай</t>
  </si>
  <si>
    <t>Открытая (24.05.1996)/26</t>
  </si>
  <si>
    <t>98,10</t>
  </si>
  <si>
    <t>Коновалов Алексей</t>
  </si>
  <si>
    <t>Открытая (06.07.1992)/29</t>
  </si>
  <si>
    <t>Киселев Алексей</t>
  </si>
  <si>
    <t>95,40</t>
  </si>
  <si>
    <t>Вахидов Шухрат</t>
  </si>
  <si>
    <t>95,70</t>
  </si>
  <si>
    <t xml:space="preserve">Слободской/Кировская область </t>
  </si>
  <si>
    <t>Егоров Андрей</t>
  </si>
  <si>
    <t>98,40</t>
  </si>
  <si>
    <t xml:space="preserve">Ряховский Д. </t>
  </si>
  <si>
    <t>Немов Алексей</t>
  </si>
  <si>
    <t>Открытая (30.01.1990)/32</t>
  </si>
  <si>
    <t>108,60</t>
  </si>
  <si>
    <t>Инешин Николай</t>
  </si>
  <si>
    <t>Открытая (19.12.1991)/30</t>
  </si>
  <si>
    <t>Цаплин Александр</t>
  </si>
  <si>
    <t>Открытая (24.11.1987)/34</t>
  </si>
  <si>
    <t>123,40</t>
  </si>
  <si>
    <t xml:space="preserve">Реутов/Московская область </t>
  </si>
  <si>
    <t>Орляков Сергей</t>
  </si>
  <si>
    <t>Открытая (30.03.1983)/39</t>
  </si>
  <si>
    <t>120,40</t>
  </si>
  <si>
    <t>Гаврилов Сергей</t>
  </si>
  <si>
    <t>123,00</t>
  </si>
  <si>
    <t>Крюков Владислав</t>
  </si>
  <si>
    <t>111,40</t>
  </si>
  <si>
    <t>Евстифеев Павел</t>
  </si>
  <si>
    <t>Открытая (23.08.1992)/29</t>
  </si>
  <si>
    <t>136,40</t>
  </si>
  <si>
    <t xml:space="preserve">Зорин С. </t>
  </si>
  <si>
    <t>Максименко Сергей</t>
  </si>
  <si>
    <t>Открытая (14.05.1986)/36</t>
  </si>
  <si>
    <t>131,10</t>
  </si>
  <si>
    <t>Чубаров Владимир</t>
  </si>
  <si>
    <t>134,30</t>
  </si>
  <si>
    <t>125</t>
  </si>
  <si>
    <t>140</t>
  </si>
  <si>
    <t>Чугуров Сергей</t>
  </si>
  <si>
    <t>Открытая (22.06.1993)/29</t>
  </si>
  <si>
    <t>Самардин Алексей</t>
  </si>
  <si>
    <t>Открытая (08.09.1983)/38</t>
  </si>
  <si>
    <t xml:space="preserve">Панкратов И. </t>
  </si>
  <si>
    <t>Краснобаев Даниил</t>
  </si>
  <si>
    <t>77,50</t>
  </si>
  <si>
    <t xml:space="preserve">Кровиков А. </t>
  </si>
  <si>
    <t>Новиков Олег</t>
  </si>
  <si>
    <t>Открытая (27.02.1992)/30</t>
  </si>
  <si>
    <t>Кончаков Владимир</t>
  </si>
  <si>
    <t>Открытая (25.05.1973)/49</t>
  </si>
  <si>
    <t>101,50</t>
  </si>
  <si>
    <t>311,0</t>
  </si>
  <si>
    <t>Горбачев Дмитрий</t>
  </si>
  <si>
    <t>Открытая (06.03.1970)/52</t>
  </si>
  <si>
    <t>114,90</t>
  </si>
  <si>
    <t xml:space="preserve">Раменское/Московская область </t>
  </si>
  <si>
    <t>306,0</t>
  </si>
  <si>
    <t>Никандров Евгений</t>
  </si>
  <si>
    <t>Открытая (20.11.1990)/31</t>
  </si>
  <si>
    <t>124,00</t>
  </si>
  <si>
    <t xml:space="preserve">Магнитогорск/Челябинская область </t>
  </si>
  <si>
    <t>247,5</t>
  </si>
  <si>
    <t xml:space="preserve">Палей А. </t>
  </si>
  <si>
    <t>Пышминцев Николай</t>
  </si>
  <si>
    <t>Открытая (04.01.1981)/41</t>
  </si>
  <si>
    <t>133,00</t>
  </si>
  <si>
    <t>287,5</t>
  </si>
  <si>
    <t>Назгаидзе Виктор</t>
  </si>
  <si>
    <t>104,50</t>
  </si>
  <si>
    <t>Зайцева Екатерина</t>
  </si>
  <si>
    <t>Открытая (12.02.1987)/35</t>
  </si>
  <si>
    <t>237,5</t>
  </si>
  <si>
    <t>Сахаутдинов Вадим</t>
  </si>
  <si>
    <t>77,40</t>
  </si>
  <si>
    <t>Палей Андрей</t>
  </si>
  <si>
    <t>Открытая (11.10.1961)/60</t>
  </si>
  <si>
    <t>97,40</t>
  </si>
  <si>
    <t xml:space="preserve">Рогожников К. </t>
  </si>
  <si>
    <t>Кровиков Александр</t>
  </si>
  <si>
    <t>93,40</t>
  </si>
  <si>
    <t xml:space="preserve">Дзержинский/Московская область </t>
  </si>
  <si>
    <t>Васильева Александра</t>
  </si>
  <si>
    <t>Открытая (15.08.1997)/24</t>
  </si>
  <si>
    <t>69,60</t>
  </si>
  <si>
    <t>Горбунова Анастасия</t>
  </si>
  <si>
    <t>Открытая (09.07.1996)/25</t>
  </si>
  <si>
    <t>75,00</t>
  </si>
  <si>
    <t>Горбачева Наталья</t>
  </si>
  <si>
    <t>74,30</t>
  </si>
  <si>
    <t xml:space="preserve">Горбачев Д. </t>
  </si>
  <si>
    <t>Шахурин Василий</t>
  </si>
  <si>
    <t>Открытая (21.12.1985)/36</t>
  </si>
  <si>
    <t>340,0</t>
  </si>
  <si>
    <t>Кляузов Сергей</t>
  </si>
  <si>
    <t>Открытая (28.01.1990)/32</t>
  </si>
  <si>
    <t>96,80</t>
  </si>
  <si>
    <t>Карпов Eвгений</t>
  </si>
  <si>
    <t xml:space="preserve">Дзержинск/Нижегородская область </t>
  </si>
  <si>
    <t>Капралов Виктор</t>
  </si>
  <si>
    <t>Открытая (30.09.1981)/40</t>
  </si>
  <si>
    <t>110,00</t>
  </si>
  <si>
    <t xml:space="preserve">Фотин А. </t>
  </si>
  <si>
    <t>Прокофьев Никита</t>
  </si>
  <si>
    <t>Открытая (27.06.1998)/23</t>
  </si>
  <si>
    <t>Самарянов Дмитрий</t>
  </si>
  <si>
    <t>Открытая (17.10.1978)/43</t>
  </si>
  <si>
    <t>116,90</t>
  </si>
  <si>
    <t>Крамсков Алексей</t>
  </si>
  <si>
    <t>Открытая (12.01.1994)/28</t>
  </si>
  <si>
    <t>118,40</t>
  </si>
  <si>
    <t xml:space="preserve">Ушаков А. </t>
  </si>
  <si>
    <t>Зубарева Мария</t>
  </si>
  <si>
    <t>Девушки 15-19 (27.07.2011)/10</t>
  </si>
  <si>
    <t>42,70</t>
  </si>
  <si>
    <t>Монова Анастасия</t>
  </si>
  <si>
    <t>Девушки 15-19 (22.04.2007)/15</t>
  </si>
  <si>
    <t>47,70</t>
  </si>
  <si>
    <t xml:space="preserve">Салахетдинов Э </t>
  </si>
  <si>
    <t xml:space="preserve">Дурнов Р. </t>
  </si>
  <si>
    <t>Следь Анастасия</t>
  </si>
  <si>
    <t>Открытая (05.08.1985)/36</t>
  </si>
  <si>
    <t>55,20</t>
  </si>
  <si>
    <t xml:space="preserve">Соколов Н. </t>
  </si>
  <si>
    <t>Харламова Елизавета</t>
  </si>
  <si>
    <t>Открытая (09.07.1990)/31</t>
  </si>
  <si>
    <t xml:space="preserve">Солохин Д. </t>
  </si>
  <si>
    <t>Расулова Надежда</t>
  </si>
  <si>
    <t>Открытая (30.05.1991)/31</t>
  </si>
  <si>
    <t>55,90</t>
  </si>
  <si>
    <t>Никифорова Елена</t>
  </si>
  <si>
    <t>Открытая (20.07.1996)/25</t>
  </si>
  <si>
    <t xml:space="preserve">Верея/Московская область </t>
  </si>
  <si>
    <t>Свириденко Алина</t>
  </si>
  <si>
    <t>58,90</t>
  </si>
  <si>
    <t xml:space="preserve">Марьян И. </t>
  </si>
  <si>
    <t>Кусакина Александра</t>
  </si>
  <si>
    <t>Открытая (02.07.1993)/28</t>
  </si>
  <si>
    <t>59,10</t>
  </si>
  <si>
    <t xml:space="preserve">Тейково/Ивановская область </t>
  </si>
  <si>
    <t>Скуратова Наталья</t>
  </si>
  <si>
    <t>Открытая (24.09.1972)/49</t>
  </si>
  <si>
    <t xml:space="preserve">Гаврилов С. </t>
  </si>
  <si>
    <t>Петрова Александра</t>
  </si>
  <si>
    <t>Открытая (19.08.1998)/23</t>
  </si>
  <si>
    <t xml:space="preserve">Палоян В. </t>
  </si>
  <si>
    <t>Мартьянцева Ирина</t>
  </si>
  <si>
    <t>Открытая (20.12.1989)/32</t>
  </si>
  <si>
    <t>63,00</t>
  </si>
  <si>
    <t xml:space="preserve">Спиридонов В. </t>
  </si>
  <si>
    <t>Задкова Наталия</t>
  </si>
  <si>
    <t>Открытая (18.01.1986)/36</t>
  </si>
  <si>
    <t>66,10</t>
  </si>
  <si>
    <t>Максименко Ольга</t>
  </si>
  <si>
    <t>Открытая (05.08.1987)/34</t>
  </si>
  <si>
    <t>65,00</t>
  </si>
  <si>
    <t>Шобанова Екатерина</t>
  </si>
  <si>
    <t>Лобанова Ульяна</t>
  </si>
  <si>
    <t>Таюрский Егор</t>
  </si>
  <si>
    <t>Юноши 15-19 (24.11.2006)/15</t>
  </si>
  <si>
    <t>53,90</t>
  </si>
  <si>
    <t>Романов Иван</t>
  </si>
  <si>
    <t>Открытая (05.08.1993)/28</t>
  </si>
  <si>
    <t>Власов Николай</t>
  </si>
  <si>
    <t>Открытая (26.11.1986)/35</t>
  </si>
  <si>
    <t>86,30</t>
  </si>
  <si>
    <t>Каминский Евгений</t>
  </si>
  <si>
    <t>Открытая (07.06.1991)/31</t>
  </si>
  <si>
    <t>98,90</t>
  </si>
  <si>
    <t>335,0</t>
  </si>
  <si>
    <t>Трухин Кирилл</t>
  </si>
  <si>
    <t>Открытая (26.02.1993)/29</t>
  </si>
  <si>
    <t>97,30</t>
  </si>
  <si>
    <t>Редченко Евгений</t>
  </si>
  <si>
    <t>Открытая (22.06.1985)/37</t>
  </si>
  <si>
    <t>92,40</t>
  </si>
  <si>
    <t xml:space="preserve">Парфенцев А. </t>
  </si>
  <si>
    <t>Лоханов Николай</t>
  </si>
  <si>
    <t>97,80</t>
  </si>
  <si>
    <t>Открытая (08.08.1979)/42</t>
  </si>
  <si>
    <t>Мартьянов Кирилл</t>
  </si>
  <si>
    <t>Открытая (13.10.1990)/31</t>
  </si>
  <si>
    <t>125,00</t>
  </si>
  <si>
    <t>Сергачев Александр</t>
  </si>
  <si>
    <t>Открытая (08.08.1994)/27</t>
  </si>
  <si>
    <t>115,70</t>
  </si>
  <si>
    <t>Таганов Михаил</t>
  </si>
  <si>
    <t>Открытая (14.12.1984)/37</t>
  </si>
  <si>
    <t>Василенко Дмитрий</t>
  </si>
  <si>
    <t>109,80</t>
  </si>
  <si>
    <t>Смирнов Василий</t>
  </si>
  <si>
    <t>98,70</t>
  </si>
  <si>
    <t>Курнышов Максим</t>
  </si>
  <si>
    <t>Открытая (22.08.1990)/31</t>
  </si>
  <si>
    <t>Прошин Алексей</t>
  </si>
  <si>
    <t>Открытая (10.04.1984)/38</t>
  </si>
  <si>
    <t>94,20</t>
  </si>
  <si>
    <t>Демидова Анна</t>
  </si>
  <si>
    <t>Открытая (12.08.1983)/38</t>
  </si>
  <si>
    <t>57,60</t>
  </si>
  <si>
    <t>Черный Станислав</t>
  </si>
  <si>
    <t>Открытая (16.12.1992)/29</t>
  </si>
  <si>
    <t>Сидоровский Сергей</t>
  </si>
  <si>
    <t>72,00</t>
  </si>
  <si>
    <t>Киселев Евгений</t>
  </si>
  <si>
    <t>Открытая (23.08.1988)/33</t>
  </si>
  <si>
    <t>87,20</t>
  </si>
  <si>
    <t xml:space="preserve">Ляпин Е. </t>
  </si>
  <si>
    <t>Дмитриев Максим</t>
  </si>
  <si>
    <t>Открытая (29.05.1991)/31</t>
  </si>
  <si>
    <t>87,10</t>
  </si>
  <si>
    <t>Таюрский Александр</t>
  </si>
  <si>
    <t>88,20</t>
  </si>
  <si>
    <t>Stoyanovich Milyan</t>
  </si>
  <si>
    <t>Открытая (28.12.1988)/33</t>
  </si>
  <si>
    <t>Боровков Владимир</t>
  </si>
  <si>
    <t>Открытая (13.11.1992)/29</t>
  </si>
  <si>
    <t>73,00</t>
  </si>
  <si>
    <t xml:space="preserve">Кстово/Нижегородская область </t>
  </si>
  <si>
    <t xml:space="preserve">Козырев О. </t>
  </si>
  <si>
    <t>Тяга</t>
  </si>
  <si>
    <t xml:space="preserve">Gloss </t>
  </si>
  <si>
    <t xml:space="preserve">Солнечногорск/Московская область </t>
  </si>
  <si>
    <t>Акулич Александр</t>
  </si>
  <si>
    <t>Открытая (17.11.1981)/40</t>
  </si>
  <si>
    <t>89,40</t>
  </si>
  <si>
    <t>35,0</t>
  </si>
  <si>
    <t xml:space="preserve">Ковалев С. </t>
  </si>
  <si>
    <t xml:space="preserve">Мастера 60-69 </t>
  </si>
  <si>
    <t xml:space="preserve">Григорьев Д. </t>
  </si>
  <si>
    <t>Мечетина Любовь</t>
  </si>
  <si>
    <t>37,5</t>
  </si>
  <si>
    <t xml:space="preserve">Химки/Московская область </t>
  </si>
  <si>
    <t>Родин Андрей</t>
  </si>
  <si>
    <t>Открытая (02.09.1971)/50</t>
  </si>
  <si>
    <t>68,0</t>
  </si>
  <si>
    <t>Архипов Сергей</t>
  </si>
  <si>
    <t>Открытая (25.12.1997)/24</t>
  </si>
  <si>
    <t xml:space="preserve">Денискин С. </t>
  </si>
  <si>
    <t>Козочкина Олеся</t>
  </si>
  <si>
    <t>Открытая (11.08.1993)/28</t>
  </si>
  <si>
    <t>47,40</t>
  </si>
  <si>
    <t>22,5</t>
  </si>
  <si>
    <t>Семянина Наталья</t>
  </si>
  <si>
    <t>Открытая (08.03.2005)/17</t>
  </si>
  <si>
    <t>Семенов Николай</t>
  </si>
  <si>
    <t>Открытая (05.04.1988)/34</t>
  </si>
  <si>
    <t>Стариков Евгений</t>
  </si>
  <si>
    <t>76,20</t>
  </si>
  <si>
    <t xml:space="preserve">Киров/Калужская область </t>
  </si>
  <si>
    <t>Заидов Никита</t>
  </si>
  <si>
    <t>Открытая (14.05.1993)/29</t>
  </si>
  <si>
    <t>77,90</t>
  </si>
  <si>
    <t>Шмаков Сергей</t>
  </si>
  <si>
    <t>66,0</t>
  </si>
  <si>
    <t>Воронин Руслан</t>
  </si>
  <si>
    <t>107,50</t>
  </si>
  <si>
    <t>76,0</t>
  </si>
  <si>
    <t>Игнатуша Антон</t>
  </si>
  <si>
    <t>Открытая (10.01.1995)/27</t>
  </si>
  <si>
    <t>Открытая (31.10.1975)/46</t>
  </si>
  <si>
    <t>85,10</t>
  </si>
  <si>
    <t>Новикова Лилия</t>
  </si>
  <si>
    <t>Мастера 50-59 (20.08.1964)/57</t>
  </si>
  <si>
    <t>70,30</t>
  </si>
  <si>
    <t xml:space="preserve">Родники/Ивановская область </t>
  </si>
  <si>
    <t xml:space="preserve">Ковалёв С. </t>
  </si>
  <si>
    <t>Зайцева Таисья</t>
  </si>
  <si>
    <t>Мастера 70-79 (30.08.1947)/74</t>
  </si>
  <si>
    <t>76,30</t>
  </si>
  <si>
    <t xml:space="preserve">Вичуга/Ивановская область </t>
  </si>
  <si>
    <t>Косарев Евгений</t>
  </si>
  <si>
    <t>Мастера 60-69 (29.03.1961)/61</t>
  </si>
  <si>
    <t>64,90</t>
  </si>
  <si>
    <t>Жирнов Никита</t>
  </si>
  <si>
    <t xml:space="preserve">Кашицын Д. </t>
  </si>
  <si>
    <t>Пачин Алексей</t>
  </si>
  <si>
    <t>Мастера 40-49 (02.03.1979)/43</t>
  </si>
  <si>
    <t>68,10</t>
  </si>
  <si>
    <t>Горев Николай</t>
  </si>
  <si>
    <t>Мастера 70-79 (15.03.1950)/72</t>
  </si>
  <si>
    <t>68,60</t>
  </si>
  <si>
    <t>78,0</t>
  </si>
  <si>
    <t>Аркадьев Анатолий</t>
  </si>
  <si>
    <t>Мастера 60-69 (17.08.1954)/67</t>
  </si>
  <si>
    <t>Леднев Александр</t>
  </si>
  <si>
    <t>Мастера 40-49 (02.05.1973)/49</t>
  </si>
  <si>
    <t>Пурышев Иван</t>
  </si>
  <si>
    <t>Мастера 40-49 (03.05.1980)/42</t>
  </si>
  <si>
    <t>Кузнецов Владимир</t>
  </si>
  <si>
    <t>Мастера 70-79 (04.03.1945)/77</t>
  </si>
  <si>
    <t>92,60</t>
  </si>
  <si>
    <t>Ковалев Сергей</t>
  </si>
  <si>
    <t>Мастера 50-59 (22.05.1969)/53</t>
  </si>
  <si>
    <t>101,70</t>
  </si>
  <si>
    <t xml:space="preserve">Мастера 50-59 </t>
  </si>
  <si>
    <t>Лазуренко Ольга</t>
  </si>
  <si>
    <t>Открытая (05.09.1971)/50</t>
  </si>
  <si>
    <t xml:space="preserve">Воронеж/Воронежская область </t>
  </si>
  <si>
    <t xml:space="preserve">Беловал Е. </t>
  </si>
  <si>
    <t>Макарова Елена</t>
  </si>
  <si>
    <t>72,80</t>
  </si>
  <si>
    <t>Матвеев Александр</t>
  </si>
  <si>
    <t>Открытая (14.03.1974)/48</t>
  </si>
  <si>
    <t>292,5</t>
  </si>
  <si>
    <t>Илюшин Руслан</t>
  </si>
  <si>
    <t>Открытая (25.02.1991)/31</t>
  </si>
  <si>
    <t>Черняев Владимир</t>
  </si>
  <si>
    <t>Открытая (21.12.1988)/33</t>
  </si>
  <si>
    <t xml:space="preserve">Грудев А. </t>
  </si>
  <si>
    <t>Плетнев Виталий</t>
  </si>
  <si>
    <t>Сухарев Андрей</t>
  </si>
  <si>
    <t>Открытая (22.07.1974)/47</t>
  </si>
  <si>
    <t>103,90</t>
  </si>
  <si>
    <t>Пузырев Денис</t>
  </si>
  <si>
    <t>Открытая (31.03.1974)/48</t>
  </si>
  <si>
    <t>Гусарова Екатерина</t>
  </si>
  <si>
    <t>Открытая (21.10.1992)/29</t>
  </si>
  <si>
    <t>Прокопова Елена</t>
  </si>
  <si>
    <t>Открытая (07.03.1966)/56</t>
  </si>
  <si>
    <t>Медведева Виктория</t>
  </si>
  <si>
    <t>Открытая (02.02.1992)/30</t>
  </si>
  <si>
    <t>63,50</t>
  </si>
  <si>
    <t>Хузин Ринат</t>
  </si>
  <si>
    <t>Барышев Дмитрий</t>
  </si>
  <si>
    <t>Открытая (09.01.1997)/25</t>
  </si>
  <si>
    <t>69,70</t>
  </si>
  <si>
    <t>Силушин Павел</t>
  </si>
  <si>
    <t>Открытая (17.09.1989)/32</t>
  </si>
  <si>
    <t>77,20</t>
  </si>
  <si>
    <t>242,5</t>
  </si>
  <si>
    <t xml:space="preserve">Силушин А. </t>
  </si>
  <si>
    <t>Семенов Роман</t>
  </si>
  <si>
    <t>Открытая (12.11.1979)/42</t>
  </si>
  <si>
    <t>Чебыкин Андрей</t>
  </si>
  <si>
    <t xml:space="preserve">Великий Устюг/Вологодская область </t>
  </si>
  <si>
    <t>Беспаликов Валерий</t>
  </si>
  <si>
    <t>105,90</t>
  </si>
  <si>
    <t xml:space="preserve">Сербин А. </t>
  </si>
  <si>
    <t>Евтеев Алексей</t>
  </si>
  <si>
    <t>115,20</t>
  </si>
  <si>
    <t>380,0</t>
  </si>
  <si>
    <t>410,0</t>
  </si>
  <si>
    <t>425,0</t>
  </si>
  <si>
    <t xml:space="preserve">Сайденцаль О. </t>
  </si>
  <si>
    <t>Чеботаев Дмитрий</t>
  </si>
  <si>
    <t>Открытая (09.11.1990)/31</t>
  </si>
  <si>
    <t>120,70</t>
  </si>
  <si>
    <t xml:space="preserve">Мытищи/Московская область </t>
  </si>
  <si>
    <t>400,0</t>
  </si>
  <si>
    <t>Спиридонов Василий</t>
  </si>
  <si>
    <t>Открытая (06.01.1984)/38</t>
  </si>
  <si>
    <t>138,10</t>
  </si>
  <si>
    <t>350,0</t>
  </si>
  <si>
    <t>365,0</t>
  </si>
  <si>
    <t>Сухарев Кирилл</t>
  </si>
  <si>
    <t>Открытая (21.12.1993)/28</t>
  </si>
  <si>
    <t>Костюков Иван</t>
  </si>
  <si>
    <t>Открытая (07.06.1988)/34</t>
  </si>
  <si>
    <t xml:space="preserve"> Гук Н.</t>
  </si>
  <si>
    <t>Весовая категория</t>
  </si>
  <si>
    <t>Юниорки 20-23 (08.02.1999)/23</t>
  </si>
  <si>
    <t>Юниорки 20-23 (25.08.1999)/22</t>
  </si>
  <si>
    <t>Мастера 45-49 (06.06.1976)/46</t>
  </si>
  <si>
    <t>Мастера 40-44 (12.01.1979)/43</t>
  </si>
  <si>
    <t>Мастера 45-49 (05.02.1973)/49</t>
  </si>
  <si>
    <t>Юниоры 20-23 (06.04.2001)/21</t>
  </si>
  <si>
    <t>Мастера 40-44 (30.05.1978)/44</t>
  </si>
  <si>
    <t>Мастера 40-44 (12.09.1978)/43</t>
  </si>
  <si>
    <t>Мастера 40-44 (21.01.1980)/42</t>
  </si>
  <si>
    <t>Мастера 45-49 (16.06.1977)/45</t>
  </si>
  <si>
    <t>Юниоры 20-23 (12.09.2001)/20</t>
  </si>
  <si>
    <t>Мастера 40-44 (29.11.1980)/41</t>
  </si>
  <si>
    <t>Мастера 40-44 (17.08.1978)/43</t>
  </si>
  <si>
    <t>Мастера 40-44 (19.01.1978)/44</t>
  </si>
  <si>
    <t>Мастера 75-79 (25.07.1946)/75</t>
  </si>
  <si>
    <t>Мастера 40-44 (18.03.1979)/43</t>
  </si>
  <si>
    <t>Мастера 50-54 (07.02.1972)/50</t>
  </si>
  <si>
    <t xml:space="preserve">Мастера 75-79 </t>
  </si>
  <si>
    <t xml:space="preserve">Мастера 40-44 </t>
  </si>
  <si>
    <t>Мастера 45-49 (07.06.1973)/49</t>
  </si>
  <si>
    <t>Мастера 40-44 (06.03.1981)/41</t>
  </si>
  <si>
    <t>Юниоры 20-23 (14.06.1999)/23</t>
  </si>
  <si>
    <t>Мастера 40-44 (06.02.1981)/41</t>
  </si>
  <si>
    <t>Мастера 40-44 (10.03.1982)/40</t>
  </si>
  <si>
    <t>Юниорки 20-23 (22.02.2001)/21</t>
  </si>
  <si>
    <t>Мастера 45-49 (18.12.1976)/45</t>
  </si>
  <si>
    <t>Юниоры 20-23 (31.08.1998)/23</t>
  </si>
  <si>
    <t>Мастера 40-44 (03.08.1981)/40</t>
  </si>
  <si>
    <t>Мастера 50-54 (12.05.1971)/51</t>
  </si>
  <si>
    <t>Мастера 40-44 (03.09.1979)/42</t>
  </si>
  <si>
    <t>Мастера 40-44 (21.06.1981)/41</t>
  </si>
  <si>
    <t>Мастера 40-44 (27.08.1979)/42</t>
  </si>
  <si>
    <t>Мастера 55-59 (20.04.1966)/56</t>
  </si>
  <si>
    <t>Мастера 45-49 (28.02.1977)/45</t>
  </si>
  <si>
    <t>Юниоры 20-23 (04.08.2000)/21</t>
  </si>
  <si>
    <t>Юниоры 20-23 (05.04.2002)/20</t>
  </si>
  <si>
    <t>Мастера 45-49 (18.02.1974)/48</t>
  </si>
  <si>
    <t>Мастера 45-49 (09.03.1975)/47</t>
  </si>
  <si>
    <t>Юниоры 20-23 (25.09.1998)/23</t>
  </si>
  <si>
    <t>Мастера 40-44 (04.03.1981)/41</t>
  </si>
  <si>
    <t>Мастера 40-44 (08.10.1979)/42</t>
  </si>
  <si>
    <t>Мастера 45-49 (31.10.1975)/46</t>
  </si>
  <si>
    <t>Мастера 45-49 (21.09.1972)/49</t>
  </si>
  <si>
    <t>Мастера 40-44 (08.08.1979)/42</t>
  </si>
  <si>
    <t>Мастера 45-49 (08.03.1975)/47</t>
  </si>
  <si>
    <t>Мастера 55-59 (03.04.1964)/58</t>
  </si>
  <si>
    <t xml:space="preserve">Мастера 45-49 </t>
  </si>
  <si>
    <t xml:space="preserve">Мастера 55-59 </t>
  </si>
  <si>
    <t>Мастера 40-44 (24.12.1977)/44</t>
  </si>
  <si>
    <t>Мастера 45-49 (19.01.1973)/49</t>
  </si>
  <si>
    <t>Мастера 55-59 (22.03.1963)/59</t>
  </si>
  <si>
    <t>Мастера 40-44 (14.11.1977)/44</t>
  </si>
  <si>
    <t>Мастера 55-59 (02.09.1964)/57</t>
  </si>
  <si>
    <t>Мастера 45-49 (22.05.1977)/45</t>
  </si>
  <si>
    <t>Мастера 45-49 (30.10.1973)/48</t>
  </si>
  <si>
    <t>Мастера 45-49 (11.02.1973)/49</t>
  </si>
  <si>
    <t>Мастера 60-64 (05.04.1958)/64</t>
  </si>
  <si>
    <t>Мастера 40-44 (19.09.1979)/42</t>
  </si>
  <si>
    <t>Мастера 45-49 (11.11.1972)/49</t>
  </si>
  <si>
    <t xml:space="preserve">Мастера 60-64 </t>
  </si>
  <si>
    <t>Мастера 40-44 (19.09.1981)/40</t>
  </si>
  <si>
    <t>Мастера 40-44 (18.05.1981)/41</t>
  </si>
  <si>
    <t>Мастера 45-49 (25.05.1973)/49</t>
  </si>
  <si>
    <t>Мастера 50-54 (06.03.1970)/52</t>
  </si>
  <si>
    <t>Юниоры 20-23 (12.12.1999)/22</t>
  </si>
  <si>
    <t>Мастера 60-64 (11.10.1961)/60</t>
  </si>
  <si>
    <t>Мастера 60-64 (26.09.1961)/60</t>
  </si>
  <si>
    <t>Мастера 50-59 (07.03.1966)/56</t>
  </si>
  <si>
    <t>Мастера 50-59 (20.04.1966)/56</t>
  </si>
  <si>
    <t>Мастера 50-59 (14.06.1969)/53</t>
  </si>
  <si>
    <t>Мастера 40-49 (22.07.1974)/47</t>
  </si>
  <si>
    <t>Мастера 40-49 (24.12.1977)/44</t>
  </si>
  <si>
    <t>Мастера 50-59 (08.08.1962)/59</t>
  </si>
  <si>
    <t>Мастера 40-49 (14.03.1974)/48</t>
  </si>
  <si>
    <t>Мастера 40-49 (17.11.1981)/40</t>
  </si>
  <si>
    <t>Мастера 40-49 (20.08.1979)/42</t>
  </si>
  <si>
    <t>Мастера 40-49 (31.03.1974)/48</t>
  </si>
  <si>
    <t>Мастера 40-49 (12.11.1979)/42</t>
  </si>
  <si>
    <t>Мастера 40-49 (26.03.1976)/46</t>
  </si>
  <si>
    <t>Мастера 40-49 (07.04.1981)/41</t>
  </si>
  <si>
    <t>Юноши 13-19 (09.03.2003)/19</t>
  </si>
  <si>
    <t>Юниорки 20-23 (06.05.1999)/23</t>
  </si>
  <si>
    <t>Мастера 45-49 (07.01.1975)/47</t>
  </si>
  <si>
    <t>Мастера 60-64 (03.04.1961)/61</t>
  </si>
  <si>
    <t>Мастера 45-49 (28.02.1973)/49</t>
  </si>
  <si>
    <t>Мастера 65-69 (18.07.1956)/65</t>
  </si>
  <si>
    <t>Мастера 40-44 (17.10.1978)/43</t>
  </si>
  <si>
    <t>Мастера 45-49 (03.06.1975)/47</t>
  </si>
  <si>
    <t>Мастера 40-49 (31.10.1975)/46</t>
  </si>
  <si>
    <t>Мастера 50-59 (02.09.1971)/50</t>
  </si>
  <si>
    <t>Мастера 40-49 (12.11.1977)/44</t>
  </si>
  <si>
    <t>Девушки 13-19 (08.03.2005)/17</t>
  </si>
  <si>
    <t>Юниоры 20-23 (06.07.1999)/22</t>
  </si>
  <si>
    <t>Мастера 50-59 (12.03.1965)/57</t>
  </si>
  <si>
    <t>Мастера 40-49 (21.05.1974)/48</t>
  </si>
  <si>
    <t>Караганда/Республика Казахстан</t>
  </si>
  <si>
    <t xml:space="preserve">Репин Н. </t>
  </si>
  <si>
    <t xml:space="preserve">Пономарев В. </t>
  </si>
  <si>
    <t xml:space="preserve">Владимиров Е. </t>
  </si>
  <si>
    <t xml:space="preserve">Чебоксары/Чувашская Республика </t>
  </si>
  <si>
    <t xml:space="preserve">Стерлитамак/Республика Башкортостан </t>
  </si>
  <si>
    <t xml:space="preserve">Симферополь/Республика Крым </t>
  </si>
  <si>
    <t xml:space="preserve">Решетников А. </t>
  </si>
  <si>
    <t xml:space="preserve">Маренков Ю. </t>
  </si>
  <si>
    <t xml:space="preserve">Минск/Республика Беларусь </t>
  </si>
  <si>
    <t xml:space="preserve">Нойманн Ю. </t>
  </si>
  <si>
    <t xml:space="preserve">Княжевац/Сербия </t>
  </si>
  <si>
    <t>Национальный Чемпионат по пауэрлифтингу памяти Екатерины Пузыренко
IPL Пауэрлифтинг без экипировки ДК
Суздаль/Владимирская область, 24-26 июня 2022 года</t>
  </si>
  <si>
    <t>Национальный Чемпионат по пауэрлифтингу памяти Екатерины Пузыренко
IPL Пауэрлифтинг без экипировки
Суздаль/Владимирская область, 24-26 июня 2022 года</t>
  </si>
  <si>
    <t>Национальный Чемпионат по пауэрлифтингу памяти Екатерины Пузыренко
IPL Пауэрлифтинг в бинтах ДК
Суздаль/Владимирская область, 24-26 июня 2022 года</t>
  </si>
  <si>
    <t>Национальный Чемпионат по пауэрлифтингу памяти Екатерины Пузыренко
IPL Пауэрлифтинг в бинтах
Суздаль/Владимирская область, 24-26 июня 2022 года</t>
  </si>
  <si>
    <t>Национальный Чемпионат по пауэрлифтингу памяти Екатерины Пузыренко
IPL Пауэрлифтинг в однослойной экипировке
Суздаль/Владимирская область, 24-26 июня 2022 года</t>
  </si>
  <si>
    <t>Национальный Чемпионат по пауэрлифтингу памяти Екатерины Пузыренко
IPL Силовое двоеборье без экипировки ДК
Суздаль/Владимирская область, 24-26 июня 2022 года</t>
  </si>
  <si>
    <t>Национальный Чемпионат по пауэрлифтингу памяти Екатерины Пузыренко
IPL Силовое двоеборье без экипировки
Суздаль/Владимирская область, 24-26 июня 2022 года</t>
  </si>
  <si>
    <t>Национальный Чемпионат по пауэрлифтингу памяти Екатерины Пузыренко
IPL Силовое двоеборье в экипировке
Суздаль/Владимирская область, 24-26 июня 2022 года</t>
  </si>
  <si>
    <t>Национальный Чемпионат по пауэрлифтингу памяти Екатерины Пузыренко
IPL Присед без экипировки ДК
Суздаль/Владимирская область, 24-26 июня 2022 года</t>
  </si>
  <si>
    <t>Национальный Чемпионат по пауэрлифтингу памяти Екатерины Пузыренко
IPL Присед без экипировки
Суздаль/Владимирская область, 24-26 июня 2022 года</t>
  </si>
  <si>
    <t>Национальный Чемпионат по пауэрлифтингу памяти Екатерины Пузыренко
IPL Присед в бинтах ДК
Суздаль/Владимирская область, 24-26 июня 2022 года</t>
  </si>
  <si>
    <t>Национальный Чемпионат по пауэрлифтингу памяти Екатерины Пузыренко
IPL Присед в бинтах
Суздаль/Владимирская область, 24-26 июня 2022 года</t>
  </si>
  <si>
    <t>Национальный Чемпионат по пауэрлифтингу памяти Екатерины Пузыренко
IPL Жим лежа без экипировки ДК
Суздаль/Владимирская область, 24-26 июня 2022 года</t>
  </si>
  <si>
    <t>Национальный Чемпионат по пауэрлифтингу памяти Екатерины Пузыренко
IPL Жим лежа без экипировки
Суздаль/Владимирская область, 24-26 июня 2022 года</t>
  </si>
  <si>
    <t>Национальный Чемпионат по пауэрлифтингу памяти Екатерины Пузыренко
IPL Жим лежа в однослойной экипировке ДК
Суздаль/Владимирская область, 24-26 июня 2022 года</t>
  </si>
  <si>
    <t>Национальный Чемпионат по пауэрлифтингу памяти Екатерины Пузыренко
IPL Жим лежа в однослойной экипировке
Суздаль/Владимирская область, 24-26 июня 2022 года</t>
  </si>
  <si>
    <t>Национальный Чемпионат по пауэрлифтингу памяти Екатерины Пузыренко
IPL Жим лежа в многослойной экипировке
Суздаль/Владимирская область, 24-26 июня 2022 года</t>
  </si>
  <si>
    <t>Национальный Чемпионат по пауэрлифтингу памяти Екатерины Пузыренко
СПР Жим лежа в однопетельной софт экипировке ДК
Суздаль/Владимирская область, 24-26 июня 2022 года</t>
  </si>
  <si>
    <t>Национальный Чемпионат по пауэрлифтингу памяти Екатерины Пузыренко
СПР Жим лежа в однопетельной софт экипировке
Суздаль/Владимирская область, 24-26 июня 2022 года</t>
  </si>
  <si>
    <t>Национальный Чемпионат по пауэрлифтингу памяти Екатерины Пузыренко
СПР Жим лежа в многопетельной софт экипировке ДК
Суздаль/Владимирская область, 24-26 июня 2022 года</t>
  </si>
  <si>
    <t>Национальный Чемпионат по пауэрлифтингу памяти Екатерины Пузыренко
СПР Жим лежа в многопетельной софт экипировке
Суздаль/Владимирская область, 24-26 июня 2022 года</t>
  </si>
  <si>
    <t>Национальный Чемпионат по пауэрлифтингу памяти Екатерины Пузыренко
СПР Жим лежа среди спортсменов с физическими особенностями
Суздаль/Владимирская область, 24-26 июня 2022 года</t>
  </si>
  <si>
    <t>Национальный Чемпионат по пауэрлифтингу памяти Екатерины Пузыренко
IPL Становая тяга без экипировки ДК
Суздаль/Владимирская область, 24-26 июня 2022 года</t>
  </si>
  <si>
    <t>Национальный Чемпионат по пауэрлифтингу памяти Екатерины Пузыренко
IPL Становая тяга без экипировки
Суздаль/Владимирская область, 24-26 июня 2022 года</t>
  </si>
  <si>
    <t>Национальный Чемпионат по пауэрлифтингу памяти Екатерины Пузыренко
IPL Становая тяга в однослойной экипировке ДК
Суздаль/Владимирская область, 24-26 июня 2022 года</t>
  </si>
  <si>
    <t>Национальный Чемпионат по пауэрлифтингу памяти Екатерины Пузыренко
СПР Пауэрспорт ДК
Суздаль/Владимирская область, 24-26 июня 2022 года</t>
  </si>
  <si>
    <t>Национальный Чемпионат по пауэрлифтингу памяти Екатерины Пузыренко
СПР Пауэрспорт
Суздаль/Владимирская область, 24-26 июня 2022 года</t>
  </si>
  <si>
    <t>Национальный Чемпионат по пауэрлифтингу памяти Екатерины Пузыренко
СПР Жим штанги стоя
Суздаль/Владимирская область, 24-26 июня 2022 года</t>
  </si>
  <si>
    <t>Национальный Чемпионат по пауэрлифтингу памяти Екатерины Пузыренко
СПР Строгий подъем штанги на бицепс ДК
Суздаль/Владимирская область, 24-26 июня 2022 года</t>
  </si>
  <si>
    <t>Национальный Чемпионат по пауэрлифтингу памяти Екатерины Пузыренко
СПР Строгий подъем штанги на бицепс
Суздаль/Владимирская область, 24-26 июня 2022 года</t>
  </si>
  <si>
    <t xml:space="preserve">Караганда/Республика Казахстан </t>
  </si>
  <si>
    <t xml:space="preserve">Улан-Удэ/Республика Бурятия </t>
  </si>
  <si>
    <t xml:space="preserve">Бугульма/Республика Татарстан </t>
  </si>
  <si>
    <t xml:space="preserve">Витебск/Республика Беларусь </t>
  </si>
  <si>
    <t>Никулин А.</t>
  </si>
  <si>
    <t xml:space="preserve">Шалаев Е. </t>
  </si>
  <si>
    <t xml:space="preserve">Сыктывкар/Республика Коми </t>
  </si>
  <si>
    <t xml:space="preserve">Ушков И. </t>
  </si>
  <si>
    <t>Санкт-Петербург</t>
  </si>
  <si>
    <t xml:space="preserve">Семянина Н. </t>
  </si>
  <si>
    <t>№</t>
  </si>
  <si>
    <t>Жим</t>
  </si>
  <si>
    <t xml:space="preserve">
Дата рождения/Возраст</t>
  </si>
  <si>
    <t>Возрастная группа</t>
  </si>
  <si>
    <t>T</t>
  </si>
  <si>
    <t>O</t>
  </si>
  <si>
    <t>J</t>
  </si>
  <si>
    <t>M2</t>
  </si>
  <si>
    <t>M1</t>
  </si>
  <si>
    <t>M8</t>
  </si>
  <si>
    <t>M3</t>
  </si>
  <si>
    <t>M4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</si>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</sst>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99F8-2964-49F5-96D7-9BDDF97A7A08}">
  <dimension ref="A1:U127"/>
  <sheetViews>
    <sheetView topLeftCell="A68" workbookViewId="0">
      <selection activeCell="E104" sqref="E104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8" width="5.5" style="18" customWidth="1"/>
    <col min="19" max="19" width="7.83203125" style="19" bestFit="1" customWidth="1"/>
    <col min="20" max="20" width="8.5" style="6" bestFit="1" customWidth="1"/>
    <col min="21" max="21" width="21.33203125" style="5" customWidth="1"/>
    <col min="22" max="16384" width="9.1640625" style="3"/>
  </cols>
  <sheetData>
    <row r="1" spans="1:21" s="2" customFormat="1" ht="29" customHeight="1">
      <c r="A1" s="68" t="s">
        <v>1247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7</v>
      </c>
      <c r="H3" s="80"/>
      <c r="I3" s="80"/>
      <c r="J3" s="80"/>
      <c r="K3" s="80" t="s">
        <v>8</v>
      </c>
      <c r="L3" s="80"/>
      <c r="M3" s="80"/>
      <c r="N3" s="80"/>
      <c r="O3" s="80" t="s">
        <v>9</v>
      </c>
      <c r="P3" s="80"/>
      <c r="Q3" s="80"/>
      <c r="R3" s="80"/>
      <c r="S3" s="60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3"/>
      <c r="U4" s="65"/>
    </row>
    <row r="5" spans="1:21" ht="16">
      <c r="A5" s="66" t="s">
        <v>224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39</v>
      </c>
      <c r="B6" s="7" t="s">
        <v>225</v>
      </c>
      <c r="C6" s="7" t="s">
        <v>226</v>
      </c>
      <c r="D6" s="7" t="s">
        <v>227</v>
      </c>
      <c r="E6" s="8" t="s">
        <v>1291</v>
      </c>
      <c r="F6" s="7" t="s">
        <v>228</v>
      </c>
      <c r="G6" s="20" t="s">
        <v>62</v>
      </c>
      <c r="H6" s="20" t="s">
        <v>229</v>
      </c>
      <c r="I6" s="20" t="s">
        <v>230</v>
      </c>
      <c r="J6" s="22"/>
      <c r="K6" s="20" t="s">
        <v>231</v>
      </c>
      <c r="L6" s="20" t="s">
        <v>232</v>
      </c>
      <c r="M6" s="21" t="s">
        <v>233</v>
      </c>
      <c r="N6" s="22"/>
      <c r="O6" s="21" t="s">
        <v>62</v>
      </c>
      <c r="P6" s="20" t="s">
        <v>229</v>
      </c>
      <c r="Q6" s="21" t="s">
        <v>234</v>
      </c>
      <c r="R6" s="22"/>
      <c r="S6" s="41" t="str">
        <f>"155,0"</f>
        <v>155,0</v>
      </c>
      <c r="T6" s="9" t="str">
        <f>"218,2555"</f>
        <v>218,2555</v>
      </c>
      <c r="U6" s="7" t="s">
        <v>235</v>
      </c>
    </row>
    <row r="8" spans="1:21" ht="16">
      <c r="A8" s="81" t="s">
        <v>236</v>
      </c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21">
      <c r="A9" s="22" t="s">
        <v>39</v>
      </c>
      <c r="B9" s="7" t="s">
        <v>237</v>
      </c>
      <c r="C9" s="7" t="s">
        <v>238</v>
      </c>
      <c r="D9" s="7" t="s">
        <v>239</v>
      </c>
      <c r="E9" s="8" t="s">
        <v>1292</v>
      </c>
      <c r="F9" s="7" t="s">
        <v>1235</v>
      </c>
      <c r="G9" s="21" t="s">
        <v>46</v>
      </c>
      <c r="H9" s="21" t="s">
        <v>46</v>
      </c>
      <c r="I9" s="20" t="s">
        <v>46</v>
      </c>
      <c r="J9" s="22"/>
      <c r="K9" s="20" t="s">
        <v>240</v>
      </c>
      <c r="L9" s="20" t="s">
        <v>60</v>
      </c>
      <c r="M9" s="20" t="s">
        <v>241</v>
      </c>
      <c r="N9" s="22"/>
      <c r="O9" s="20" t="s">
        <v>54</v>
      </c>
      <c r="P9" s="20" t="s">
        <v>102</v>
      </c>
      <c r="Q9" s="21" t="s">
        <v>74</v>
      </c>
      <c r="R9" s="22"/>
      <c r="S9" s="41" t="str">
        <f>"277,5"</f>
        <v>277,5</v>
      </c>
      <c r="T9" s="9" t="str">
        <f>"386,6130"</f>
        <v>386,6130</v>
      </c>
      <c r="U9" s="7"/>
    </row>
    <row r="11" spans="1:21" ht="16">
      <c r="A11" s="81" t="s">
        <v>242</v>
      </c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1">
      <c r="A12" s="33" t="s">
        <v>39</v>
      </c>
      <c r="B12" s="23" t="s">
        <v>243</v>
      </c>
      <c r="C12" s="23" t="s">
        <v>1140</v>
      </c>
      <c r="D12" s="23" t="s">
        <v>244</v>
      </c>
      <c r="E12" s="24" t="s">
        <v>1293</v>
      </c>
      <c r="F12" s="23" t="s">
        <v>97</v>
      </c>
      <c r="G12" s="32" t="s">
        <v>234</v>
      </c>
      <c r="H12" s="32" t="s">
        <v>73</v>
      </c>
      <c r="I12" s="34" t="s">
        <v>47</v>
      </c>
      <c r="J12" s="33"/>
      <c r="K12" s="32" t="s">
        <v>245</v>
      </c>
      <c r="L12" s="32" t="s">
        <v>50</v>
      </c>
      <c r="M12" s="34" t="s">
        <v>51</v>
      </c>
      <c r="N12" s="33"/>
      <c r="O12" s="32" t="s">
        <v>46</v>
      </c>
      <c r="P12" s="32" t="s">
        <v>48</v>
      </c>
      <c r="Q12" s="32" t="s">
        <v>246</v>
      </c>
      <c r="R12" s="33"/>
      <c r="S12" s="42" t="str">
        <f>"225,0"</f>
        <v>225,0</v>
      </c>
      <c r="T12" s="25" t="str">
        <f>"283,8600"</f>
        <v>283,8600</v>
      </c>
      <c r="U12" s="23" t="s">
        <v>247</v>
      </c>
    </row>
    <row r="13" spans="1:21">
      <c r="A13" s="39" t="s">
        <v>39</v>
      </c>
      <c r="B13" s="29" t="s">
        <v>248</v>
      </c>
      <c r="C13" s="29" t="s">
        <v>249</v>
      </c>
      <c r="D13" s="29" t="s">
        <v>250</v>
      </c>
      <c r="E13" s="30" t="s">
        <v>1292</v>
      </c>
      <c r="F13" s="29" t="s">
        <v>251</v>
      </c>
      <c r="G13" s="38" t="s">
        <v>240</v>
      </c>
      <c r="H13" s="40" t="s">
        <v>241</v>
      </c>
      <c r="I13" s="40" t="s">
        <v>241</v>
      </c>
      <c r="J13" s="39"/>
      <c r="K13" s="38" t="s">
        <v>51</v>
      </c>
      <c r="L13" s="38" t="s">
        <v>252</v>
      </c>
      <c r="M13" s="38" t="s">
        <v>63</v>
      </c>
      <c r="N13" s="39"/>
      <c r="O13" s="38" t="s">
        <v>53</v>
      </c>
      <c r="P13" s="38" t="s">
        <v>72</v>
      </c>
      <c r="Q13" s="38" t="s">
        <v>74</v>
      </c>
      <c r="R13" s="39"/>
      <c r="S13" s="43" t="str">
        <f>"250,0"</f>
        <v>250,0</v>
      </c>
      <c r="T13" s="31" t="str">
        <f>"314,9250"</f>
        <v>314,9250</v>
      </c>
      <c r="U13" s="29"/>
    </row>
    <row r="14" spans="1:21">
      <c r="A14" s="39" t="s">
        <v>219</v>
      </c>
      <c r="B14" s="29" t="s">
        <v>253</v>
      </c>
      <c r="C14" s="29" t="s">
        <v>254</v>
      </c>
      <c r="D14" s="29" t="s">
        <v>255</v>
      </c>
      <c r="E14" s="30" t="s">
        <v>1292</v>
      </c>
      <c r="F14" s="29" t="s">
        <v>71</v>
      </c>
      <c r="G14" s="38" t="s">
        <v>47</v>
      </c>
      <c r="H14" s="38" t="s">
        <v>48</v>
      </c>
      <c r="I14" s="38" t="s">
        <v>188</v>
      </c>
      <c r="J14" s="39"/>
      <c r="K14" s="38" t="s">
        <v>62</v>
      </c>
      <c r="L14" s="40" t="s">
        <v>252</v>
      </c>
      <c r="M14" s="38" t="s">
        <v>252</v>
      </c>
      <c r="N14" s="39"/>
      <c r="O14" s="38" t="s">
        <v>188</v>
      </c>
      <c r="P14" s="38" t="s">
        <v>82</v>
      </c>
      <c r="Q14" s="40" t="s">
        <v>256</v>
      </c>
      <c r="R14" s="39"/>
      <c r="S14" s="43" t="str">
        <f>"247,5"</f>
        <v>247,5</v>
      </c>
      <c r="T14" s="31" t="str">
        <f>"321,3540"</f>
        <v>321,3540</v>
      </c>
      <c r="U14" s="29" t="s">
        <v>257</v>
      </c>
    </row>
    <row r="15" spans="1:21">
      <c r="A15" s="37" t="s">
        <v>220</v>
      </c>
      <c r="B15" s="26" t="s">
        <v>258</v>
      </c>
      <c r="C15" s="26" t="s">
        <v>259</v>
      </c>
      <c r="D15" s="26" t="s">
        <v>260</v>
      </c>
      <c r="E15" s="27" t="s">
        <v>1292</v>
      </c>
      <c r="F15" s="26" t="s">
        <v>97</v>
      </c>
      <c r="G15" s="36" t="s">
        <v>47</v>
      </c>
      <c r="H15" s="35" t="s">
        <v>47</v>
      </c>
      <c r="I15" s="36" t="s">
        <v>65</v>
      </c>
      <c r="J15" s="37"/>
      <c r="K15" s="35" t="s">
        <v>62</v>
      </c>
      <c r="L15" s="35" t="s">
        <v>252</v>
      </c>
      <c r="M15" s="36" t="s">
        <v>63</v>
      </c>
      <c r="N15" s="37"/>
      <c r="O15" s="36" t="s">
        <v>256</v>
      </c>
      <c r="P15" s="35" t="s">
        <v>256</v>
      </c>
      <c r="Q15" s="35" t="s">
        <v>52</v>
      </c>
      <c r="R15" s="37"/>
      <c r="S15" s="44" t="str">
        <f>"242,5"</f>
        <v>242,5</v>
      </c>
      <c r="T15" s="28" t="str">
        <f>"302,3005"</f>
        <v>302,3005</v>
      </c>
      <c r="U15" s="26" t="s">
        <v>261</v>
      </c>
    </row>
    <row r="17" spans="1:21" ht="16">
      <c r="A17" s="81" t="s">
        <v>262</v>
      </c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1:21">
      <c r="A18" s="33" t="s">
        <v>40</v>
      </c>
      <c r="B18" s="23" t="s">
        <v>263</v>
      </c>
      <c r="C18" s="23" t="s">
        <v>1141</v>
      </c>
      <c r="D18" s="23" t="s">
        <v>264</v>
      </c>
      <c r="E18" s="24" t="s">
        <v>1293</v>
      </c>
      <c r="F18" s="23" t="s">
        <v>14</v>
      </c>
      <c r="G18" s="34" t="s">
        <v>246</v>
      </c>
      <c r="H18" s="34" t="s">
        <v>246</v>
      </c>
      <c r="I18" s="34" t="s">
        <v>246</v>
      </c>
      <c r="J18" s="33"/>
      <c r="K18" s="34"/>
      <c r="L18" s="33"/>
      <c r="M18" s="33"/>
      <c r="N18" s="33"/>
      <c r="O18" s="34"/>
      <c r="P18" s="33"/>
      <c r="Q18" s="33"/>
      <c r="R18" s="33"/>
      <c r="S18" s="42">
        <v>0</v>
      </c>
      <c r="T18" s="25" t="str">
        <f>"0,0000"</f>
        <v>0,0000</v>
      </c>
      <c r="U18" s="23" t="s">
        <v>1236</v>
      </c>
    </row>
    <row r="19" spans="1:21">
      <c r="A19" s="39" t="s">
        <v>39</v>
      </c>
      <c r="B19" s="29" t="s">
        <v>265</v>
      </c>
      <c r="C19" s="29" t="s">
        <v>266</v>
      </c>
      <c r="D19" s="29" t="s">
        <v>267</v>
      </c>
      <c r="E19" s="30" t="s">
        <v>1292</v>
      </c>
      <c r="F19" s="29" t="s">
        <v>268</v>
      </c>
      <c r="G19" s="38" t="s">
        <v>256</v>
      </c>
      <c r="H19" s="38" t="s">
        <v>189</v>
      </c>
      <c r="I19" s="38" t="s">
        <v>140</v>
      </c>
      <c r="J19" s="39"/>
      <c r="K19" s="38" t="s">
        <v>241</v>
      </c>
      <c r="L19" s="40" t="s">
        <v>234</v>
      </c>
      <c r="M19" s="38" t="s">
        <v>234</v>
      </c>
      <c r="N19" s="39"/>
      <c r="O19" s="38" t="s">
        <v>111</v>
      </c>
      <c r="P19" s="40" t="s">
        <v>91</v>
      </c>
      <c r="Q19" s="38" t="s">
        <v>158</v>
      </c>
      <c r="R19" s="38" t="s">
        <v>80</v>
      </c>
      <c r="S19" s="43" t="str">
        <f>"367,5"</f>
        <v>367,5</v>
      </c>
      <c r="T19" s="31" t="str">
        <f>"432,4005"</f>
        <v>432,4005</v>
      </c>
      <c r="U19" s="29" t="s">
        <v>898</v>
      </c>
    </row>
    <row r="20" spans="1:21">
      <c r="A20" s="39" t="s">
        <v>219</v>
      </c>
      <c r="B20" s="29" t="s">
        <v>269</v>
      </c>
      <c r="C20" s="29" t="s">
        <v>270</v>
      </c>
      <c r="D20" s="29" t="s">
        <v>271</v>
      </c>
      <c r="E20" s="30" t="s">
        <v>1292</v>
      </c>
      <c r="F20" s="29" t="s">
        <v>251</v>
      </c>
      <c r="G20" s="38" t="s">
        <v>65</v>
      </c>
      <c r="H20" s="40" t="s">
        <v>82</v>
      </c>
      <c r="I20" s="40" t="s">
        <v>82</v>
      </c>
      <c r="J20" s="39"/>
      <c r="K20" s="38" t="s">
        <v>272</v>
      </c>
      <c r="L20" s="38" t="s">
        <v>229</v>
      </c>
      <c r="M20" s="38" t="s">
        <v>273</v>
      </c>
      <c r="N20" s="39"/>
      <c r="O20" s="40" t="s">
        <v>256</v>
      </c>
      <c r="P20" s="40" t="s">
        <v>256</v>
      </c>
      <c r="Q20" s="38" t="s">
        <v>256</v>
      </c>
      <c r="R20" s="39"/>
      <c r="S20" s="43" t="str">
        <f>"257,5"</f>
        <v>257,5</v>
      </c>
      <c r="T20" s="31" t="str">
        <f>"312,6308"</f>
        <v>312,6308</v>
      </c>
      <c r="U20" s="29" t="s">
        <v>368</v>
      </c>
    </row>
    <row r="21" spans="1:21">
      <c r="A21" s="37" t="s">
        <v>220</v>
      </c>
      <c r="B21" s="26" t="s">
        <v>274</v>
      </c>
      <c r="C21" s="26" t="s">
        <v>275</v>
      </c>
      <c r="D21" s="26" t="s">
        <v>276</v>
      </c>
      <c r="E21" s="27" t="s">
        <v>1292</v>
      </c>
      <c r="F21" s="26" t="s">
        <v>71</v>
      </c>
      <c r="G21" s="35" t="s">
        <v>64</v>
      </c>
      <c r="H21" s="36" t="s">
        <v>65</v>
      </c>
      <c r="I21" s="36" t="s">
        <v>65</v>
      </c>
      <c r="J21" s="37"/>
      <c r="K21" s="35" t="s">
        <v>63</v>
      </c>
      <c r="L21" s="36" t="s">
        <v>272</v>
      </c>
      <c r="M21" s="36" t="s">
        <v>272</v>
      </c>
      <c r="N21" s="37"/>
      <c r="O21" s="36" t="s">
        <v>52</v>
      </c>
      <c r="P21" s="35" t="s">
        <v>52</v>
      </c>
      <c r="Q21" s="36" t="s">
        <v>53</v>
      </c>
      <c r="R21" s="37"/>
      <c r="S21" s="44" t="str">
        <f>"247,5"</f>
        <v>247,5</v>
      </c>
      <c r="T21" s="28" t="str">
        <f>"295,3418"</f>
        <v>295,3418</v>
      </c>
      <c r="U21" s="26" t="s">
        <v>277</v>
      </c>
    </row>
    <row r="23" spans="1:21" ht="16">
      <c r="A23" s="81" t="s">
        <v>278</v>
      </c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21">
      <c r="A24" s="33" t="s">
        <v>39</v>
      </c>
      <c r="B24" s="23" t="s">
        <v>279</v>
      </c>
      <c r="C24" s="23" t="s">
        <v>280</v>
      </c>
      <c r="D24" s="23" t="s">
        <v>281</v>
      </c>
      <c r="E24" s="24" t="s">
        <v>1292</v>
      </c>
      <c r="F24" s="23" t="s">
        <v>71</v>
      </c>
      <c r="G24" s="32" t="s">
        <v>47</v>
      </c>
      <c r="H24" s="32" t="s">
        <v>48</v>
      </c>
      <c r="I24" s="32" t="s">
        <v>188</v>
      </c>
      <c r="J24" s="33"/>
      <c r="K24" s="32" t="s">
        <v>273</v>
      </c>
      <c r="L24" s="32" t="s">
        <v>240</v>
      </c>
      <c r="M24" s="34" t="s">
        <v>230</v>
      </c>
      <c r="N24" s="33"/>
      <c r="O24" s="32" t="s">
        <v>98</v>
      </c>
      <c r="P24" s="32" t="s">
        <v>170</v>
      </c>
      <c r="Q24" s="32" t="s">
        <v>176</v>
      </c>
      <c r="R24" s="34" t="s">
        <v>91</v>
      </c>
      <c r="S24" s="42" t="str">
        <f>"322,5"</f>
        <v>322,5</v>
      </c>
      <c r="T24" s="25" t="str">
        <f>"365,2313"</f>
        <v>365,2313</v>
      </c>
      <c r="U24" s="23" t="s">
        <v>282</v>
      </c>
    </row>
    <row r="25" spans="1:21">
      <c r="A25" s="39" t="s">
        <v>219</v>
      </c>
      <c r="B25" s="29" t="s">
        <v>283</v>
      </c>
      <c r="C25" s="29" t="s">
        <v>284</v>
      </c>
      <c r="D25" s="29" t="s">
        <v>285</v>
      </c>
      <c r="E25" s="30" t="s">
        <v>1292</v>
      </c>
      <c r="F25" s="29" t="s">
        <v>71</v>
      </c>
      <c r="G25" s="38" t="s">
        <v>72</v>
      </c>
      <c r="H25" s="38" t="s">
        <v>286</v>
      </c>
      <c r="I25" s="40" t="s">
        <v>74</v>
      </c>
      <c r="J25" s="39"/>
      <c r="K25" s="38" t="s">
        <v>273</v>
      </c>
      <c r="L25" s="40" t="s">
        <v>240</v>
      </c>
      <c r="M25" s="40" t="s">
        <v>240</v>
      </c>
      <c r="N25" s="39"/>
      <c r="O25" s="38" t="s">
        <v>74</v>
      </c>
      <c r="P25" s="40" t="s">
        <v>287</v>
      </c>
      <c r="Q25" s="40" t="s">
        <v>287</v>
      </c>
      <c r="R25" s="39"/>
      <c r="S25" s="43" t="str">
        <f>"320,0"</f>
        <v>320,0</v>
      </c>
      <c r="T25" s="31" t="str">
        <f>"365,3120"</f>
        <v>365,3120</v>
      </c>
      <c r="U25" s="29" t="s">
        <v>288</v>
      </c>
    </row>
    <row r="26" spans="1:21">
      <c r="A26" s="39" t="s">
        <v>220</v>
      </c>
      <c r="B26" s="29" t="s">
        <v>289</v>
      </c>
      <c r="C26" s="29" t="s">
        <v>290</v>
      </c>
      <c r="D26" s="29" t="s">
        <v>291</v>
      </c>
      <c r="E26" s="30" t="s">
        <v>1292</v>
      </c>
      <c r="F26" s="29" t="s">
        <v>71</v>
      </c>
      <c r="G26" s="40" t="s">
        <v>72</v>
      </c>
      <c r="H26" s="38" t="s">
        <v>102</v>
      </c>
      <c r="I26" s="40" t="s">
        <v>292</v>
      </c>
      <c r="J26" s="39"/>
      <c r="K26" s="38" t="s">
        <v>63</v>
      </c>
      <c r="L26" s="38" t="s">
        <v>229</v>
      </c>
      <c r="M26" s="40" t="s">
        <v>240</v>
      </c>
      <c r="N26" s="39"/>
      <c r="O26" s="38" t="s">
        <v>54</v>
      </c>
      <c r="P26" s="40" t="s">
        <v>293</v>
      </c>
      <c r="Q26" s="39"/>
      <c r="R26" s="39"/>
      <c r="S26" s="43" t="str">
        <f>"300,0"</f>
        <v>300,0</v>
      </c>
      <c r="T26" s="31" t="str">
        <f>"337,5300"</f>
        <v>337,5300</v>
      </c>
      <c r="U26" s="29" t="s">
        <v>294</v>
      </c>
    </row>
    <row r="27" spans="1:21">
      <c r="A27" s="39" t="s">
        <v>221</v>
      </c>
      <c r="B27" s="29" t="s">
        <v>295</v>
      </c>
      <c r="C27" s="29" t="s">
        <v>296</v>
      </c>
      <c r="D27" s="29" t="s">
        <v>297</v>
      </c>
      <c r="E27" s="30" t="s">
        <v>1292</v>
      </c>
      <c r="F27" s="29" t="s">
        <v>298</v>
      </c>
      <c r="G27" s="38" t="s">
        <v>53</v>
      </c>
      <c r="H27" s="38" t="s">
        <v>299</v>
      </c>
      <c r="I27" s="39"/>
      <c r="J27" s="39"/>
      <c r="K27" s="40" t="s">
        <v>62</v>
      </c>
      <c r="L27" s="38" t="s">
        <v>62</v>
      </c>
      <c r="M27" s="40" t="s">
        <v>252</v>
      </c>
      <c r="N27" s="39"/>
      <c r="O27" s="38" t="s">
        <v>72</v>
      </c>
      <c r="P27" s="40" t="s">
        <v>286</v>
      </c>
      <c r="Q27" s="40" t="s">
        <v>286</v>
      </c>
      <c r="R27" s="39"/>
      <c r="S27" s="43" t="str">
        <f>"287,5"</f>
        <v>287,5</v>
      </c>
      <c r="T27" s="31" t="str">
        <f>"323,8975"</f>
        <v>323,8975</v>
      </c>
      <c r="U27" s="29" t="s">
        <v>288</v>
      </c>
    </row>
    <row r="28" spans="1:21">
      <c r="A28" s="39" t="s">
        <v>222</v>
      </c>
      <c r="B28" s="29" t="s">
        <v>300</v>
      </c>
      <c r="C28" s="29" t="s">
        <v>301</v>
      </c>
      <c r="D28" s="29" t="s">
        <v>302</v>
      </c>
      <c r="E28" s="30" t="s">
        <v>1292</v>
      </c>
      <c r="F28" s="29" t="s">
        <v>71</v>
      </c>
      <c r="G28" s="40" t="s">
        <v>60</v>
      </c>
      <c r="H28" s="38" t="s">
        <v>60</v>
      </c>
      <c r="I28" s="38" t="s">
        <v>61</v>
      </c>
      <c r="J28" s="39"/>
      <c r="K28" s="38" t="s">
        <v>245</v>
      </c>
      <c r="L28" s="38" t="s">
        <v>51</v>
      </c>
      <c r="M28" s="38" t="s">
        <v>252</v>
      </c>
      <c r="N28" s="39"/>
      <c r="O28" s="38" t="s">
        <v>48</v>
      </c>
      <c r="P28" s="38" t="s">
        <v>82</v>
      </c>
      <c r="Q28" s="38" t="s">
        <v>52</v>
      </c>
      <c r="R28" s="39"/>
      <c r="S28" s="43" t="str">
        <f>"232,5"</f>
        <v>232,5</v>
      </c>
      <c r="T28" s="31" t="str">
        <f>"261,2370"</f>
        <v>261,2370</v>
      </c>
      <c r="U28" s="29" t="s">
        <v>340</v>
      </c>
    </row>
    <row r="29" spans="1:21">
      <c r="A29" s="37" t="s">
        <v>39</v>
      </c>
      <c r="B29" s="26" t="s">
        <v>303</v>
      </c>
      <c r="C29" s="26" t="s">
        <v>1142</v>
      </c>
      <c r="D29" s="26" t="s">
        <v>304</v>
      </c>
      <c r="E29" s="27" t="s">
        <v>1294</v>
      </c>
      <c r="F29" s="26" t="s">
        <v>117</v>
      </c>
      <c r="G29" s="35" t="s">
        <v>52</v>
      </c>
      <c r="H29" s="35" t="s">
        <v>140</v>
      </c>
      <c r="I29" s="35" t="s">
        <v>299</v>
      </c>
      <c r="J29" s="37"/>
      <c r="K29" s="35" t="s">
        <v>62</v>
      </c>
      <c r="L29" s="35" t="s">
        <v>63</v>
      </c>
      <c r="M29" s="36" t="s">
        <v>272</v>
      </c>
      <c r="N29" s="37"/>
      <c r="O29" s="35" t="s">
        <v>72</v>
      </c>
      <c r="P29" s="35" t="s">
        <v>74</v>
      </c>
      <c r="Q29" s="37"/>
      <c r="R29" s="37"/>
      <c r="S29" s="44" t="str">
        <f>"302,5"</f>
        <v>302,5</v>
      </c>
      <c r="T29" s="28" t="str">
        <f>"364,5090"</f>
        <v>364,5090</v>
      </c>
      <c r="U29" s="26" t="s">
        <v>305</v>
      </c>
    </row>
    <row r="31" spans="1:21" ht="16">
      <c r="A31" s="81" t="s">
        <v>41</v>
      </c>
      <c r="B31" s="8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</row>
    <row r="32" spans="1:21">
      <c r="A32" s="33" t="s">
        <v>39</v>
      </c>
      <c r="B32" s="23" t="s">
        <v>306</v>
      </c>
      <c r="C32" s="23" t="s">
        <v>307</v>
      </c>
      <c r="D32" s="23" t="s">
        <v>308</v>
      </c>
      <c r="E32" s="24" t="s">
        <v>1292</v>
      </c>
      <c r="F32" s="23" t="s">
        <v>97</v>
      </c>
      <c r="G32" s="32" t="s">
        <v>52</v>
      </c>
      <c r="H32" s="32" t="s">
        <v>140</v>
      </c>
      <c r="I32" s="34" t="s">
        <v>299</v>
      </c>
      <c r="J32" s="33"/>
      <c r="K32" s="32" t="s">
        <v>61</v>
      </c>
      <c r="L32" s="32" t="s">
        <v>46</v>
      </c>
      <c r="M32" s="34" t="s">
        <v>73</v>
      </c>
      <c r="N32" s="33"/>
      <c r="O32" s="32" t="s">
        <v>74</v>
      </c>
      <c r="P32" s="32" t="s">
        <v>75</v>
      </c>
      <c r="Q32" s="34" t="s">
        <v>98</v>
      </c>
      <c r="R32" s="33"/>
      <c r="S32" s="42" t="str">
        <f>"332,5"</f>
        <v>332,5</v>
      </c>
      <c r="T32" s="25" t="str">
        <f>"341,1783"</f>
        <v>341,1783</v>
      </c>
      <c r="U32" s="23" t="s">
        <v>261</v>
      </c>
    </row>
    <row r="33" spans="1:21">
      <c r="A33" s="39" t="s">
        <v>219</v>
      </c>
      <c r="B33" s="29" t="s">
        <v>309</v>
      </c>
      <c r="C33" s="29" t="s">
        <v>310</v>
      </c>
      <c r="D33" s="29" t="s">
        <v>311</v>
      </c>
      <c r="E33" s="30" t="s">
        <v>1292</v>
      </c>
      <c r="F33" s="29" t="s">
        <v>312</v>
      </c>
      <c r="G33" s="38" t="s">
        <v>72</v>
      </c>
      <c r="H33" s="38" t="s">
        <v>102</v>
      </c>
      <c r="I33" s="39"/>
      <c r="J33" s="39"/>
      <c r="K33" s="40" t="s">
        <v>230</v>
      </c>
      <c r="L33" s="38" t="s">
        <v>230</v>
      </c>
      <c r="M33" s="39"/>
      <c r="N33" s="39"/>
      <c r="O33" s="38" t="s">
        <v>74</v>
      </c>
      <c r="P33" s="40" t="s">
        <v>313</v>
      </c>
      <c r="Q33" s="40" t="s">
        <v>313</v>
      </c>
      <c r="R33" s="39"/>
      <c r="S33" s="43" t="str">
        <f>"322,5"</f>
        <v>322,5</v>
      </c>
      <c r="T33" s="31" t="str">
        <f>"333,4328"</f>
        <v>333,4328</v>
      </c>
      <c r="U33" s="29"/>
    </row>
    <row r="34" spans="1:21">
      <c r="A34" s="39" t="s">
        <v>220</v>
      </c>
      <c r="B34" s="29" t="s">
        <v>314</v>
      </c>
      <c r="C34" s="29" t="s">
        <v>315</v>
      </c>
      <c r="D34" s="29" t="s">
        <v>316</v>
      </c>
      <c r="E34" s="30" t="s">
        <v>1292</v>
      </c>
      <c r="F34" s="29" t="s">
        <v>117</v>
      </c>
      <c r="G34" s="38" t="s">
        <v>54</v>
      </c>
      <c r="H34" s="38" t="s">
        <v>72</v>
      </c>
      <c r="I34" s="40" t="s">
        <v>102</v>
      </c>
      <c r="J34" s="39"/>
      <c r="K34" s="38" t="s">
        <v>272</v>
      </c>
      <c r="L34" s="38" t="s">
        <v>229</v>
      </c>
      <c r="M34" s="40" t="s">
        <v>273</v>
      </c>
      <c r="N34" s="39"/>
      <c r="O34" s="38" t="s">
        <v>75</v>
      </c>
      <c r="P34" s="40" t="s">
        <v>98</v>
      </c>
      <c r="Q34" s="40" t="s">
        <v>317</v>
      </c>
      <c r="R34" s="39"/>
      <c r="S34" s="43" t="str">
        <f>"320,0"</f>
        <v>320,0</v>
      </c>
      <c r="T34" s="31" t="str">
        <f>"330,4960"</f>
        <v>330,4960</v>
      </c>
      <c r="U34" s="29" t="s">
        <v>318</v>
      </c>
    </row>
    <row r="35" spans="1:21">
      <c r="A35" s="39" t="s">
        <v>221</v>
      </c>
      <c r="B35" s="29" t="s">
        <v>319</v>
      </c>
      <c r="C35" s="29" t="s">
        <v>320</v>
      </c>
      <c r="D35" s="29" t="s">
        <v>321</v>
      </c>
      <c r="E35" s="30" t="s">
        <v>1292</v>
      </c>
      <c r="F35" s="29" t="s">
        <v>71</v>
      </c>
      <c r="G35" s="38" t="s">
        <v>48</v>
      </c>
      <c r="H35" s="38" t="s">
        <v>82</v>
      </c>
      <c r="I35" s="40" t="s">
        <v>54</v>
      </c>
      <c r="J35" s="39"/>
      <c r="K35" s="38" t="s">
        <v>63</v>
      </c>
      <c r="L35" s="38" t="s">
        <v>229</v>
      </c>
      <c r="M35" s="40" t="s">
        <v>240</v>
      </c>
      <c r="N35" s="39"/>
      <c r="O35" s="38" t="s">
        <v>82</v>
      </c>
      <c r="P35" s="38" t="s">
        <v>53</v>
      </c>
      <c r="Q35" s="38" t="s">
        <v>72</v>
      </c>
      <c r="R35" s="39"/>
      <c r="S35" s="43" t="str">
        <f>"280,0"</f>
        <v>280,0</v>
      </c>
      <c r="T35" s="31" t="str">
        <f>"290,7800"</f>
        <v>290,7800</v>
      </c>
      <c r="U35" s="29" t="s">
        <v>322</v>
      </c>
    </row>
    <row r="36" spans="1:21">
      <c r="A36" s="39" t="s">
        <v>222</v>
      </c>
      <c r="B36" s="29" t="s">
        <v>323</v>
      </c>
      <c r="C36" s="29" t="s">
        <v>324</v>
      </c>
      <c r="D36" s="29" t="s">
        <v>321</v>
      </c>
      <c r="E36" s="30" t="s">
        <v>1292</v>
      </c>
      <c r="F36" s="29" t="s">
        <v>325</v>
      </c>
      <c r="G36" s="38" t="s">
        <v>256</v>
      </c>
      <c r="H36" s="38" t="s">
        <v>53</v>
      </c>
      <c r="I36" s="40" t="s">
        <v>140</v>
      </c>
      <c r="J36" s="39"/>
      <c r="K36" s="38" t="s">
        <v>50</v>
      </c>
      <c r="L36" s="40" t="s">
        <v>62</v>
      </c>
      <c r="M36" s="40" t="s">
        <v>62</v>
      </c>
      <c r="N36" s="39"/>
      <c r="O36" s="38" t="s">
        <v>52</v>
      </c>
      <c r="P36" s="38" t="s">
        <v>140</v>
      </c>
      <c r="Q36" s="38" t="s">
        <v>72</v>
      </c>
      <c r="R36" s="39"/>
      <c r="S36" s="43" t="str">
        <f>"275,0"</f>
        <v>275,0</v>
      </c>
      <c r="T36" s="31" t="str">
        <f>"285,5875"</f>
        <v>285,5875</v>
      </c>
      <c r="U36" s="29"/>
    </row>
    <row r="37" spans="1:21">
      <c r="A37" s="39" t="s">
        <v>223</v>
      </c>
      <c r="B37" s="29" t="s">
        <v>326</v>
      </c>
      <c r="C37" s="29" t="s">
        <v>327</v>
      </c>
      <c r="D37" s="29" t="s">
        <v>328</v>
      </c>
      <c r="E37" s="30" t="s">
        <v>1292</v>
      </c>
      <c r="F37" s="29" t="s">
        <v>117</v>
      </c>
      <c r="G37" s="38" t="s">
        <v>48</v>
      </c>
      <c r="H37" s="40" t="s">
        <v>82</v>
      </c>
      <c r="I37" s="38" t="s">
        <v>256</v>
      </c>
      <c r="J37" s="39"/>
      <c r="K37" s="38" t="s">
        <v>62</v>
      </c>
      <c r="L37" s="40" t="s">
        <v>252</v>
      </c>
      <c r="M37" s="38" t="s">
        <v>252</v>
      </c>
      <c r="N37" s="39"/>
      <c r="O37" s="38" t="s">
        <v>53</v>
      </c>
      <c r="P37" s="38" t="s">
        <v>72</v>
      </c>
      <c r="Q37" s="39"/>
      <c r="R37" s="39"/>
      <c r="S37" s="43" t="str">
        <f>"275,0"</f>
        <v>275,0</v>
      </c>
      <c r="T37" s="31" t="str">
        <f>"285,2850"</f>
        <v>285,2850</v>
      </c>
      <c r="U37" s="29" t="s">
        <v>305</v>
      </c>
    </row>
    <row r="38" spans="1:21">
      <c r="A38" s="39" t="s">
        <v>40</v>
      </c>
      <c r="B38" s="29" t="s">
        <v>329</v>
      </c>
      <c r="C38" s="29" t="s">
        <v>330</v>
      </c>
      <c r="D38" s="29" t="s">
        <v>331</v>
      </c>
      <c r="E38" s="30" t="s">
        <v>1292</v>
      </c>
      <c r="F38" s="29" t="s">
        <v>332</v>
      </c>
      <c r="G38" s="40" t="s">
        <v>240</v>
      </c>
      <c r="H38" s="38" t="s">
        <v>60</v>
      </c>
      <c r="I38" s="38" t="s">
        <v>61</v>
      </c>
      <c r="J38" s="39"/>
      <c r="K38" s="40" t="s">
        <v>232</v>
      </c>
      <c r="L38" s="40" t="s">
        <v>233</v>
      </c>
      <c r="M38" s="40" t="s">
        <v>233</v>
      </c>
      <c r="N38" s="39"/>
      <c r="O38" s="40"/>
      <c r="P38" s="39"/>
      <c r="Q38" s="39"/>
      <c r="R38" s="39"/>
      <c r="S38" s="43">
        <v>0</v>
      </c>
      <c r="T38" s="31" t="str">
        <f>"0,0000"</f>
        <v>0,0000</v>
      </c>
      <c r="U38" s="29" t="s">
        <v>474</v>
      </c>
    </row>
    <row r="39" spans="1:21">
      <c r="A39" s="39" t="s">
        <v>40</v>
      </c>
      <c r="B39" s="29" t="s">
        <v>333</v>
      </c>
      <c r="C39" s="29" t="s">
        <v>334</v>
      </c>
      <c r="D39" s="29" t="s">
        <v>335</v>
      </c>
      <c r="E39" s="30" t="s">
        <v>1292</v>
      </c>
      <c r="F39" s="29" t="s">
        <v>71</v>
      </c>
      <c r="G39" s="38" t="s">
        <v>48</v>
      </c>
      <c r="H39" s="40" t="s">
        <v>82</v>
      </c>
      <c r="I39" s="38" t="s">
        <v>82</v>
      </c>
      <c r="J39" s="39"/>
      <c r="K39" s="38" t="s">
        <v>229</v>
      </c>
      <c r="L39" s="38" t="s">
        <v>273</v>
      </c>
      <c r="M39" s="40" t="s">
        <v>240</v>
      </c>
      <c r="N39" s="39"/>
      <c r="O39" s="40" t="s">
        <v>53</v>
      </c>
      <c r="P39" s="40" t="s">
        <v>53</v>
      </c>
      <c r="Q39" s="40" t="s">
        <v>53</v>
      </c>
      <c r="R39" s="39"/>
      <c r="S39" s="43">
        <v>0</v>
      </c>
      <c r="T39" s="31" t="str">
        <f>"0,0000"</f>
        <v>0,0000</v>
      </c>
      <c r="U39" s="29" t="s">
        <v>336</v>
      </c>
    </row>
    <row r="40" spans="1:21">
      <c r="A40" s="39" t="s">
        <v>40</v>
      </c>
      <c r="B40" s="29" t="s">
        <v>337</v>
      </c>
      <c r="C40" s="29" t="s">
        <v>338</v>
      </c>
      <c r="D40" s="29" t="s">
        <v>339</v>
      </c>
      <c r="E40" s="30" t="s">
        <v>1292</v>
      </c>
      <c r="F40" s="29" t="s">
        <v>1239</v>
      </c>
      <c r="G40" s="38" t="s">
        <v>47</v>
      </c>
      <c r="H40" s="38" t="s">
        <v>48</v>
      </c>
      <c r="I40" s="38" t="s">
        <v>188</v>
      </c>
      <c r="J40" s="39"/>
      <c r="K40" s="38" t="s">
        <v>50</v>
      </c>
      <c r="L40" s="38" t="s">
        <v>62</v>
      </c>
      <c r="M40" s="40" t="s">
        <v>252</v>
      </c>
      <c r="N40" s="39"/>
      <c r="O40" s="40" t="s">
        <v>53</v>
      </c>
      <c r="P40" s="40" t="s">
        <v>72</v>
      </c>
      <c r="Q40" s="40" t="s">
        <v>293</v>
      </c>
      <c r="R40" s="39"/>
      <c r="S40" s="43">
        <v>0</v>
      </c>
      <c r="T40" s="31" t="str">
        <f>"0,0000"</f>
        <v>0,0000</v>
      </c>
      <c r="U40" s="29" t="s">
        <v>340</v>
      </c>
    </row>
    <row r="41" spans="1:21">
      <c r="A41" s="37" t="s">
        <v>39</v>
      </c>
      <c r="B41" s="26" t="s">
        <v>306</v>
      </c>
      <c r="C41" s="26" t="s">
        <v>1143</v>
      </c>
      <c r="D41" s="26" t="s">
        <v>308</v>
      </c>
      <c r="E41" s="27" t="s">
        <v>1295</v>
      </c>
      <c r="F41" s="26" t="s">
        <v>97</v>
      </c>
      <c r="G41" s="35" t="s">
        <v>52</v>
      </c>
      <c r="H41" s="35" t="s">
        <v>140</v>
      </c>
      <c r="I41" s="36" t="s">
        <v>299</v>
      </c>
      <c r="J41" s="37"/>
      <c r="K41" s="35" t="s">
        <v>61</v>
      </c>
      <c r="L41" s="35" t="s">
        <v>46</v>
      </c>
      <c r="M41" s="36" t="s">
        <v>73</v>
      </c>
      <c r="N41" s="37"/>
      <c r="O41" s="35" t="s">
        <v>74</v>
      </c>
      <c r="P41" s="35" t="s">
        <v>75</v>
      </c>
      <c r="Q41" s="36" t="s">
        <v>98</v>
      </c>
      <c r="R41" s="37"/>
      <c r="S41" s="44" t="str">
        <f>"332,5"</f>
        <v>332,5</v>
      </c>
      <c r="T41" s="28" t="str">
        <f>"350,7313"</f>
        <v>350,7313</v>
      </c>
      <c r="U41" s="26" t="s">
        <v>261</v>
      </c>
    </row>
    <row r="43" spans="1:21" ht="16">
      <c r="A43" s="81" t="s">
        <v>67</v>
      </c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</row>
    <row r="44" spans="1:21">
      <c r="A44" s="22" t="s">
        <v>39</v>
      </c>
      <c r="B44" s="7" t="s">
        <v>341</v>
      </c>
      <c r="C44" s="7" t="s">
        <v>342</v>
      </c>
      <c r="D44" s="7" t="s">
        <v>343</v>
      </c>
      <c r="E44" s="8" t="s">
        <v>1292</v>
      </c>
      <c r="F44" s="7" t="s">
        <v>97</v>
      </c>
      <c r="G44" s="21" t="s">
        <v>72</v>
      </c>
      <c r="H44" s="21" t="s">
        <v>286</v>
      </c>
      <c r="I44" s="20" t="s">
        <v>286</v>
      </c>
      <c r="J44" s="22"/>
      <c r="K44" s="20" t="s">
        <v>230</v>
      </c>
      <c r="L44" s="20" t="s">
        <v>60</v>
      </c>
      <c r="M44" s="20" t="s">
        <v>241</v>
      </c>
      <c r="N44" s="22"/>
      <c r="O44" s="21" t="s">
        <v>74</v>
      </c>
      <c r="P44" s="20" t="s">
        <v>74</v>
      </c>
      <c r="Q44" s="21" t="s">
        <v>313</v>
      </c>
      <c r="R44" s="22"/>
      <c r="S44" s="41" t="str">
        <f>"330,0"</f>
        <v>330,0</v>
      </c>
      <c r="T44" s="9" t="str">
        <f>"317,2290"</f>
        <v>317,2290</v>
      </c>
      <c r="U44" s="7" t="s">
        <v>261</v>
      </c>
    </row>
    <row r="46" spans="1:21" ht="16">
      <c r="A46" s="81" t="s">
        <v>10</v>
      </c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</row>
    <row r="47" spans="1:21">
      <c r="A47" s="33" t="s">
        <v>39</v>
      </c>
      <c r="B47" s="23" t="s">
        <v>344</v>
      </c>
      <c r="C47" s="23" t="s">
        <v>345</v>
      </c>
      <c r="D47" s="23" t="s">
        <v>346</v>
      </c>
      <c r="E47" s="24" t="s">
        <v>1292</v>
      </c>
      <c r="F47" s="23" t="s">
        <v>347</v>
      </c>
      <c r="G47" s="34" t="s">
        <v>48</v>
      </c>
      <c r="H47" s="32" t="s">
        <v>48</v>
      </c>
      <c r="I47" s="32" t="s">
        <v>82</v>
      </c>
      <c r="J47" s="33"/>
      <c r="K47" s="32" t="s">
        <v>63</v>
      </c>
      <c r="L47" s="32" t="s">
        <v>229</v>
      </c>
      <c r="M47" s="34" t="s">
        <v>240</v>
      </c>
      <c r="N47" s="33"/>
      <c r="O47" s="32" t="s">
        <v>53</v>
      </c>
      <c r="P47" s="32" t="s">
        <v>102</v>
      </c>
      <c r="Q47" s="32" t="s">
        <v>292</v>
      </c>
      <c r="R47" s="33"/>
      <c r="S47" s="42" t="str">
        <f>"292,5"</f>
        <v>292,5</v>
      </c>
      <c r="T47" s="25" t="str">
        <f>"268,0177"</f>
        <v>268,0177</v>
      </c>
      <c r="U47" s="23" t="s">
        <v>340</v>
      </c>
    </row>
    <row r="48" spans="1:21">
      <c r="A48" s="37" t="s">
        <v>39</v>
      </c>
      <c r="B48" s="26" t="s">
        <v>348</v>
      </c>
      <c r="C48" s="26" t="s">
        <v>1144</v>
      </c>
      <c r="D48" s="26" t="s">
        <v>349</v>
      </c>
      <c r="E48" s="27" t="s">
        <v>1294</v>
      </c>
      <c r="F48" s="26" t="s">
        <v>97</v>
      </c>
      <c r="G48" s="36" t="s">
        <v>54</v>
      </c>
      <c r="H48" s="35" t="s">
        <v>54</v>
      </c>
      <c r="I48" s="35" t="s">
        <v>72</v>
      </c>
      <c r="J48" s="37"/>
      <c r="K48" s="35" t="s">
        <v>273</v>
      </c>
      <c r="L48" s="36" t="s">
        <v>240</v>
      </c>
      <c r="M48" s="36" t="s">
        <v>240</v>
      </c>
      <c r="N48" s="37"/>
      <c r="O48" s="35" t="s">
        <v>72</v>
      </c>
      <c r="P48" s="35" t="s">
        <v>102</v>
      </c>
      <c r="Q48" s="35" t="s">
        <v>287</v>
      </c>
      <c r="R48" s="37"/>
      <c r="S48" s="44" t="str">
        <f>"317,5"</f>
        <v>317,5</v>
      </c>
      <c r="T48" s="28" t="str">
        <f>"326,4162"</f>
        <v>326,4162</v>
      </c>
      <c r="U48" s="26" t="s">
        <v>350</v>
      </c>
    </row>
    <row r="50" spans="1:21" ht="16">
      <c r="A50" s="81" t="s">
        <v>76</v>
      </c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</row>
    <row r="51" spans="1:21">
      <c r="A51" s="22" t="s">
        <v>39</v>
      </c>
      <c r="B51" s="7" t="s">
        <v>351</v>
      </c>
      <c r="C51" s="7" t="s">
        <v>352</v>
      </c>
      <c r="D51" s="7" t="s">
        <v>353</v>
      </c>
      <c r="E51" s="8" t="s">
        <v>1292</v>
      </c>
      <c r="F51" s="7" t="s">
        <v>347</v>
      </c>
      <c r="G51" s="21" t="s">
        <v>98</v>
      </c>
      <c r="H51" s="20" t="s">
        <v>98</v>
      </c>
      <c r="I51" s="21" t="s">
        <v>79</v>
      </c>
      <c r="J51" s="22"/>
      <c r="K51" s="20" t="s">
        <v>60</v>
      </c>
      <c r="L51" s="20" t="s">
        <v>46</v>
      </c>
      <c r="M51" s="21" t="s">
        <v>73</v>
      </c>
      <c r="N51" s="22"/>
      <c r="O51" s="20" t="s">
        <v>83</v>
      </c>
      <c r="P51" s="20" t="s">
        <v>80</v>
      </c>
      <c r="Q51" s="20" t="s">
        <v>81</v>
      </c>
      <c r="R51" s="22"/>
      <c r="S51" s="41" t="str">
        <f>"420,0"</f>
        <v>420,0</v>
      </c>
      <c r="T51" s="9" t="str">
        <f>"341,8800"</f>
        <v>341,8800</v>
      </c>
      <c r="U51" s="7" t="s">
        <v>1237</v>
      </c>
    </row>
    <row r="53" spans="1:21" ht="16">
      <c r="A53" s="81" t="s">
        <v>41</v>
      </c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</row>
    <row r="54" spans="1:21">
      <c r="A54" s="22" t="s">
        <v>39</v>
      </c>
      <c r="B54" s="7" t="s">
        <v>355</v>
      </c>
      <c r="C54" s="7" t="s">
        <v>356</v>
      </c>
      <c r="D54" s="7" t="s">
        <v>357</v>
      </c>
      <c r="E54" s="8" t="s">
        <v>1291</v>
      </c>
      <c r="F54" s="7" t="s">
        <v>358</v>
      </c>
      <c r="G54" s="20" t="s">
        <v>52</v>
      </c>
      <c r="H54" s="20" t="s">
        <v>140</v>
      </c>
      <c r="I54" s="20" t="s">
        <v>72</v>
      </c>
      <c r="J54" s="22"/>
      <c r="K54" s="20" t="s">
        <v>46</v>
      </c>
      <c r="L54" s="20" t="s">
        <v>47</v>
      </c>
      <c r="M54" s="21" t="s">
        <v>48</v>
      </c>
      <c r="N54" s="22"/>
      <c r="O54" s="20" t="s">
        <v>79</v>
      </c>
      <c r="P54" s="20" t="s">
        <v>83</v>
      </c>
      <c r="Q54" s="20" t="s">
        <v>80</v>
      </c>
      <c r="R54" s="22"/>
      <c r="S54" s="41" t="str">
        <f>"385,0"</f>
        <v>385,0</v>
      </c>
      <c r="T54" s="9" t="str">
        <f>"313,1205"</f>
        <v>313,1205</v>
      </c>
      <c r="U54" s="7" t="s">
        <v>359</v>
      </c>
    </row>
    <row r="56" spans="1:21" ht="16">
      <c r="A56" s="81" t="s">
        <v>67</v>
      </c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</row>
    <row r="57" spans="1:21">
      <c r="A57" s="33" t="s">
        <v>39</v>
      </c>
      <c r="B57" s="23" t="s">
        <v>360</v>
      </c>
      <c r="C57" s="23" t="s">
        <v>361</v>
      </c>
      <c r="D57" s="23" t="s">
        <v>362</v>
      </c>
      <c r="E57" s="24" t="s">
        <v>1292</v>
      </c>
      <c r="F57" s="23" t="s">
        <v>363</v>
      </c>
      <c r="G57" s="32" t="s">
        <v>80</v>
      </c>
      <c r="H57" s="32" t="s">
        <v>81</v>
      </c>
      <c r="I57" s="32" t="s">
        <v>84</v>
      </c>
      <c r="J57" s="33"/>
      <c r="K57" s="32" t="s">
        <v>110</v>
      </c>
      <c r="L57" s="32" t="s">
        <v>176</v>
      </c>
      <c r="M57" s="34" t="s">
        <v>163</v>
      </c>
      <c r="N57" s="33"/>
      <c r="O57" s="32" t="s">
        <v>112</v>
      </c>
      <c r="P57" s="34" t="s">
        <v>93</v>
      </c>
      <c r="Q57" s="34" t="s">
        <v>93</v>
      </c>
      <c r="R57" s="33"/>
      <c r="S57" s="42" t="str">
        <f>"592,5"</f>
        <v>592,5</v>
      </c>
      <c r="T57" s="25" t="str">
        <f>"423,4005"</f>
        <v>423,4005</v>
      </c>
      <c r="U57" s="23" t="s">
        <v>364</v>
      </c>
    </row>
    <row r="58" spans="1:21">
      <c r="A58" s="39" t="s">
        <v>219</v>
      </c>
      <c r="B58" s="29" t="s">
        <v>365</v>
      </c>
      <c r="C58" s="29" t="s">
        <v>366</v>
      </c>
      <c r="D58" s="29" t="s">
        <v>367</v>
      </c>
      <c r="E58" s="30" t="s">
        <v>1292</v>
      </c>
      <c r="F58" s="29" t="s">
        <v>251</v>
      </c>
      <c r="G58" s="38" t="s">
        <v>91</v>
      </c>
      <c r="H58" s="38" t="s">
        <v>80</v>
      </c>
      <c r="I58" s="40" t="s">
        <v>81</v>
      </c>
      <c r="J58" s="39"/>
      <c r="K58" s="38" t="s">
        <v>74</v>
      </c>
      <c r="L58" s="40" t="s">
        <v>287</v>
      </c>
      <c r="M58" s="40" t="s">
        <v>287</v>
      </c>
      <c r="N58" s="39"/>
      <c r="O58" s="38" t="s">
        <v>210</v>
      </c>
      <c r="P58" s="40" t="s">
        <v>90</v>
      </c>
      <c r="Q58" s="40" t="s">
        <v>90</v>
      </c>
      <c r="R58" s="39"/>
      <c r="S58" s="43" t="str">
        <f>"527,5"</f>
        <v>527,5</v>
      </c>
      <c r="T58" s="31" t="str">
        <f>"386,2355"</f>
        <v>386,2355</v>
      </c>
      <c r="U58" s="29" t="s">
        <v>368</v>
      </c>
    </row>
    <row r="59" spans="1:21">
      <c r="A59" s="39" t="s">
        <v>220</v>
      </c>
      <c r="B59" s="29" t="s">
        <v>369</v>
      </c>
      <c r="C59" s="29" t="s">
        <v>370</v>
      </c>
      <c r="D59" s="29" t="s">
        <v>371</v>
      </c>
      <c r="E59" s="30" t="s">
        <v>1292</v>
      </c>
      <c r="F59" s="29" t="s">
        <v>175</v>
      </c>
      <c r="G59" s="38" t="s">
        <v>79</v>
      </c>
      <c r="H59" s="38" t="s">
        <v>83</v>
      </c>
      <c r="I59" s="40" t="s">
        <v>18</v>
      </c>
      <c r="J59" s="39"/>
      <c r="K59" s="38" t="s">
        <v>287</v>
      </c>
      <c r="L59" s="38" t="s">
        <v>372</v>
      </c>
      <c r="M59" s="40" t="s">
        <v>373</v>
      </c>
      <c r="N59" s="39"/>
      <c r="O59" s="38" t="s">
        <v>81</v>
      </c>
      <c r="P59" s="40" t="s">
        <v>84</v>
      </c>
      <c r="Q59" s="40" t="s">
        <v>108</v>
      </c>
      <c r="R59" s="39"/>
      <c r="S59" s="43" t="str">
        <f>"502,5"</f>
        <v>502,5</v>
      </c>
      <c r="T59" s="31" t="str">
        <f>"360,0915"</f>
        <v>360,0915</v>
      </c>
      <c r="U59" s="29" t="s">
        <v>374</v>
      </c>
    </row>
    <row r="60" spans="1:21">
      <c r="A60" s="39" t="s">
        <v>221</v>
      </c>
      <c r="B60" s="29" t="s">
        <v>375</v>
      </c>
      <c r="C60" s="29" t="s">
        <v>376</v>
      </c>
      <c r="D60" s="29" t="s">
        <v>377</v>
      </c>
      <c r="E60" s="30" t="s">
        <v>1292</v>
      </c>
      <c r="F60" s="29" t="s">
        <v>71</v>
      </c>
      <c r="G60" s="38" t="s">
        <v>110</v>
      </c>
      <c r="H60" s="38" t="s">
        <v>111</v>
      </c>
      <c r="I60" s="38" t="s">
        <v>18</v>
      </c>
      <c r="J60" s="39"/>
      <c r="K60" s="38" t="s">
        <v>140</v>
      </c>
      <c r="L60" s="40" t="s">
        <v>293</v>
      </c>
      <c r="M60" s="38" t="s">
        <v>293</v>
      </c>
      <c r="N60" s="39"/>
      <c r="O60" s="38" t="s">
        <v>18</v>
      </c>
      <c r="P60" s="38" t="s">
        <v>81</v>
      </c>
      <c r="Q60" s="38" t="s">
        <v>84</v>
      </c>
      <c r="R60" s="39"/>
      <c r="S60" s="43" t="str">
        <f>"497,5"</f>
        <v>497,5</v>
      </c>
      <c r="T60" s="31" t="str">
        <f>"363,1750"</f>
        <v>363,1750</v>
      </c>
      <c r="U60" s="29" t="s">
        <v>294</v>
      </c>
    </row>
    <row r="61" spans="1:21">
      <c r="A61" s="39" t="s">
        <v>222</v>
      </c>
      <c r="B61" s="29" t="s">
        <v>378</v>
      </c>
      <c r="C61" s="29" t="s">
        <v>379</v>
      </c>
      <c r="D61" s="29" t="s">
        <v>371</v>
      </c>
      <c r="E61" s="30" t="s">
        <v>1292</v>
      </c>
      <c r="F61" s="29" t="s">
        <v>157</v>
      </c>
      <c r="G61" s="38" t="s">
        <v>110</v>
      </c>
      <c r="H61" s="38" t="s">
        <v>79</v>
      </c>
      <c r="I61" s="40" t="s">
        <v>111</v>
      </c>
      <c r="J61" s="39"/>
      <c r="K61" s="38" t="s">
        <v>65</v>
      </c>
      <c r="L61" s="38" t="s">
        <v>188</v>
      </c>
      <c r="M61" s="40" t="s">
        <v>246</v>
      </c>
      <c r="N61" s="39"/>
      <c r="O61" s="38" t="s">
        <v>108</v>
      </c>
      <c r="P61" s="38" t="s">
        <v>380</v>
      </c>
      <c r="Q61" s="40" t="s">
        <v>109</v>
      </c>
      <c r="R61" s="39"/>
      <c r="S61" s="43" t="str">
        <f>"467,5"</f>
        <v>467,5</v>
      </c>
      <c r="T61" s="31" t="str">
        <f>"335,0105"</f>
        <v>335,0105</v>
      </c>
      <c r="U61" s="29" t="s">
        <v>381</v>
      </c>
    </row>
    <row r="62" spans="1:21">
      <c r="A62" s="37" t="s">
        <v>223</v>
      </c>
      <c r="B62" s="26" t="s">
        <v>382</v>
      </c>
      <c r="C62" s="26" t="s">
        <v>383</v>
      </c>
      <c r="D62" s="26" t="s">
        <v>384</v>
      </c>
      <c r="E62" s="27" t="s">
        <v>1292</v>
      </c>
      <c r="F62" s="26" t="s">
        <v>97</v>
      </c>
      <c r="G62" s="35" t="s">
        <v>48</v>
      </c>
      <c r="H62" s="35" t="s">
        <v>188</v>
      </c>
      <c r="I62" s="36" t="s">
        <v>82</v>
      </c>
      <c r="J62" s="37"/>
      <c r="K62" s="35" t="s">
        <v>61</v>
      </c>
      <c r="L62" s="35" t="s">
        <v>46</v>
      </c>
      <c r="M62" s="35" t="s">
        <v>73</v>
      </c>
      <c r="N62" s="37"/>
      <c r="O62" s="35" t="s">
        <v>75</v>
      </c>
      <c r="P62" s="35" t="s">
        <v>187</v>
      </c>
      <c r="Q62" s="35" t="s">
        <v>317</v>
      </c>
      <c r="R62" s="37"/>
      <c r="S62" s="44" t="str">
        <f>"330,0"</f>
        <v>330,0</v>
      </c>
      <c r="T62" s="28" t="str">
        <f>"243,6390"</f>
        <v>243,6390</v>
      </c>
      <c r="U62" s="26"/>
    </row>
    <row r="64" spans="1:21" ht="16">
      <c r="A64" s="81" t="s">
        <v>10</v>
      </c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</row>
    <row r="65" spans="1:21">
      <c r="A65" s="33" t="s">
        <v>39</v>
      </c>
      <c r="B65" s="23" t="s">
        <v>385</v>
      </c>
      <c r="C65" s="23" t="s">
        <v>1145</v>
      </c>
      <c r="D65" s="23" t="s">
        <v>386</v>
      </c>
      <c r="E65" s="24" t="s">
        <v>1293</v>
      </c>
      <c r="F65" s="23" t="s">
        <v>387</v>
      </c>
      <c r="G65" s="32" t="s">
        <v>80</v>
      </c>
      <c r="H65" s="32" t="s">
        <v>81</v>
      </c>
      <c r="I65" s="33"/>
      <c r="J65" s="33"/>
      <c r="K65" s="32" t="s">
        <v>74</v>
      </c>
      <c r="L65" s="32" t="s">
        <v>75</v>
      </c>
      <c r="M65" s="33"/>
      <c r="N65" s="33"/>
      <c r="O65" s="32" t="s">
        <v>103</v>
      </c>
      <c r="P65" s="32" t="s">
        <v>388</v>
      </c>
      <c r="Q65" s="32" t="s">
        <v>209</v>
      </c>
      <c r="R65" s="33"/>
      <c r="S65" s="42" t="str">
        <f>"630,0"</f>
        <v>630,0</v>
      </c>
      <c r="T65" s="25" t="str">
        <f>"425,8170"</f>
        <v>425,8170</v>
      </c>
      <c r="U65" s="23"/>
    </row>
    <row r="66" spans="1:21">
      <c r="A66" s="39" t="s">
        <v>39</v>
      </c>
      <c r="B66" s="29" t="s">
        <v>94</v>
      </c>
      <c r="C66" s="29" t="s">
        <v>95</v>
      </c>
      <c r="D66" s="29" t="s">
        <v>96</v>
      </c>
      <c r="E66" s="30" t="s">
        <v>1292</v>
      </c>
      <c r="F66" s="29" t="s">
        <v>97</v>
      </c>
      <c r="G66" s="38" t="s">
        <v>85</v>
      </c>
      <c r="H66" s="38" t="s">
        <v>125</v>
      </c>
      <c r="I66" s="38" t="s">
        <v>90</v>
      </c>
      <c r="J66" s="39"/>
      <c r="K66" s="38" t="s">
        <v>187</v>
      </c>
      <c r="L66" s="38" t="s">
        <v>98</v>
      </c>
      <c r="M66" s="40" t="s">
        <v>317</v>
      </c>
      <c r="N66" s="39"/>
      <c r="O66" s="38" t="s">
        <v>17</v>
      </c>
      <c r="P66" s="40" t="s">
        <v>389</v>
      </c>
      <c r="Q66" s="40" t="s">
        <v>389</v>
      </c>
      <c r="R66" s="39"/>
      <c r="S66" s="43" t="str">
        <f>"640,0"</f>
        <v>640,0</v>
      </c>
      <c r="T66" s="31" t="str">
        <f>"431,2960"</f>
        <v>431,2960</v>
      </c>
      <c r="U66" s="29"/>
    </row>
    <row r="67" spans="1:21">
      <c r="A67" s="39" t="s">
        <v>219</v>
      </c>
      <c r="B67" s="29" t="s">
        <v>390</v>
      </c>
      <c r="C67" s="29" t="s">
        <v>391</v>
      </c>
      <c r="D67" s="29" t="s">
        <v>392</v>
      </c>
      <c r="E67" s="30" t="s">
        <v>1292</v>
      </c>
      <c r="F67" s="29" t="s">
        <v>71</v>
      </c>
      <c r="G67" s="40" t="s">
        <v>85</v>
      </c>
      <c r="H67" s="38" t="s">
        <v>85</v>
      </c>
      <c r="I67" s="38" t="s">
        <v>393</v>
      </c>
      <c r="J67" s="39"/>
      <c r="K67" s="38" t="s">
        <v>72</v>
      </c>
      <c r="L67" s="38" t="s">
        <v>102</v>
      </c>
      <c r="M67" s="40" t="s">
        <v>74</v>
      </c>
      <c r="N67" s="39"/>
      <c r="O67" s="38" t="s">
        <v>93</v>
      </c>
      <c r="P67" s="40" t="s">
        <v>16</v>
      </c>
      <c r="Q67" s="38" t="s">
        <v>16</v>
      </c>
      <c r="R67" s="39"/>
      <c r="S67" s="43" t="str">
        <f>"597,5"</f>
        <v>597,5</v>
      </c>
      <c r="T67" s="31" t="str">
        <f>"412,2152"</f>
        <v>412,2152</v>
      </c>
      <c r="U67" s="29" t="s">
        <v>394</v>
      </c>
    </row>
    <row r="68" spans="1:21">
      <c r="A68" s="39" t="s">
        <v>220</v>
      </c>
      <c r="B68" s="29" t="s">
        <v>395</v>
      </c>
      <c r="C68" s="29" t="s">
        <v>396</v>
      </c>
      <c r="D68" s="29" t="s">
        <v>397</v>
      </c>
      <c r="E68" s="30" t="s">
        <v>1292</v>
      </c>
      <c r="F68" s="29" t="s">
        <v>398</v>
      </c>
      <c r="G68" s="38" t="s">
        <v>79</v>
      </c>
      <c r="H68" s="38" t="s">
        <v>83</v>
      </c>
      <c r="I68" s="40" t="s">
        <v>18</v>
      </c>
      <c r="J68" s="39"/>
      <c r="K68" s="38" t="s">
        <v>74</v>
      </c>
      <c r="L68" s="38" t="s">
        <v>287</v>
      </c>
      <c r="M68" s="40" t="s">
        <v>75</v>
      </c>
      <c r="N68" s="39"/>
      <c r="O68" s="38" t="s">
        <v>85</v>
      </c>
      <c r="P68" s="38" t="s">
        <v>109</v>
      </c>
      <c r="Q68" s="38" t="s">
        <v>125</v>
      </c>
      <c r="R68" s="39"/>
      <c r="S68" s="43" t="str">
        <f>"525,0"</f>
        <v>525,0</v>
      </c>
      <c r="T68" s="31" t="str">
        <f>"356,2125"</f>
        <v>356,2125</v>
      </c>
      <c r="U68" s="29"/>
    </row>
    <row r="69" spans="1:21">
      <c r="A69" s="39" t="s">
        <v>221</v>
      </c>
      <c r="B69" s="29" t="s">
        <v>399</v>
      </c>
      <c r="C69" s="29" t="s">
        <v>400</v>
      </c>
      <c r="D69" s="29" t="s">
        <v>401</v>
      </c>
      <c r="E69" s="30" t="s">
        <v>1292</v>
      </c>
      <c r="F69" s="29" t="s">
        <v>71</v>
      </c>
      <c r="G69" s="38" t="s">
        <v>79</v>
      </c>
      <c r="H69" s="38" t="s">
        <v>83</v>
      </c>
      <c r="I69" s="40" t="s">
        <v>158</v>
      </c>
      <c r="J69" s="39"/>
      <c r="K69" s="38" t="s">
        <v>72</v>
      </c>
      <c r="L69" s="38" t="s">
        <v>286</v>
      </c>
      <c r="M69" s="38" t="s">
        <v>292</v>
      </c>
      <c r="N69" s="39"/>
      <c r="O69" s="38" t="s">
        <v>81</v>
      </c>
      <c r="P69" s="38" t="s">
        <v>84</v>
      </c>
      <c r="Q69" s="40" t="s">
        <v>85</v>
      </c>
      <c r="R69" s="39"/>
      <c r="S69" s="43" t="str">
        <f>"502,5"</f>
        <v>502,5</v>
      </c>
      <c r="T69" s="31" t="str">
        <f>"349,8908"</f>
        <v>349,8908</v>
      </c>
      <c r="U69" s="29" t="s">
        <v>294</v>
      </c>
    </row>
    <row r="70" spans="1:21">
      <c r="A70" s="39" t="s">
        <v>222</v>
      </c>
      <c r="B70" s="29" t="s">
        <v>402</v>
      </c>
      <c r="C70" s="29" t="s">
        <v>403</v>
      </c>
      <c r="D70" s="29" t="s">
        <v>386</v>
      </c>
      <c r="E70" s="30" t="s">
        <v>1292</v>
      </c>
      <c r="F70" s="29" t="s">
        <v>347</v>
      </c>
      <c r="G70" s="38" t="s">
        <v>75</v>
      </c>
      <c r="H70" s="38" t="s">
        <v>98</v>
      </c>
      <c r="I70" s="40" t="s">
        <v>79</v>
      </c>
      <c r="J70" s="39"/>
      <c r="K70" s="38" t="s">
        <v>82</v>
      </c>
      <c r="L70" s="40" t="s">
        <v>52</v>
      </c>
      <c r="M70" s="40" t="s">
        <v>52</v>
      </c>
      <c r="N70" s="39"/>
      <c r="O70" s="38" t="s">
        <v>404</v>
      </c>
      <c r="P70" s="38" t="s">
        <v>108</v>
      </c>
      <c r="Q70" s="38" t="s">
        <v>109</v>
      </c>
      <c r="R70" s="39"/>
      <c r="S70" s="43" t="str">
        <f>"465,0"</f>
        <v>465,0</v>
      </c>
      <c r="T70" s="31" t="str">
        <f>"314,2935"</f>
        <v>314,2935</v>
      </c>
      <c r="U70" s="29" t="s">
        <v>1237</v>
      </c>
    </row>
    <row r="71" spans="1:21">
      <c r="A71" s="39" t="s">
        <v>39</v>
      </c>
      <c r="B71" s="29" t="s">
        <v>390</v>
      </c>
      <c r="C71" s="29" t="s">
        <v>1146</v>
      </c>
      <c r="D71" s="29" t="s">
        <v>392</v>
      </c>
      <c r="E71" s="30" t="s">
        <v>1295</v>
      </c>
      <c r="F71" s="29" t="s">
        <v>71</v>
      </c>
      <c r="G71" s="40" t="s">
        <v>85</v>
      </c>
      <c r="H71" s="38" t="s">
        <v>85</v>
      </c>
      <c r="I71" s="38" t="s">
        <v>393</v>
      </c>
      <c r="J71" s="39"/>
      <c r="K71" s="38" t="s">
        <v>72</v>
      </c>
      <c r="L71" s="38" t="s">
        <v>102</v>
      </c>
      <c r="M71" s="40" t="s">
        <v>74</v>
      </c>
      <c r="N71" s="39"/>
      <c r="O71" s="38" t="s">
        <v>93</v>
      </c>
      <c r="P71" s="40" t="s">
        <v>16</v>
      </c>
      <c r="Q71" s="38" t="s">
        <v>16</v>
      </c>
      <c r="R71" s="39"/>
      <c r="S71" s="43" t="str">
        <f>"597,5"</f>
        <v>597,5</v>
      </c>
      <c r="T71" s="31" t="str">
        <f>"430,3527"</f>
        <v>430,3527</v>
      </c>
      <c r="U71" s="29" t="s">
        <v>394</v>
      </c>
    </row>
    <row r="72" spans="1:21">
      <c r="A72" s="37" t="s">
        <v>219</v>
      </c>
      <c r="B72" s="26" t="s">
        <v>405</v>
      </c>
      <c r="C72" s="26" t="s">
        <v>1147</v>
      </c>
      <c r="D72" s="26" t="s">
        <v>406</v>
      </c>
      <c r="E72" s="27" t="s">
        <v>1295</v>
      </c>
      <c r="F72" s="26" t="s">
        <v>347</v>
      </c>
      <c r="G72" s="35" t="s">
        <v>74</v>
      </c>
      <c r="H72" s="35" t="s">
        <v>287</v>
      </c>
      <c r="I72" s="35" t="s">
        <v>75</v>
      </c>
      <c r="J72" s="37"/>
      <c r="K72" s="35" t="s">
        <v>52</v>
      </c>
      <c r="L72" s="35" t="s">
        <v>140</v>
      </c>
      <c r="M72" s="36" t="s">
        <v>299</v>
      </c>
      <c r="N72" s="37"/>
      <c r="O72" s="35" t="s">
        <v>111</v>
      </c>
      <c r="P72" s="35" t="s">
        <v>83</v>
      </c>
      <c r="Q72" s="36" t="s">
        <v>18</v>
      </c>
      <c r="R72" s="37"/>
      <c r="S72" s="44" t="str">
        <f>"422,5"</f>
        <v>422,5</v>
      </c>
      <c r="T72" s="28" t="str">
        <f>"296,2999"</f>
        <v>296,2999</v>
      </c>
      <c r="U72" s="26" t="s">
        <v>1237</v>
      </c>
    </row>
    <row r="74" spans="1:21" ht="16">
      <c r="A74" s="81" t="s">
        <v>113</v>
      </c>
      <c r="B74" s="81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1">
      <c r="A75" s="33" t="s">
        <v>39</v>
      </c>
      <c r="B75" s="23" t="s">
        <v>407</v>
      </c>
      <c r="C75" s="23" t="s">
        <v>408</v>
      </c>
      <c r="D75" s="23" t="s">
        <v>409</v>
      </c>
      <c r="E75" s="24" t="s">
        <v>1292</v>
      </c>
      <c r="F75" s="23" t="s">
        <v>410</v>
      </c>
      <c r="G75" s="32" t="s">
        <v>90</v>
      </c>
      <c r="H75" s="32" t="s">
        <v>15</v>
      </c>
      <c r="I75" s="32" t="s">
        <v>93</v>
      </c>
      <c r="J75" s="33"/>
      <c r="K75" s="32" t="s">
        <v>75</v>
      </c>
      <c r="L75" s="32" t="s">
        <v>373</v>
      </c>
      <c r="M75" s="32" t="s">
        <v>98</v>
      </c>
      <c r="N75" s="33"/>
      <c r="O75" s="32" t="s">
        <v>16</v>
      </c>
      <c r="P75" s="32" t="s">
        <v>411</v>
      </c>
      <c r="Q75" s="34" t="s">
        <v>389</v>
      </c>
      <c r="R75" s="33"/>
      <c r="S75" s="42" t="str">
        <f>"660,0"</f>
        <v>660,0</v>
      </c>
      <c r="T75" s="25" t="str">
        <f>"423,2580"</f>
        <v>423,2580</v>
      </c>
      <c r="U75" s="23" t="s">
        <v>257</v>
      </c>
    </row>
    <row r="76" spans="1:21">
      <c r="A76" s="39" t="s">
        <v>219</v>
      </c>
      <c r="B76" s="29" t="s">
        <v>412</v>
      </c>
      <c r="C76" s="29" t="s">
        <v>413</v>
      </c>
      <c r="D76" s="29" t="s">
        <v>414</v>
      </c>
      <c r="E76" s="30" t="s">
        <v>1292</v>
      </c>
      <c r="F76" s="29" t="s">
        <v>415</v>
      </c>
      <c r="G76" s="40" t="s">
        <v>85</v>
      </c>
      <c r="H76" s="38" t="s">
        <v>85</v>
      </c>
      <c r="I76" s="38" t="s">
        <v>125</v>
      </c>
      <c r="J76" s="39"/>
      <c r="K76" s="38" t="s">
        <v>75</v>
      </c>
      <c r="L76" s="38" t="s">
        <v>373</v>
      </c>
      <c r="M76" s="40" t="s">
        <v>317</v>
      </c>
      <c r="N76" s="39"/>
      <c r="O76" s="38" t="s">
        <v>125</v>
      </c>
      <c r="P76" s="38" t="s">
        <v>15</v>
      </c>
      <c r="Q76" s="38" t="s">
        <v>16</v>
      </c>
      <c r="R76" s="39"/>
      <c r="S76" s="43" t="str">
        <f>"617,5"</f>
        <v>617,5</v>
      </c>
      <c r="T76" s="31" t="str">
        <f>"394,6443"</f>
        <v>394,6443</v>
      </c>
      <c r="U76" s="29" t="s">
        <v>416</v>
      </c>
    </row>
    <row r="77" spans="1:21">
      <c r="A77" s="39" t="s">
        <v>220</v>
      </c>
      <c r="B77" s="29" t="s">
        <v>417</v>
      </c>
      <c r="C77" s="29" t="s">
        <v>418</v>
      </c>
      <c r="D77" s="29" t="s">
        <v>419</v>
      </c>
      <c r="E77" s="30" t="s">
        <v>1292</v>
      </c>
      <c r="F77" s="29" t="s">
        <v>420</v>
      </c>
      <c r="G77" s="38" t="s">
        <v>109</v>
      </c>
      <c r="H77" s="40" t="s">
        <v>393</v>
      </c>
      <c r="I77" s="40" t="s">
        <v>393</v>
      </c>
      <c r="J77" s="39"/>
      <c r="K77" s="38" t="s">
        <v>187</v>
      </c>
      <c r="L77" s="40" t="s">
        <v>373</v>
      </c>
      <c r="M77" s="40" t="s">
        <v>373</v>
      </c>
      <c r="N77" s="39"/>
      <c r="O77" s="38" t="s">
        <v>15</v>
      </c>
      <c r="P77" s="38" t="s">
        <v>20</v>
      </c>
      <c r="Q77" s="40" t="s">
        <v>124</v>
      </c>
      <c r="R77" s="39"/>
      <c r="S77" s="43" t="str">
        <f>"605,0"</f>
        <v>605,0</v>
      </c>
      <c r="T77" s="31" t="str">
        <f>"388,2285"</f>
        <v>388,2285</v>
      </c>
      <c r="U77" s="29"/>
    </row>
    <row r="78" spans="1:21">
      <c r="A78" s="39" t="s">
        <v>221</v>
      </c>
      <c r="B78" s="29" t="s">
        <v>421</v>
      </c>
      <c r="C78" s="29" t="s">
        <v>422</v>
      </c>
      <c r="D78" s="29" t="s">
        <v>423</v>
      </c>
      <c r="E78" s="30" t="s">
        <v>1292</v>
      </c>
      <c r="F78" s="29" t="s">
        <v>268</v>
      </c>
      <c r="G78" s="38" t="s">
        <v>81</v>
      </c>
      <c r="H78" s="40" t="s">
        <v>84</v>
      </c>
      <c r="I78" s="40" t="s">
        <v>84</v>
      </c>
      <c r="J78" s="39"/>
      <c r="K78" s="40" t="s">
        <v>187</v>
      </c>
      <c r="L78" s="40" t="s">
        <v>187</v>
      </c>
      <c r="M78" s="38" t="s">
        <v>187</v>
      </c>
      <c r="N78" s="39"/>
      <c r="O78" s="38" t="s">
        <v>125</v>
      </c>
      <c r="P78" s="38" t="s">
        <v>112</v>
      </c>
      <c r="Q78" s="40" t="s">
        <v>93</v>
      </c>
      <c r="R78" s="39"/>
      <c r="S78" s="43" t="str">
        <f>"565,0"</f>
        <v>565,0</v>
      </c>
      <c r="T78" s="31" t="str">
        <f>"365,3855"</f>
        <v>365,3855</v>
      </c>
      <c r="U78" s="29" t="s">
        <v>257</v>
      </c>
    </row>
    <row r="79" spans="1:21">
      <c r="A79" s="39" t="s">
        <v>222</v>
      </c>
      <c r="B79" s="29" t="s">
        <v>424</v>
      </c>
      <c r="C79" s="29" t="s">
        <v>425</v>
      </c>
      <c r="D79" s="29" t="s">
        <v>426</v>
      </c>
      <c r="E79" s="30" t="s">
        <v>1292</v>
      </c>
      <c r="F79" s="29" t="s">
        <v>268</v>
      </c>
      <c r="G79" s="40" t="s">
        <v>81</v>
      </c>
      <c r="H79" s="40" t="s">
        <v>81</v>
      </c>
      <c r="I79" s="38" t="s">
        <v>81</v>
      </c>
      <c r="J79" s="39"/>
      <c r="K79" s="38" t="s">
        <v>187</v>
      </c>
      <c r="L79" s="40" t="s">
        <v>373</v>
      </c>
      <c r="M79" s="40" t="s">
        <v>373</v>
      </c>
      <c r="N79" s="39"/>
      <c r="O79" s="38" t="s">
        <v>85</v>
      </c>
      <c r="P79" s="38" t="s">
        <v>125</v>
      </c>
      <c r="Q79" s="40" t="s">
        <v>112</v>
      </c>
      <c r="R79" s="39"/>
      <c r="S79" s="43" t="str">
        <f>"555,0"</f>
        <v>555,0</v>
      </c>
      <c r="T79" s="31" t="str">
        <f>"356,7540"</f>
        <v>356,7540</v>
      </c>
      <c r="U79" s="29"/>
    </row>
    <row r="80" spans="1:21">
      <c r="A80" s="39" t="s">
        <v>223</v>
      </c>
      <c r="B80" s="29" t="s">
        <v>427</v>
      </c>
      <c r="C80" s="29" t="s">
        <v>428</v>
      </c>
      <c r="D80" s="29" t="s">
        <v>429</v>
      </c>
      <c r="E80" s="30" t="s">
        <v>1292</v>
      </c>
      <c r="F80" s="29" t="s">
        <v>332</v>
      </c>
      <c r="G80" s="40" t="s">
        <v>81</v>
      </c>
      <c r="H80" s="38" t="s">
        <v>81</v>
      </c>
      <c r="I80" s="40" t="s">
        <v>84</v>
      </c>
      <c r="J80" s="39"/>
      <c r="K80" s="38" t="s">
        <v>102</v>
      </c>
      <c r="L80" s="38" t="s">
        <v>74</v>
      </c>
      <c r="M80" s="38" t="s">
        <v>292</v>
      </c>
      <c r="N80" s="39"/>
      <c r="O80" s="38" t="s">
        <v>85</v>
      </c>
      <c r="P80" s="38" t="s">
        <v>109</v>
      </c>
      <c r="Q80" s="38" t="s">
        <v>112</v>
      </c>
      <c r="R80" s="39"/>
      <c r="S80" s="43" t="str">
        <f>"552,5"</f>
        <v>552,5</v>
      </c>
      <c r="T80" s="31" t="str">
        <f>"364,4842"</f>
        <v>364,4842</v>
      </c>
      <c r="U80" s="29"/>
    </row>
    <row r="81" spans="1:21">
      <c r="A81" s="39" t="s">
        <v>483</v>
      </c>
      <c r="B81" s="29" t="s">
        <v>430</v>
      </c>
      <c r="C81" s="29" t="s">
        <v>431</v>
      </c>
      <c r="D81" s="29" t="s">
        <v>432</v>
      </c>
      <c r="E81" s="30" t="s">
        <v>1292</v>
      </c>
      <c r="F81" s="29" t="s">
        <v>268</v>
      </c>
      <c r="G81" s="38" t="s">
        <v>80</v>
      </c>
      <c r="H81" s="38" t="s">
        <v>195</v>
      </c>
      <c r="I81" s="38" t="s">
        <v>169</v>
      </c>
      <c r="J81" s="39"/>
      <c r="K81" s="40" t="s">
        <v>75</v>
      </c>
      <c r="L81" s="38" t="s">
        <v>75</v>
      </c>
      <c r="M81" s="40" t="s">
        <v>98</v>
      </c>
      <c r="N81" s="39"/>
      <c r="O81" s="38" t="s">
        <v>80</v>
      </c>
      <c r="P81" s="38" t="s">
        <v>404</v>
      </c>
      <c r="Q81" s="38" t="s">
        <v>433</v>
      </c>
      <c r="R81" s="39"/>
      <c r="S81" s="43" t="str">
        <f>"550,0"</f>
        <v>550,0</v>
      </c>
      <c r="T81" s="31" t="str">
        <f>"362,0650"</f>
        <v>362,0650</v>
      </c>
      <c r="U81" s="29" t="s">
        <v>434</v>
      </c>
    </row>
    <row r="82" spans="1:21">
      <c r="A82" s="39" t="s">
        <v>484</v>
      </c>
      <c r="B82" s="29" t="s">
        <v>435</v>
      </c>
      <c r="C82" s="29" t="s">
        <v>436</v>
      </c>
      <c r="D82" s="29" t="s">
        <v>437</v>
      </c>
      <c r="E82" s="30" t="s">
        <v>1292</v>
      </c>
      <c r="F82" s="29" t="s">
        <v>347</v>
      </c>
      <c r="G82" s="38" t="s">
        <v>187</v>
      </c>
      <c r="H82" s="38" t="s">
        <v>110</v>
      </c>
      <c r="I82" s="38" t="s">
        <v>111</v>
      </c>
      <c r="J82" s="39"/>
      <c r="K82" s="38" t="s">
        <v>72</v>
      </c>
      <c r="L82" s="38" t="s">
        <v>102</v>
      </c>
      <c r="M82" s="40" t="s">
        <v>74</v>
      </c>
      <c r="N82" s="39"/>
      <c r="O82" s="38" t="s">
        <v>404</v>
      </c>
      <c r="P82" s="38" t="s">
        <v>108</v>
      </c>
      <c r="Q82" s="38" t="s">
        <v>109</v>
      </c>
      <c r="R82" s="39"/>
      <c r="S82" s="43" t="str">
        <f>"505,0"</f>
        <v>505,0</v>
      </c>
      <c r="T82" s="31" t="str">
        <f>"324,2605"</f>
        <v>324,2605</v>
      </c>
      <c r="U82" s="29" t="s">
        <v>354</v>
      </c>
    </row>
    <row r="83" spans="1:21">
      <c r="A83" s="39" t="s">
        <v>485</v>
      </c>
      <c r="B83" s="29" t="s">
        <v>438</v>
      </c>
      <c r="C83" s="29" t="s">
        <v>439</v>
      </c>
      <c r="D83" s="29" t="s">
        <v>419</v>
      </c>
      <c r="E83" s="30" t="s">
        <v>1292</v>
      </c>
      <c r="F83" s="29" t="s">
        <v>117</v>
      </c>
      <c r="G83" s="38" t="s">
        <v>75</v>
      </c>
      <c r="H83" s="38" t="s">
        <v>98</v>
      </c>
      <c r="I83" s="38" t="s">
        <v>79</v>
      </c>
      <c r="J83" s="39"/>
      <c r="K83" s="38" t="s">
        <v>52</v>
      </c>
      <c r="L83" s="38" t="s">
        <v>140</v>
      </c>
      <c r="M83" s="40" t="s">
        <v>299</v>
      </c>
      <c r="N83" s="39"/>
      <c r="O83" s="38" t="s">
        <v>81</v>
      </c>
      <c r="P83" s="40" t="s">
        <v>84</v>
      </c>
      <c r="Q83" s="40" t="s">
        <v>108</v>
      </c>
      <c r="R83" s="39"/>
      <c r="S83" s="43" t="str">
        <f>"462,5"</f>
        <v>462,5</v>
      </c>
      <c r="T83" s="31" t="str">
        <f>"296,7863"</f>
        <v>296,7863</v>
      </c>
      <c r="U83" s="29" t="s">
        <v>305</v>
      </c>
    </row>
    <row r="84" spans="1:21">
      <c r="A84" s="39" t="s">
        <v>39</v>
      </c>
      <c r="B84" s="29" t="s">
        <v>440</v>
      </c>
      <c r="C84" s="29" t="s">
        <v>1148</v>
      </c>
      <c r="D84" s="29" t="s">
        <v>441</v>
      </c>
      <c r="E84" s="30" t="s">
        <v>1295</v>
      </c>
      <c r="F84" s="29" t="s">
        <v>117</v>
      </c>
      <c r="G84" s="38" t="s">
        <v>75</v>
      </c>
      <c r="H84" s="38" t="s">
        <v>98</v>
      </c>
      <c r="I84" s="38" t="s">
        <v>110</v>
      </c>
      <c r="J84" s="39"/>
      <c r="K84" s="38" t="s">
        <v>188</v>
      </c>
      <c r="L84" s="38" t="s">
        <v>256</v>
      </c>
      <c r="M84" s="40" t="s">
        <v>52</v>
      </c>
      <c r="N84" s="39"/>
      <c r="O84" s="38" t="s">
        <v>79</v>
      </c>
      <c r="P84" s="38" t="s">
        <v>83</v>
      </c>
      <c r="Q84" s="38" t="s">
        <v>18</v>
      </c>
      <c r="R84" s="39"/>
      <c r="S84" s="43" t="str">
        <f>"432,5"</f>
        <v>432,5</v>
      </c>
      <c r="T84" s="31" t="str">
        <f>"283,0873"</f>
        <v>283,0873</v>
      </c>
      <c r="U84" s="29" t="s">
        <v>305</v>
      </c>
    </row>
    <row r="85" spans="1:21">
      <c r="A85" s="37" t="s">
        <v>39</v>
      </c>
      <c r="B85" s="26" t="s">
        <v>442</v>
      </c>
      <c r="C85" s="26" t="s">
        <v>1149</v>
      </c>
      <c r="D85" s="26" t="s">
        <v>443</v>
      </c>
      <c r="E85" s="27" t="s">
        <v>1294</v>
      </c>
      <c r="F85" s="26" t="s">
        <v>71</v>
      </c>
      <c r="G85" s="35" t="s">
        <v>53</v>
      </c>
      <c r="H85" s="35" t="s">
        <v>72</v>
      </c>
      <c r="I85" s="35" t="s">
        <v>286</v>
      </c>
      <c r="J85" s="37"/>
      <c r="K85" s="36" t="s">
        <v>188</v>
      </c>
      <c r="L85" s="36" t="s">
        <v>188</v>
      </c>
      <c r="M85" s="35" t="s">
        <v>188</v>
      </c>
      <c r="N85" s="37"/>
      <c r="O85" s="35" t="s">
        <v>72</v>
      </c>
      <c r="P85" s="35" t="s">
        <v>75</v>
      </c>
      <c r="Q85" s="35" t="s">
        <v>110</v>
      </c>
      <c r="R85" s="37"/>
      <c r="S85" s="44" t="str">
        <f>"377,5"</f>
        <v>377,5</v>
      </c>
      <c r="T85" s="28" t="str">
        <f>"257,3765"</f>
        <v>257,3765</v>
      </c>
      <c r="U85" s="26"/>
    </row>
    <row r="87" spans="1:21" ht="16">
      <c r="A87" s="81" t="s">
        <v>137</v>
      </c>
      <c r="B87" s="81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</row>
    <row r="88" spans="1:21">
      <c r="A88" s="33" t="s">
        <v>39</v>
      </c>
      <c r="B88" s="23" t="s">
        <v>444</v>
      </c>
      <c r="C88" s="23" t="s">
        <v>1150</v>
      </c>
      <c r="D88" s="23" t="s">
        <v>445</v>
      </c>
      <c r="E88" s="24" t="s">
        <v>1293</v>
      </c>
      <c r="F88" s="23" t="s">
        <v>71</v>
      </c>
      <c r="G88" s="32" t="s">
        <v>18</v>
      </c>
      <c r="H88" s="32" t="s">
        <v>80</v>
      </c>
      <c r="I88" s="32" t="s">
        <v>92</v>
      </c>
      <c r="J88" s="33"/>
      <c r="K88" s="32" t="s">
        <v>72</v>
      </c>
      <c r="L88" s="32" t="s">
        <v>102</v>
      </c>
      <c r="M88" s="32" t="s">
        <v>74</v>
      </c>
      <c r="N88" s="33"/>
      <c r="O88" s="32" t="s">
        <v>109</v>
      </c>
      <c r="P88" s="32" t="s">
        <v>90</v>
      </c>
      <c r="Q88" s="34" t="s">
        <v>182</v>
      </c>
      <c r="R88" s="33"/>
      <c r="S88" s="42" t="str">
        <f>"540,0"</f>
        <v>540,0</v>
      </c>
      <c r="T88" s="25" t="str">
        <f>"339,2280"</f>
        <v>339,2280</v>
      </c>
      <c r="U88" s="23" t="s">
        <v>446</v>
      </c>
    </row>
    <row r="89" spans="1:21">
      <c r="A89" s="39" t="s">
        <v>39</v>
      </c>
      <c r="B89" s="29" t="s">
        <v>447</v>
      </c>
      <c r="C89" s="29" t="s">
        <v>448</v>
      </c>
      <c r="D89" s="29" t="s">
        <v>449</v>
      </c>
      <c r="E89" s="30" t="s">
        <v>1292</v>
      </c>
      <c r="F89" s="29" t="s">
        <v>71</v>
      </c>
      <c r="G89" s="38" t="s">
        <v>84</v>
      </c>
      <c r="H89" s="38" t="s">
        <v>109</v>
      </c>
      <c r="I89" s="38" t="s">
        <v>112</v>
      </c>
      <c r="J89" s="39"/>
      <c r="K89" s="38" t="s">
        <v>98</v>
      </c>
      <c r="L89" s="40" t="s">
        <v>110</v>
      </c>
      <c r="M89" s="40" t="s">
        <v>79</v>
      </c>
      <c r="N89" s="39"/>
      <c r="O89" s="38" t="s">
        <v>85</v>
      </c>
      <c r="P89" s="38" t="s">
        <v>90</v>
      </c>
      <c r="Q89" s="40" t="s">
        <v>93</v>
      </c>
      <c r="R89" s="39"/>
      <c r="S89" s="43" t="str">
        <f>"605,0"</f>
        <v>605,0</v>
      </c>
      <c r="T89" s="31" t="str">
        <f>"375,7655"</f>
        <v>375,7655</v>
      </c>
      <c r="U89" s="29" t="s">
        <v>450</v>
      </c>
    </row>
    <row r="90" spans="1:21">
      <c r="A90" s="39" t="s">
        <v>219</v>
      </c>
      <c r="B90" s="29" t="s">
        <v>451</v>
      </c>
      <c r="C90" s="29" t="s">
        <v>452</v>
      </c>
      <c r="D90" s="29" t="s">
        <v>156</v>
      </c>
      <c r="E90" s="30" t="s">
        <v>1292</v>
      </c>
      <c r="F90" s="29" t="s">
        <v>117</v>
      </c>
      <c r="G90" s="38" t="s">
        <v>108</v>
      </c>
      <c r="H90" s="38" t="s">
        <v>85</v>
      </c>
      <c r="I90" s="38" t="s">
        <v>109</v>
      </c>
      <c r="J90" s="39"/>
      <c r="K90" s="38" t="s">
        <v>54</v>
      </c>
      <c r="L90" s="38" t="s">
        <v>72</v>
      </c>
      <c r="M90" s="38" t="s">
        <v>102</v>
      </c>
      <c r="N90" s="39"/>
      <c r="O90" s="38" t="s">
        <v>112</v>
      </c>
      <c r="P90" s="38" t="s">
        <v>93</v>
      </c>
      <c r="Q90" s="40" t="s">
        <v>20</v>
      </c>
      <c r="R90" s="39"/>
      <c r="S90" s="43" t="str">
        <f>"580,0"</f>
        <v>580,0</v>
      </c>
      <c r="T90" s="31" t="str">
        <f>"355,4820"</f>
        <v>355,4820</v>
      </c>
      <c r="U90" s="29"/>
    </row>
    <row r="91" spans="1:21">
      <c r="A91" s="39" t="s">
        <v>39</v>
      </c>
      <c r="B91" s="29" t="s">
        <v>447</v>
      </c>
      <c r="C91" s="29" t="s">
        <v>1151</v>
      </c>
      <c r="D91" s="29" t="s">
        <v>449</v>
      </c>
      <c r="E91" s="30" t="s">
        <v>1295</v>
      </c>
      <c r="F91" s="29" t="s">
        <v>71</v>
      </c>
      <c r="G91" s="38" t="s">
        <v>84</v>
      </c>
      <c r="H91" s="38" t="s">
        <v>109</v>
      </c>
      <c r="I91" s="38" t="s">
        <v>112</v>
      </c>
      <c r="J91" s="39"/>
      <c r="K91" s="38" t="s">
        <v>98</v>
      </c>
      <c r="L91" s="40" t="s">
        <v>110</v>
      </c>
      <c r="M91" s="40" t="s">
        <v>79</v>
      </c>
      <c r="N91" s="39"/>
      <c r="O91" s="38" t="s">
        <v>85</v>
      </c>
      <c r="P91" s="38" t="s">
        <v>90</v>
      </c>
      <c r="Q91" s="40" t="s">
        <v>93</v>
      </c>
      <c r="R91" s="39"/>
      <c r="S91" s="43" t="str">
        <f>"605,0"</f>
        <v>605,0</v>
      </c>
      <c r="T91" s="31" t="str">
        <f>"377,6443"</f>
        <v>377,6443</v>
      </c>
      <c r="U91" s="29" t="s">
        <v>450</v>
      </c>
    </row>
    <row r="92" spans="1:21">
      <c r="A92" s="39" t="s">
        <v>219</v>
      </c>
      <c r="B92" s="29" t="s">
        <v>453</v>
      </c>
      <c r="C92" s="29" t="s">
        <v>1152</v>
      </c>
      <c r="D92" s="29" t="s">
        <v>454</v>
      </c>
      <c r="E92" s="30" t="s">
        <v>1295</v>
      </c>
      <c r="F92" s="29" t="s">
        <v>455</v>
      </c>
      <c r="G92" s="40" t="s">
        <v>92</v>
      </c>
      <c r="H92" s="38" t="s">
        <v>404</v>
      </c>
      <c r="I92" s="40" t="s">
        <v>85</v>
      </c>
      <c r="J92" s="39"/>
      <c r="K92" s="38" t="s">
        <v>75</v>
      </c>
      <c r="L92" s="38" t="s">
        <v>98</v>
      </c>
      <c r="M92" s="38" t="s">
        <v>79</v>
      </c>
      <c r="N92" s="39"/>
      <c r="O92" s="38" t="s">
        <v>84</v>
      </c>
      <c r="P92" s="38" t="s">
        <v>393</v>
      </c>
      <c r="Q92" s="40" t="s">
        <v>20</v>
      </c>
      <c r="R92" s="39"/>
      <c r="S92" s="43" t="str">
        <f>"577,5"</f>
        <v>577,5</v>
      </c>
      <c r="T92" s="31" t="str">
        <f>"361,9012"</f>
        <v>361,9012</v>
      </c>
      <c r="U92" s="29" t="s">
        <v>456</v>
      </c>
    </row>
    <row r="93" spans="1:21">
      <c r="A93" s="39" t="s">
        <v>220</v>
      </c>
      <c r="B93" s="29" t="s">
        <v>457</v>
      </c>
      <c r="C93" s="29" t="s">
        <v>1153</v>
      </c>
      <c r="D93" s="29" t="s">
        <v>458</v>
      </c>
      <c r="E93" s="30" t="s">
        <v>1295</v>
      </c>
      <c r="F93" s="29" t="s">
        <v>459</v>
      </c>
      <c r="G93" s="38" t="s">
        <v>81</v>
      </c>
      <c r="H93" s="38" t="s">
        <v>84</v>
      </c>
      <c r="I93" s="40" t="s">
        <v>85</v>
      </c>
      <c r="J93" s="39"/>
      <c r="K93" s="38" t="s">
        <v>74</v>
      </c>
      <c r="L93" s="40" t="s">
        <v>287</v>
      </c>
      <c r="M93" s="40" t="s">
        <v>287</v>
      </c>
      <c r="N93" s="39"/>
      <c r="O93" s="38" t="s">
        <v>125</v>
      </c>
      <c r="P93" s="38" t="s">
        <v>93</v>
      </c>
      <c r="Q93" s="40" t="s">
        <v>16</v>
      </c>
      <c r="R93" s="39"/>
      <c r="S93" s="43" t="str">
        <f>"570,0"</f>
        <v>570,0</v>
      </c>
      <c r="T93" s="31" t="str">
        <f>"363,6534"</f>
        <v>363,6534</v>
      </c>
      <c r="U93" s="29" t="s">
        <v>1238</v>
      </c>
    </row>
    <row r="94" spans="1:21">
      <c r="A94" s="37" t="s">
        <v>39</v>
      </c>
      <c r="B94" s="26" t="s">
        <v>460</v>
      </c>
      <c r="C94" s="26" t="s">
        <v>1154</v>
      </c>
      <c r="D94" s="26" t="s">
        <v>461</v>
      </c>
      <c r="E94" s="27" t="s">
        <v>1296</v>
      </c>
      <c r="F94" s="26" t="s">
        <v>462</v>
      </c>
      <c r="G94" s="36" t="s">
        <v>72</v>
      </c>
      <c r="H94" s="35" t="s">
        <v>72</v>
      </c>
      <c r="I94" s="36" t="s">
        <v>286</v>
      </c>
      <c r="J94" s="37"/>
      <c r="K94" s="35" t="s">
        <v>46</v>
      </c>
      <c r="L94" s="35" t="s">
        <v>47</v>
      </c>
      <c r="M94" s="36" t="s">
        <v>48</v>
      </c>
      <c r="N94" s="37"/>
      <c r="O94" s="35" t="s">
        <v>75</v>
      </c>
      <c r="P94" s="35" t="s">
        <v>98</v>
      </c>
      <c r="Q94" s="35" t="s">
        <v>79</v>
      </c>
      <c r="R94" s="35" t="s">
        <v>83</v>
      </c>
      <c r="S94" s="44" t="str">
        <f>"365,0"</f>
        <v>365,0</v>
      </c>
      <c r="T94" s="28" t="str">
        <f>"430,9409"</f>
        <v>430,9409</v>
      </c>
      <c r="U94" s="26"/>
    </row>
    <row r="96" spans="1:21" ht="16">
      <c r="A96" s="81" t="s">
        <v>190</v>
      </c>
      <c r="B96" s="81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</row>
    <row r="97" spans="1:21">
      <c r="A97" s="33" t="s">
        <v>39</v>
      </c>
      <c r="B97" s="23" t="s">
        <v>463</v>
      </c>
      <c r="C97" s="23" t="s">
        <v>464</v>
      </c>
      <c r="D97" s="23" t="s">
        <v>465</v>
      </c>
      <c r="E97" s="24" t="s">
        <v>1292</v>
      </c>
      <c r="F97" s="23" t="s">
        <v>71</v>
      </c>
      <c r="G97" s="34" t="s">
        <v>182</v>
      </c>
      <c r="H97" s="32" t="s">
        <v>15</v>
      </c>
      <c r="I97" s="33"/>
      <c r="J97" s="33"/>
      <c r="K97" s="34" t="s">
        <v>111</v>
      </c>
      <c r="L97" s="32" t="s">
        <v>111</v>
      </c>
      <c r="M97" s="34" t="s">
        <v>163</v>
      </c>
      <c r="N97" s="33"/>
      <c r="O97" s="32" t="s">
        <v>103</v>
      </c>
      <c r="P97" s="32" t="s">
        <v>466</v>
      </c>
      <c r="Q97" s="32" t="s">
        <v>153</v>
      </c>
      <c r="R97" s="33"/>
      <c r="S97" s="42" t="str">
        <f>"680,0"</f>
        <v>680,0</v>
      </c>
      <c r="T97" s="25" t="str">
        <f>"401,5400"</f>
        <v>401,5400</v>
      </c>
      <c r="U97" s="23" t="s">
        <v>467</v>
      </c>
    </row>
    <row r="98" spans="1:21">
      <c r="A98" s="39" t="s">
        <v>219</v>
      </c>
      <c r="B98" s="29" t="s">
        <v>468</v>
      </c>
      <c r="C98" s="29" t="s">
        <v>469</v>
      </c>
      <c r="D98" s="29" t="s">
        <v>470</v>
      </c>
      <c r="E98" s="30" t="s">
        <v>1292</v>
      </c>
      <c r="F98" s="29" t="s">
        <v>471</v>
      </c>
      <c r="G98" s="38" t="s">
        <v>108</v>
      </c>
      <c r="H98" s="38" t="s">
        <v>125</v>
      </c>
      <c r="I98" s="38" t="s">
        <v>177</v>
      </c>
      <c r="J98" s="39"/>
      <c r="K98" s="40" t="s">
        <v>75</v>
      </c>
      <c r="L98" s="38" t="s">
        <v>75</v>
      </c>
      <c r="M98" s="38" t="s">
        <v>187</v>
      </c>
      <c r="N98" s="39"/>
      <c r="O98" s="38" t="s">
        <v>93</v>
      </c>
      <c r="P98" s="38" t="s">
        <v>103</v>
      </c>
      <c r="Q98" s="40" t="s">
        <v>152</v>
      </c>
      <c r="R98" s="39"/>
      <c r="S98" s="43" t="str">
        <f>"632,5"</f>
        <v>632,5</v>
      </c>
      <c r="T98" s="31" t="str">
        <f>"377,0965"</f>
        <v>377,0965</v>
      </c>
      <c r="U98" s="29" t="s">
        <v>257</v>
      </c>
    </row>
    <row r="99" spans="1:21">
      <c r="A99" s="39" t="s">
        <v>39</v>
      </c>
      <c r="B99" s="29" t="s">
        <v>463</v>
      </c>
      <c r="C99" s="29" t="s">
        <v>1155</v>
      </c>
      <c r="D99" s="29" t="s">
        <v>465</v>
      </c>
      <c r="E99" s="30" t="s">
        <v>1295</v>
      </c>
      <c r="F99" s="29" t="s">
        <v>71</v>
      </c>
      <c r="G99" s="40" t="s">
        <v>182</v>
      </c>
      <c r="H99" s="38" t="s">
        <v>15</v>
      </c>
      <c r="I99" s="39"/>
      <c r="J99" s="39"/>
      <c r="K99" s="40" t="s">
        <v>111</v>
      </c>
      <c r="L99" s="38" t="s">
        <v>111</v>
      </c>
      <c r="M99" s="40" t="s">
        <v>163</v>
      </c>
      <c r="N99" s="39"/>
      <c r="O99" s="38" t="s">
        <v>103</v>
      </c>
      <c r="P99" s="38" t="s">
        <v>466</v>
      </c>
      <c r="Q99" s="38" t="s">
        <v>153</v>
      </c>
      <c r="R99" s="39"/>
      <c r="S99" s="43" t="str">
        <f>"680,0"</f>
        <v>680,0</v>
      </c>
      <c r="T99" s="31" t="str">
        <f>"412,7831"</f>
        <v>412,7831</v>
      </c>
      <c r="U99" s="29" t="s">
        <v>467</v>
      </c>
    </row>
    <row r="100" spans="1:21">
      <c r="A100" s="37" t="s">
        <v>39</v>
      </c>
      <c r="B100" s="26" t="s">
        <v>472</v>
      </c>
      <c r="C100" s="26" t="s">
        <v>1156</v>
      </c>
      <c r="D100" s="26" t="s">
        <v>473</v>
      </c>
      <c r="E100" s="27" t="s">
        <v>1297</v>
      </c>
      <c r="F100" s="26" t="s">
        <v>71</v>
      </c>
      <c r="G100" s="35" t="s">
        <v>98</v>
      </c>
      <c r="H100" s="36" t="s">
        <v>79</v>
      </c>
      <c r="I100" s="36" t="s">
        <v>83</v>
      </c>
      <c r="J100" s="37"/>
      <c r="K100" s="36" t="s">
        <v>53</v>
      </c>
      <c r="L100" s="35" t="s">
        <v>54</v>
      </c>
      <c r="M100" s="35" t="s">
        <v>72</v>
      </c>
      <c r="N100" s="37"/>
      <c r="O100" s="35" t="s">
        <v>79</v>
      </c>
      <c r="P100" s="35" t="s">
        <v>83</v>
      </c>
      <c r="Q100" s="35" t="s">
        <v>80</v>
      </c>
      <c r="R100" s="37"/>
      <c r="S100" s="44" t="str">
        <f>"450,0"</f>
        <v>450,0</v>
      </c>
      <c r="T100" s="28" t="str">
        <f>"308,2230"</f>
        <v>308,2230</v>
      </c>
      <c r="U100" s="26" t="s">
        <v>474</v>
      </c>
    </row>
    <row r="102" spans="1:21" ht="16">
      <c r="A102" s="81" t="s">
        <v>22</v>
      </c>
      <c r="B102" s="81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</row>
    <row r="103" spans="1:21">
      <c r="A103" s="22" t="s">
        <v>39</v>
      </c>
      <c r="B103" s="7" t="s">
        <v>475</v>
      </c>
      <c r="C103" s="7" t="s">
        <v>476</v>
      </c>
      <c r="D103" s="7" t="s">
        <v>477</v>
      </c>
      <c r="E103" s="8" t="s">
        <v>1292</v>
      </c>
      <c r="F103" s="7" t="s">
        <v>71</v>
      </c>
      <c r="G103" s="20" t="s">
        <v>15</v>
      </c>
      <c r="H103" s="20" t="s">
        <v>20</v>
      </c>
      <c r="I103" s="20" t="s">
        <v>16</v>
      </c>
      <c r="J103" s="22"/>
      <c r="K103" s="20" t="s">
        <v>79</v>
      </c>
      <c r="L103" s="20" t="s">
        <v>83</v>
      </c>
      <c r="M103" s="20" t="s">
        <v>18</v>
      </c>
      <c r="N103" s="22"/>
      <c r="O103" s="20" t="s">
        <v>103</v>
      </c>
      <c r="P103" s="20" t="s">
        <v>153</v>
      </c>
      <c r="Q103" s="20" t="s">
        <v>209</v>
      </c>
      <c r="R103" s="22"/>
      <c r="S103" s="41" t="str">
        <f>"725,0"</f>
        <v>725,0</v>
      </c>
      <c r="T103" s="9" t="str">
        <f>"417,5275"</f>
        <v>417,5275</v>
      </c>
      <c r="U103" s="7" t="s">
        <v>294</v>
      </c>
    </row>
    <row r="107" spans="1:21" ht="18">
      <c r="B107" s="11" t="s">
        <v>30</v>
      </c>
      <c r="C107" s="11"/>
      <c r="E107" s="5"/>
      <c r="F107" s="3"/>
      <c r="G107" s="5"/>
    </row>
    <row r="108" spans="1:21" ht="16">
      <c r="B108" s="12" t="s">
        <v>213</v>
      </c>
      <c r="C108" s="12"/>
      <c r="E108" s="5"/>
      <c r="F108" s="3"/>
      <c r="G108" s="5"/>
    </row>
    <row r="109" spans="1:21" ht="14">
      <c r="B109" s="13"/>
      <c r="C109" s="14" t="s">
        <v>32</v>
      </c>
      <c r="E109" s="5"/>
      <c r="F109" s="3"/>
      <c r="G109" s="5"/>
    </row>
    <row r="110" spans="1:21" ht="14">
      <c r="B110" s="15" t="s">
        <v>33</v>
      </c>
      <c r="C110" s="15" t="s">
        <v>34</v>
      </c>
      <c r="D110" s="15" t="s">
        <v>1139</v>
      </c>
      <c r="E110" s="15" t="s">
        <v>37</v>
      </c>
      <c r="F110" s="16" t="s">
        <v>36</v>
      </c>
      <c r="G110" s="3"/>
    </row>
    <row r="111" spans="1:21">
      <c r="B111" s="5" t="s">
        <v>265</v>
      </c>
      <c r="C111" s="5" t="s">
        <v>32</v>
      </c>
      <c r="D111" s="18" t="s">
        <v>479</v>
      </c>
      <c r="E111" s="17">
        <v>432.40049242973299</v>
      </c>
      <c r="F111" s="19">
        <v>367.5</v>
      </c>
      <c r="G111" s="3"/>
    </row>
    <row r="112" spans="1:21">
      <c r="B112" s="5" t="s">
        <v>237</v>
      </c>
      <c r="C112" s="5" t="s">
        <v>32</v>
      </c>
      <c r="D112" s="18" t="s">
        <v>480</v>
      </c>
      <c r="E112" s="17">
        <v>386.61301106214501</v>
      </c>
      <c r="F112" s="19">
        <v>277.5</v>
      </c>
      <c r="G112" s="3"/>
    </row>
    <row r="113" spans="2:7">
      <c r="B113" s="5" t="s">
        <v>283</v>
      </c>
      <c r="C113" s="5" t="s">
        <v>32</v>
      </c>
      <c r="D113" s="18" t="s">
        <v>481</v>
      </c>
      <c r="E113" s="17">
        <v>365.31200408935501</v>
      </c>
      <c r="F113" s="19">
        <v>320</v>
      </c>
      <c r="G113" s="3"/>
    </row>
    <row r="114" spans="2:7">
      <c r="E114" s="5"/>
      <c r="F114" s="10"/>
      <c r="G114" s="3"/>
    </row>
    <row r="115" spans="2:7" ht="16">
      <c r="B115" s="12" t="s">
        <v>31</v>
      </c>
      <c r="C115" s="12"/>
      <c r="E115" s="5"/>
      <c r="F115" s="10"/>
      <c r="G115" s="3"/>
    </row>
    <row r="116" spans="2:7" ht="14">
      <c r="B116" s="13"/>
      <c r="C116" s="14" t="s">
        <v>32</v>
      </c>
      <c r="E116" s="5"/>
      <c r="F116" s="10"/>
      <c r="G116" s="3"/>
    </row>
    <row r="117" spans="2:7" ht="14">
      <c r="B117" s="15" t="s">
        <v>33</v>
      </c>
      <c r="C117" s="15" t="s">
        <v>34</v>
      </c>
      <c r="D117" s="15" t="s">
        <v>1139</v>
      </c>
      <c r="E117" s="15" t="s">
        <v>37</v>
      </c>
      <c r="F117" s="16" t="s">
        <v>36</v>
      </c>
      <c r="G117" s="3"/>
    </row>
    <row r="118" spans="2:7">
      <c r="B118" s="5" t="s">
        <v>94</v>
      </c>
      <c r="C118" s="5" t="s">
        <v>32</v>
      </c>
      <c r="D118" s="18" t="s">
        <v>38</v>
      </c>
      <c r="E118" s="17">
        <v>431.29600524902298</v>
      </c>
      <c r="F118" s="19">
        <v>640</v>
      </c>
      <c r="G118" s="3"/>
    </row>
    <row r="119" spans="2:7">
      <c r="B119" s="5" t="s">
        <v>360</v>
      </c>
      <c r="C119" s="5" t="s">
        <v>32</v>
      </c>
      <c r="D119" s="18" t="s">
        <v>214</v>
      </c>
      <c r="E119" s="17">
        <v>423.40051576495199</v>
      </c>
      <c r="F119" s="19">
        <v>592.5</v>
      </c>
      <c r="G119" s="3"/>
    </row>
    <row r="120" spans="2:7">
      <c r="B120" s="5" t="s">
        <v>407</v>
      </c>
      <c r="C120" s="5" t="s">
        <v>32</v>
      </c>
      <c r="D120" s="18" t="s">
        <v>218</v>
      </c>
      <c r="E120" s="17">
        <v>423.258014917374</v>
      </c>
      <c r="F120" s="19">
        <v>660</v>
      </c>
      <c r="G120" s="3"/>
    </row>
    <row r="121" spans="2:7">
      <c r="E121" s="5"/>
      <c r="F121" s="10"/>
      <c r="G121" s="3"/>
    </row>
    <row r="122" spans="2:7" ht="14">
      <c r="B122" s="13"/>
      <c r="C122" s="14" t="s">
        <v>216</v>
      </c>
      <c r="E122" s="5"/>
      <c r="F122" s="10"/>
      <c r="G122" s="3"/>
    </row>
    <row r="123" spans="2:7" ht="14">
      <c r="B123" s="15" t="s">
        <v>33</v>
      </c>
      <c r="C123" s="15" t="s">
        <v>34</v>
      </c>
      <c r="D123" s="15" t="s">
        <v>1139</v>
      </c>
      <c r="E123" s="15" t="s">
        <v>37</v>
      </c>
      <c r="F123" s="16" t="s">
        <v>36</v>
      </c>
      <c r="G123" s="3"/>
    </row>
    <row r="124" spans="2:7">
      <c r="B124" s="5" t="s">
        <v>460</v>
      </c>
      <c r="C124" s="5" t="s">
        <v>1157</v>
      </c>
      <c r="D124" s="18" t="s">
        <v>217</v>
      </c>
      <c r="E124" s="17">
        <v>430.940899074078</v>
      </c>
      <c r="F124" s="19">
        <v>365</v>
      </c>
      <c r="G124" s="3"/>
    </row>
    <row r="125" spans="2:7">
      <c r="B125" s="5" t="s">
        <v>390</v>
      </c>
      <c r="C125" s="5" t="s">
        <v>1158</v>
      </c>
      <c r="D125" s="18" t="s">
        <v>38</v>
      </c>
      <c r="E125" s="17">
        <v>430.35270916163898</v>
      </c>
      <c r="F125" s="19">
        <v>597.5</v>
      </c>
      <c r="G125" s="3"/>
    </row>
    <row r="126" spans="2:7">
      <c r="B126" s="5" t="s">
        <v>463</v>
      </c>
      <c r="C126" s="5" t="s">
        <v>1158</v>
      </c>
      <c r="D126" s="18" t="s">
        <v>482</v>
      </c>
      <c r="E126" s="17">
        <v>412.78311800003002</v>
      </c>
      <c r="F126" s="19">
        <v>680</v>
      </c>
      <c r="G126" s="3"/>
    </row>
    <row r="127" spans="2:7">
      <c r="E127" s="5"/>
      <c r="F127" s="10"/>
      <c r="G127" s="5"/>
    </row>
  </sheetData>
  <mergeCells count="29">
    <mergeCell ref="A87:R87"/>
    <mergeCell ref="A96:R96"/>
    <mergeCell ref="A102:R102"/>
    <mergeCell ref="B3:B4"/>
    <mergeCell ref="A46:R46"/>
    <mergeCell ref="A50:R50"/>
    <mergeCell ref="A53:R53"/>
    <mergeCell ref="A56:R56"/>
    <mergeCell ref="A64:R64"/>
    <mergeCell ref="A74:R74"/>
    <mergeCell ref="A8:R8"/>
    <mergeCell ref="A11:R11"/>
    <mergeCell ref="A17:R17"/>
    <mergeCell ref="A23:R23"/>
    <mergeCell ref="A31:R31"/>
    <mergeCell ref="A43:R43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E267-0D48-43C5-BA47-27BA676C125E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68" t="s">
        <v>1256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7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137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172</v>
      </c>
      <c r="C6" s="7" t="s">
        <v>173</v>
      </c>
      <c r="D6" s="7" t="s">
        <v>174</v>
      </c>
      <c r="E6" s="8" t="s">
        <v>1292</v>
      </c>
      <c r="F6" s="7" t="s">
        <v>175</v>
      </c>
      <c r="G6" s="20" t="s">
        <v>84</v>
      </c>
      <c r="H6" s="20" t="s">
        <v>85</v>
      </c>
      <c r="I6" s="22"/>
      <c r="J6" s="22"/>
      <c r="K6" s="9" t="str">
        <f>"210,0"</f>
        <v>210,0</v>
      </c>
      <c r="L6" s="9" t="str">
        <f>"127,9110"</f>
        <v>127,9110</v>
      </c>
      <c r="M6" s="7" t="s">
        <v>282</v>
      </c>
    </row>
    <row r="8" spans="1:13" ht="16">
      <c r="A8" s="81" t="s">
        <v>22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22" t="s">
        <v>39</v>
      </c>
      <c r="B9" s="7" t="s">
        <v>884</v>
      </c>
      <c r="C9" s="7" t="s">
        <v>885</v>
      </c>
      <c r="D9" s="7" t="s">
        <v>886</v>
      </c>
      <c r="E9" s="8" t="s">
        <v>1292</v>
      </c>
      <c r="F9" s="7" t="s">
        <v>117</v>
      </c>
      <c r="G9" s="20" t="s">
        <v>93</v>
      </c>
      <c r="H9" s="20" t="s">
        <v>16</v>
      </c>
      <c r="I9" s="20" t="s">
        <v>503</v>
      </c>
      <c r="J9" s="22"/>
      <c r="K9" s="9" t="str">
        <f>"255,0"</f>
        <v>255,0</v>
      </c>
      <c r="L9" s="9" t="str">
        <f>"147,5430"</f>
        <v>147,5430</v>
      </c>
      <c r="M9" s="7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68C7-D62F-40EF-B0C4-2AEE2938B0DD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7.6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664062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68" t="s">
        <v>1257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7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516</v>
      </c>
      <c r="C6" s="7" t="s">
        <v>517</v>
      </c>
      <c r="D6" s="7" t="s">
        <v>518</v>
      </c>
      <c r="E6" s="8" t="s">
        <v>1292</v>
      </c>
      <c r="F6" s="7" t="s">
        <v>519</v>
      </c>
      <c r="G6" s="20" t="s">
        <v>54</v>
      </c>
      <c r="H6" s="20" t="s">
        <v>102</v>
      </c>
      <c r="I6" s="20" t="s">
        <v>74</v>
      </c>
      <c r="J6" s="22"/>
      <c r="K6" s="9" t="str">
        <f>"130,0"</f>
        <v>130,0</v>
      </c>
      <c r="L6" s="9" t="str">
        <f>"118,7810"</f>
        <v>118,7810</v>
      </c>
      <c r="M6" s="7" t="s">
        <v>531</v>
      </c>
    </row>
    <row r="8" spans="1:13" ht="16">
      <c r="A8" s="81" t="s">
        <v>10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22" t="s">
        <v>39</v>
      </c>
      <c r="B9" s="7" t="s">
        <v>94</v>
      </c>
      <c r="C9" s="7" t="s">
        <v>95</v>
      </c>
      <c r="D9" s="7" t="s">
        <v>96</v>
      </c>
      <c r="E9" s="8" t="s">
        <v>1292</v>
      </c>
      <c r="F9" s="7" t="s">
        <v>97</v>
      </c>
      <c r="G9" s="20" t="s">
        <v>20</v>
      </c>
      <c r="H9" s="20" t="s">
        <v>131</v>
      </c>
      <c r="I9" s="22"/>
      <c r="J9" s="22"/>
      <c r="K9" s="9" t="str">
        <f>"252,5"</f>
        <v>252,5</v>
      </c>
      <c r="L9" s="9" t="str">
        <f>"170,1598"</f>
        <v>170,1598</v>
      </c>
      <c r="M9" s="7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9E767-DF2E-46DC-8C03-F3823A87AFEA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7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68" t="s">
        <v>1258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7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94</v>
      </c>
      <c r="C6" s="7" t="s">
        <v>95</v>
      </c>
      <c r="D6" s="7" t="s">
        <v>96</v>
      </c>
      <c r="E6" s="8" t="s">
        <v>1292</v>
      </c>
      <c r="F6" s="7" t="s">
        <v>97</v>
      </c>
      <c r="G6" s="20" t="s">
        <v>20</v>
      </c>
      <c r="H6" s="20" t="s">
        <v>131</v>
      </c>
      <c r="I6" s="22"/>
      <c r="J6" s="22"/>
      <c r="K6" s="9" t="str">
        <f>"252,5"</f>
        <v>252,5</v>
      </c>
      <c r="L6" s="9" t="str">
        <f>"170,1598"</f>
        <v>170,1598</v>
      </c>
      <c r="M6" s="7"/>
    </row>
    <row r="8" spans="1:13" ht="16">
      <c r="A8" s="81" t="s">
        <v>137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22" t="s">
        <v>40</v>
      </c>
      <c r="B9" s="7" t="s">
        <v>969</v>
      </c>
      <c r="C9" s="7" t="s">
        <v>1171</v>
      </c>
      <c r="D9" s="7" t="s">
        <v>970</v>
      </c>
      <c r="E9" s="8" t="s">
        <v>1295</v>
      </c>
      <c r="F9" s="7" t="s">
        <v>97</v>
      </c>
      <c r="G9" s="21" t="s">
        <v>404</v>
      </c>
      <c r="H9" s="21" t="s">
        <v>404</v>
      </c>
      <c r="I9" s="21" t="s">
        <v>84</v>
      </c>
      <c r="J9" s="22"/>
      <c r="K9" s="41">
        <v>0</v>
      </c>
      <c r="L9" s="9" t="str">
        <f>"0,0000"</f>
        <v>0,0000</v>
      </c>
      <c r="M9" s="7" t="s">
        <v>633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E4FAE-7A47-4031-A64F-D19DA593D916}">
  <dimension ref="A1:M118"/>
  <sheetViews>
    <sheetView workbookViewId="0">
      <selection activeCell="E95" sqref="E95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1" width="10.5" style="19" bestFit="1" customWidth="1"/>
    <col min="12" max="12" width="8.5" style="6" bestFit="1" customWidth="1"/>
    <col min="13" max="13" width="19.33203125" style="5" bestFit="1" customWidth="1"/>
    <col min="14" max="16384" width="9.1640625" style="3"/>
  </cols>
  <sheetData>
    <row r="1" spans="1:13" s="2" customFormat="1" ht="29" customHeight="1">
      <c r="A1" s="68" t="s">
        <v>1259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0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236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3" t="s">
        <v>39</v>
      </c>
      <c r="B6" s="23" t="s">
        <v>237</v>
      </c>
      <c r="C6" s="23" t="s">
        <v>238</v>
      </c>
      <c r="D6" s="23" t="s">
        <v>239</v>
      </c>
      <c r="E6" s="24" t="s">
        <v>1292</v>
      </c>
      <c r="F6" s="23" t="s">
        <v>1277</v>
      </c>
      <c r="G6" s="32" t="s">
        <v>240</v>
      </c>
      <c r="H6" s="32" t="s">
        <v>60</v>
      </c>
      <c r="I6" s="32" t="s">
        <v>241</v>
      </c>
      <c r="J6" s="33"/>
      <c r="K6" s="42" t="str">
        <f>"72,5"</f>
        <v>72,5</v>
      </c>
      <c r="L6" s="25" t="str">
        <f>"101,0070"</f>
        <v>101,0070</v>
      </c>
      <c r="M6" s="23"/>
    </row>
    <row r="7" spans="1:13">
      <c r="A7" s="37" t="s">
        <v>219</v>
      </c>
      <c r="B7" s="26" t="s">
        <v>668</v>
      </c>
      <c r="C7" s="26" t="s">
        <v>669</v>
      </c>
      <c r="D7" s="26" t="s">
        <v>670</v>
      </c>
      <c r="E7" s="27" t="s">
        <v>1292</v>
      </c>
      <c r="F7" s="26" t="s">
        <v>671</v>
      </c>
      <c r="G7" s="35" t="s">
        <v>49</v>
      </c>
      <c r="H7" s="35" t="s">
        <v>51</v>
      </c>
      <c r="I7" s="36" t="s">
        <v>62</v>
      </c>
      <c r="J7" s="37"/>
      <c r="K7" s="44" t="str">
        <f>"47,5"</f>
        <v>47,5</v>
      </c>
      <c r="L7" s="28" t="str">
        <f>"66,2768"</f>
        <v>66,2768</v>
      </c>
      <c r="M7" s="26"/>
    </row>
    <row r="9" spans="1:13" ht="16">
      <c r="A9" s="81" t="s">
        <v>242</v>
      </c>
      <c r="B9" s="81"/>
      <c r="C9" s="82"/>
      <c r="D9" s="82"/>
      <c r="E9" s="82"/>
      <c r="F9" s="82"/>
      <c r="G9" s="82"/>
      <c r="H9" s="82"/>
      <c r="I9" s="82"/>
      <c r="J9" s="82"/>
    </row>
    <row r="10" spans="1:13">
      <c r="A10" s="33" t="s">
        <v>39</v>
      </c>
      <c r="B10" s="23" t="s">
        <v>672</v>
      </c>
      <c r="C10" s="23" t="s">
        <v>673</v>
      </c>
      <c r="D10" s="23" t="s">
        <v>674</v>
      </c>
      <c r="E10" s="24" t="s">
        <v>1292</v>
      </c>
      <c r="F10" s="23" t="s">
        <v>71</v>
      </c>
      <c r="G10" s="32" t="s">
        <v>241</v>
      </c>
      <c r="H10" s="34" t="s">
        <v>234</v>
      </c>
      <c r="I10" s="32" t="s">
        <v>234</v>
      </c>
      <c r="J10" s="33"/>
      <c r="K10" s="42" t="str">
        <f>"77,5"</f>
        <v>77,5</v>
      </c>
      <c r="L10" s="25" t="str">
        <f>"98,5103"</f>
        <v>98,5103</v>
      </c>
      <c r="M10" s="23" t="s">
        <v>675</v>
      </c>
    </row>
    <row r="11" spans="1:13">
      <c r="A11" s="37" t="s">
        <v>219</v>
      </c>
      <c r="B11" s="26" t="s">
        <v>676</v>
      </c>
      <c r="C11" s="26" t="s">
        <v>677</v>
      </c>
      <c r="D11" s="26" t="s">
        <v>678</v>
      </c>
      <c r="E11" s="27" t="s">
        <v>1292</v>
      </c>
      <c r="F11" s="26" t="s">
        <v>358</v>
      </c>
      <c r="G11" s="35" t="s">
        <v>50</v>
      </c>
      <c r="H11" s="35" t="s">
        <v>62</v>
      </c>
      <c r="I11" s="36" t="s">
        <v>252</v>
      </c>
      <c r="J11" s="37"/>
      <c r="K11" s="44" t="str">
        <f>"50,0"</f>
        <v>50,0</v>
      </c>
      <c r="L11" s="28" t="str">
        <f>"65,7150"</f>
        <v>65,7150</v>
      </c>
      <c r="M11" s="26" t="s">
        <v>434</v>
      </c>
    </row>
    <row r="13" spans="1:13" ht="16">
      <c r="A13" s="81" t="s">
        <v>262</v>
      </c>
      <c r="B13" s="81"/>
      <c r="C13" s="82"/>
      <c r="D13" s="82"/>
      <c r="E13" s="82"/>
      <c r="F13" s="82"/>
      <c r="G13" s="82"/>
      <c r="H13" s="82"/>
      <c r="I13" s="82"/>
      <c r="J13" s="82"/>
    </row>
    <row r="14" spans="1:13">
      <c r="A14" s="33" t="s">
        <v>39</v>
      </c>
      <c r="B14" s="23" t="s">
        <v>679</v>
      </c>
      <c r="C14" s="23" t="s">
        <v>680</v>
      </c>
      <c r="D14" s="23" t="s">
        <v>681</v>
      </c>
      <c r="E14" s="24" t="s">
        <v>1292</v>
      </c>
      <c r="F14" s="23" t="s">
        <v>71</v>
      </c>
      <c r="G14" s="32" t="s">
        <v>73</v>
      </c>
      <c r="H14" s="34" t="s">
        <v>47</v>
      </c>
      <c r="I14" s="34" t="s">
        <v>47</v>
      </c>
      <c r="J14" s="33"/>
      <c r="K14" s="42" t="str">
        <f>"82,5"</f>
        <v>82,5</v>
      </c>
      <c r="L14" s="25" t="str">
        <f>"97,6140"</f>
        <v>97,6140</v>
      </c>
      <c r="M14" s="23" t="s">
        <v>467</v>
      </c>
    </row>
    <row r="15" spans="1:13">
      <c r="A15" s="39" t="s">
        <v>219</v>
      </c>
      <c r="B15" s="29" t="s">
        <v>682</v>
      </c>
      <c r="C15" s="29" t="s">
        <v>683</v>
      </c>
      <c r="D15" s="29" t="s">
        <v>276</v>
      </c>
      <c r="E15" s="30" t="s">
        <v>1292</v>
      </c>
      <c r="F15" s="29" t="s">
        <v>26</v>
      </c>
      <c r="G15" s="38" t="s">
        <v>272</v>
      </c>
      <c r="H15" s="38" t="s">
        <v>229</v>
      </c>
      <c r="I15" s="38" t="s">
        <v>273</v>
      </c>
      <c r="J15" s="39"/>
      <c r="K15" s="43" t="str">
        <f>"62,5"</f>
        <v>62,5</v>
      </c>
      <c r="L15" s="31" t="str">
        <f>"74,5813"</f>
        <v>74,5813</v>
      </c>
      <c r="M15" s="29"/>
    </row>
    <row r="16" spans="1:13">
      <c r="A16" s="39" t="s">
        <v>220</v>
      </c>
      <c r="B16" s="29" t="s">
        <v>684</v>
      </c>
      <c r="C16" s="29" t="s">
        <v>685</v>
      </c>
      <c r="D16" s="29" t="s">
        <v>686</v>
      </c>
      <c r="E16" s="30" t="s">
        <v>1292</v>
      </c>
      <c r="F16" s="29" t="s">
        <v>268</v>
      </c>
      <c r="G16" s="38" t="s">
        <v>273</v>
      </c>
      <c r="H16" s="40" t="s">
        <v>230</v>
      </c>
      <c r="I16" s="40" t="s">
        <v>230</v>
      </c>
      <c r="J16" s="39"/>
      <c r="K16" s="43" t="str">
        <f>"62,5"</f>
        <v>62,5</v>
      </c>
      <c r="L16" s="31" t="str">
        <f>"74,0563"</f>
        <v>74,0563</v>
      </c>
      <c r="M16" s="29" t="s">
        <v>687</v>
      </c>
    </row>
    <row r="17" spans="1:13">
      <c r="A17" s="39" t="s">
        <v>221</v>
      </c>
      <c r="B17" s="29" t="s">
        <v>688</v>
      </c>
      <c r="C17" s="29" t="s">
        <v>689</v>
      </c>
      <c r="D17" s="29" t="s">
        <v>690</v>
      </c>
      <c r="E17" s="30" t="s">
        <v>1292</v>
      </c>
      <c r="F17" s="29" t="s">
        <v>71</v>
      </c>
      <c r="G17" s="38" t="s">
        <v>63</v>
      </c>
      <c r="H17" s="38" t="s">
        <v>272</v>
      </c>
      <c r="I17" s="40" t="s">
        <v>229</v>
      </c>
      <c r="J17" s="39"/>
      <c r="K17" s="43" t="str">
        <f>"57,5"</f>
        <v>57,5</v>
      </c>
      <c r="L17" s="31" t="str">
        <f>"68,3273"</f>
        <v>68,3273</v>
      </c>
      <c r="M17" s="29" t="s">
        <v>691</v>
      </c>
    </row>
    <row r="18" spans="1:13">
      <c r="A18" s="37" t="s">
        <v>222</v>
      </c>
      <c r="B18" s="26" t="s">
        <v>692</v>
      </c>
      <c r="C18" s="26" t="s">
        <v>693</v>
      </c>
      <c r="D18" s="26" t="s">
        <v>694</v>
      </c>
      <c r="E18" s="27" t="s">
        <v>1292</v>
      </c>
      <c r="F18" s="26" t="s">
        <v>695</v>
      </c>
      <c r="G18" s="35" t="s">
        <v>252</v>
      </c>
      <c r="H18" s="35" t="s">
        <v>63</v>
      </c>
      <c r="I18" s="36" t="s">
        <v>229</v>
      </c>
      <c r="J18" s="37"/>
      <c r="K18" s="44" t="str">
        <f>"55,0"</f>
        <v>55,0</v>
      </c>
      <c r="L18" s="28" t="str">
        <f>"66,8745"</f>
        <v>66,8745</v>
      </c>
      <c r="M18" s="26" t="s">
        <v>446</v>
      </c>
    </row>
    <row r="20" spans="1:13" ht="16">
      <c r="A20" s="81" t="s">
        <v>278</v>
      </c>
      <c r="B20" s="81"/>
      <c r="C20" s="82"/>
      <c r="D20" s="82"/>
      <c r="E20" s="82"/>
      <c r="F20" s="82"/>
      <c r="G20" s="82"/>
      <c r="H20" s="82"/>
      <c r="I20" s="82"/>
      <c r="J20" s="82"/>
    </row>
    <row r="21" spans="1:13">
      <c r="A21" s="22" t="s">
        <v>39</v>
      </c>
      <c r="B21" s="7" t="s">
        <v>696</v>
      </c>
      <c r="C21" s="7" t="s">
        <v>697</v>
      </c>
      <c r="D21" s="7" t="s">
        <v>698</v>
      </c>
      <c r="E21" s="8" t="s">
        <v>1292</v>
      </c>
      <c r="F21" s="7" t="s">
        <v>585</v>
      </c>
      <c r="G21" s="20" t="s">
        <v>61</v>
      </c>
      <c r="H21" s="20" t="s">
        <v>73</v>
      </c>
      <c r="I21" s="20" t="s">
        <v>47</v>
      </c>
      <c r="J21" s="22"/>
      <c r="K21" s="41" t="str">
        <f>"85,0"</f>
        <v>85,0</v>
      </c>
      <c r="L21" s="9" t="str">
        <f>"98,6340"</f>
        <v>98,6340</v>
      </c>
      <c r="M21" s="7" t="s">
        <v>699</v>
      </c>
    </row>
    <row r="23" spans="1:13" ht="16">
      <c r="A23" s="81" t="s">
        <v>41</v>
      </c>
      <c r="B23" s="81"/>
      <c r="C23" s="82"/>
      <c r="D23" s="82"/>
      <c r="E23" s="82"/>
      <c r="F23" s="82"/>
      <c r="G23" s="82"/>
      <c r="H23" s="82"/>
      <c r="I23" s="82"/>
      <c r="J23" s="82"/>
    </row>
    <row r="24" spans="1:13">
      <c r="A24" s="22" t="s">
        <v>39</v>
      </c>
      <c r="B24" s="7" t="s">
        <v>700</v>
      </c>
      <c r="C24" s="7" t="s">
        <v>701</v>
      </c>
      <c r="D24" s="7" t="s">
        <v>702</v>
      </c>
      <c r="E24" s="8" t="s">
        <v>1292</v>
      </c>
      <c r="F24" s="7" t="s">
        <v>71</v>
      </c>
      <c r="G24" s="20" t="s">
        <v>61</v>
      </c>
      <c r="H24" s="21" t="s">
        <v>46</v>
      </c>
      <c r="I24" s="21" t="s">
        <v>46</v>
      </c>
      <c r="J24" s="22"/>
      <c r="K24" s="41" t="str">
        <f>"75,0"</f>
        <v>75,0</v>
      </c>
      <c r="L24" s="9" t="str">
        <f>"78,5025"</f>
        <v>78,5025</v>
      </c>
      <c r="M24" s="7" t="s">
        <v>703</v>
      </c>
    </row>
    <row r="26" spans="1:13" ht="16">
      <c r="A26" s="81" t="s">
        <v>67</v>
      </c>
      <c r="B26" s="81"/>
      <c r="C26" s="82"/>
      <c r="D26" s="82"/>
      <c r="E26" s="82"/>
      <c r="F26" s="82"/>
      <c r="G26" s="82"/>
      <c r="H26" s="82"/>
      <c r="I26" s="82"/>
      <c r="J26" s="82"/>
    </row>
    <row r="27" spans="1:13">
      <c r="A27" s="33" t="s">
        <v>39</v>
      </c>
      <c r="B27" s="23" t="s">
        <v>704</v>
      </c>
      <c r="C27" s="23" t="s">
        <v>705</v>
      </c>
      <c r="D27" s="23" t="s">
        <v>706</v>
      </c>
      <c r="E27" s="24" t="s">
        <v>1292</v>
      </c>
      <c r="F27" s="23" t="s">
        <v>71</v>
      </c>
      <c r="G27" s="32" t="s">
        <v>48</v>
      </c>
      <c r="H27" s="32" t="s">
        <v>65</v>
      </c>
      <c r="I27" s="34" t="s">
        <v>246</v>
      </c>
      <c r="J27" s="33"/>
      <c r="K27" s="42" t="str">
        <f>"92,5"</f>
        <v>92,5</v>
      </c>
      <c r="L27" s="25" t="str">
        <f>"91,5750"</f>
        <v>91,5750</v>
      </c>
      <c r="M27" s="23" t="s">
        <v>707</v>
      </c>
    </row>
    <row r="28" spans="1:13">
      <c r="A28" s="37" t="s">
        <v>39</v>
      </c>
      <c r="B28" s="26" t="s">
        <v>704</v>
      </c>
      <c r="C28" s="26" t="s">
        <v>1172</v>
      </c>
      <c r="D28" s="26" t="s">
        <v>706</v>
      </c>
      <c r="E28" s="27" t="s">
        <v>1298</v>
      </c>
      <c r="F28" s="26" t="s">
        <v>71</v>
      </c>
      <c r="G28" s="35" t="s">
        <v>48</v>
      </c>
      <c r="H28" s="35" t="s">
        <v>65</v>
      </c>
      <c r="I28" s="36" t="s">
        <v>246</v>
      </c>
      <c r="J28" s="37"/>
      <c r="K28" s="44" t="str">
        <f>"92,5"</f>
        <v>92,5</v>
      </c>
      <c r="L28" s="28" t="str">
        <f>"116,5750"</f>
        <v>116,5750</v>
      </c>
      <c r="M28" s="26" t="s">
        <v>707</v>
      </c>
    </row>
    <row r="30" spans="1:13" ht="16">
      <c r="A30" s="81" t="s">
        <v>10</v>
      </c>
      <c r="B30" s="81"/>
      <c r="C30" s="82"/>
      <c r="D30" s="82"/>
      <c r="E30" s="82"/>
      <c r="F30" s="82"/>
      <c r="G30" s="82"/>
      <c r="H30" s="82"/>
      <c r="I30" s="82"/>
      <c r="J30" s="82"/>
    </row>
    <row r="31" spans="1:13">
      <c r="A31" s="22" t="s">
        <v>39</v>
      </c>
      <c r="B31" s="7" t="s">
        <v>708</v>
      </c>
      <c r="C31" s="7" t="s">
        <v>709</v>
      </c>
      <c r="D31" s="7" t="s">
        <v>710</v>
      </c>
      <c r="E31" s="8" t="s">
        <v>1292</v>
      </c>
      <c r="F31" s="7" t="s">
        <v>26</v>
      </c>
      <c r="G31" s="20" t="s">
        <v>64</v>
      </c>
      <c r="H31" s="20" t="s">
        <v>48</v>
      </c>
      <c r="I31" s="21" t="s">
        <v>188</v>
      </c>
      <c r="J31" s="22"/>
      <c r="K31" s="41" t="str">
        <f>"90,0"</f>
        <v>90,0</v>
      </c>
      <c r="L31" s="9" t="str">
        <f>"81,0450"</f>
        <v>81,0450</v>
      </c>
      <c r="M31" s="7"/>
    </row>
    <row r="33" spans="1:13" ht="16">
      <c r="A33" s="81" t="s">
        <v>113</v>
      </c>
      <c r="B33" s="81"/>
      <c r="C33" s="82"/>
      <c r="D33" s="82"/>
      <c r="E33" s="82"/>
      <c r="F33" s="82"/>
      <c r="G33" s="82"/>
      <c r="H33" s="82"/>
      <c r="I33" s="82"/>
      <c r="J33" s="82"/>
    </row>
    <row r="34" spans="1:13">
      <c r="A34" s="22" t="s">
        <v>39</v>
      </c>
      <c r="B34" s="7" t="s">
        <v>711</v>
      </c>
      <c r="C34" s="7" t="s">
        <v>712</v>
      </c>
      <c r="D34" s="7" t="s">
        <v>426</v>
      </c>
      <c r="E34" s="8" t="s">
        <v>1292</v>
      </c>
      <c r="F34" s="7" t="s">
        <v>363</v>
      </c>
      <c r="G34" s="21" t="s">
        <v>234</v>
      </c>
      <c r="H34" s="20" t="s">
        <v>234</v>
      </c>
      <c r="I34" s="20" t="s">
        <v>46</v>
      </c>
      <c r="J34" s="22"/>
      <c r="K34" s="41" t="str">
        <f>"80,0"</f>
        <v>80,0</v>
      </c>
      <c r="L34" s="9" t="str">
        <f>"69,5200"</f>
        <v>69,5200</v>
      </c>
      <c r="M34" s="7" t="s">
        <v>713</v>
      </c>
    </row>
    <row r="36" spans="1:13" ht="16">
      <c r="A36" s="81" t="s">
        <v>76</v>
      </c>
      <c r="B36" s="81"/>
      <c r="C36" s="82"/>
      <c r="D36" s="82"/>
      <c r="E36" s="82"/>
      <c r="F36" s="82"/>
      <c r="G36" s="82"/>
      <c r="H36" s="82"/>
      <c r="I36" s="82"/>
      <c r="J36" s="82"/>
    </row>
    <row r="37" spans="1:13">
      <c r="A37" s="33" t="s">
        <v>39</v>
      </c>
      <c r="B37" s="23" t="s">
        <v>714</v>
      </c>
      <c r="C37" s="23" t="s">
        <v>715</v>
      </c>
      <c r="D37" s="23" t="s">
        <v>716</v>
      </c>
      <c r="E37" s="24" t="s">
        <v>1292</v>
      </c>
      <c r="F37" s="23" t="s">
        <v>71</v>
      </c>
      <c r="G37" s="32" t="s">
        <v>50</v>
      </c>
      <c r="H37" s="32" t="s">
        <v>51</v>
      </c>
      <c r="I37" s="34" t="s">
        <v>62</v>
      </c>
      <c r="J37" s="33"/>
      <c r="K37" s="42" t="str">
        <f>"47,5"</f>
        <v>47,5</v>
      </c>
      <c r="L37" s="25" t="str">
        <f>"40,0900"</f>
        <v>40,0900</v>
      </c>
      <c r="M37" s="23"/>
    </row>
    <row r="38" spans="1:13">
      <c r="A38" s="37" t="s">
        <v>39</v>
      </c>
      <c r="B38" s="26" t="s">
        <v>714</v>
      </c>
      <c r="C38" s="26" t="s">
        <v>1173</v>
      </c>
      <c r="D38" s="26" t="s">
        <v>716</v>
      </c>
      <c r="E38" s="27" t="s">
        <v>1292</v>
      </c>
      <c r="F38" s="26" t="s">
        <v>71</v>
      </c>
      <c r="G38" s="35" t="s">
        <v>50</v>
      </c>
      <c r="H38" s="35" t="s">
        <v>51</v>
      </c>
      <c r="I38" s="36" t="s">
        <v>62</v>
      </c>
      <c r="J38" s="37"/>
      <c r="K38" s="44" t="str">
        <f>"47,5"</f>
        <v>47,5</v>
      </c>
      <c r="L38" s="28" t="str">
        <f>"42,4954"</f>
        <v>42,4954</v>
      </c>
      <c r="M38" s="26"/>
    </row>
    <row r="40" spans="1:13" ht="16">
      <c r="A40" s="81" t="s">
        <v>242</v>
      </c>
      <c r="B40" s="81"/>
      <c r="C40" s="82"/>
      <c r="D40" s="82"/>
      <c r="E40" s="82"/>
      <c r="F40" s="82"/>
      <c r="G40" s="82"/>
      <c r="H40" s="82"/>
      <c r="I40" s="82"/>
      <c r="J40" s="82"/>
    </row>
    <row r="41" spans="1:13">
      <c r="A41" s="33" t="s">
        <v>39</v>
      </c>
      <c r="B41" s="23" t="s">
        <v>717</v>
      </c>
      <c r="C41" s="23" t="s">
        <v>718</v>
      </c>
      <c r="D41" s="23" t="s">
        <v>719</v>
      </c>
      <c r="E41" s="24" t="s">
        <v>1291</v>
      </c>
      <c r="F41" s="23" t="s">
        <v>347</v>
      </c>
      <c r="G41" s="32" t="s">
        <v>232</v>
      </c>
      <c r="H41" s="34" t="s">
        <v>720</v>
      </c>
      <c r="I41" s="32" t="s">
        <v>720</v>
      </c>
      <c r="J41" s="33"/>
      <c r="K41" s="42" t="str">
        <f>"32,5"</f>
        <v>32,5</v>
      </c>
      <c r="L41" s="25" t="str">
        <f>"36,2473"</f>
        <v>36,2473</v>
      </c>
      <c r="M41" s="23" t="s">
        <v>721</v>
      </c>
    </row>
    <row r="42" spans="1:13">
      <c r="A42" s="39" t="s">
        <v>219</v>
      </c>
      <c r="B42" s="29" t="s">
        <v>722</v>
      </c>
      <c r="C42" s="29" t="s">
        <v>723</v>
      </c>
      <c r="D42" s="29" t="s">
        <v>724</v>
      </c>
      <c r="E42" s="30" t="s">
        <v>1291</v>
      </c>
      <c r="F42" s="29" t="s">
        <v>725</v>
      </c>
      <c r="G42" s="38" t="s">
        <v>726</v>
      </c>
      <c r="H42" s="38" t="s">
        <v>231</v>
      </c>
      <c r="I42" s="38" t="s">
        <v>232</v>
      </c>
      <c r="J42" s="39"/>
      <c r="K42" s="43" t="str">
        <f>"27,5"</f>
        <v>27,5</v>
      </c>
      <c r="L42" s="31" t="str">
        <f>"36,7235"</f>
        <v>36,7235</v>
      </c>
      <c r="M42" s="29"/>
    </row>
    <row r="43" spans="1:13">
      <c r="A43" s="37" t="s">
        <v>39</v>
      </c>
      <c r="B43" s="26" t="s">
        <v>722</v>
      </c>
      <c r="C43" s="26" t="s">
        <v>727</v>
      </c>
      <c r="D43" s="26" t="s">
        <v>724</v>
      </c>
      <c r="E43" s="27" t="s">
        <v>1292</v>
      </c>
      <c r="F43" s="26" t="s">
        <v>725</v>
      </c>
      <c r="G43" s="35" t="s">
        <v>726</v>
      </c>
      <c r="H43" s="35" t="s">
        <v>231</v>
      </c>
      <c r="I43" s="35" t="s">
        <v>232</v>
      </c>
      <c r="J43" s="37"/>
      <c r="K43" s="44" t="str">
        <f>"27,5"</f>
        <v>27,5</v>
      </c>
      <c r="L43" s="28" t="str">
        <f>"36,7235"</f>
        <v>36,7235</v>
      </c>
      <c r="M43" s="26"/>
    </row>
    <row r="45" spans="1:13" ht="16">
      <c r="A45" s="81" t="s">
        <v>41</v>
      </c>
      <c r="B45" s="81"/>
      <c r="C45" s="82"/>
      <c r="D45" s="82"/>
      <c r="E45" s="82"/>
      <c r="F45" s="82"/>
      <c r="G45" s="82"/>
      <c r="H45" s="82"/>
      <c r="I45" s="82"/>
      <c r="J45" s="82"/>
    </row>
    <row r="46" spans="1:13">
      <c r="A46" s="33" t="s">
        <v>39</v>
      </c>
      <c r="B46" s="23" t="s">
        <v>728</v>
      </c>
      <c r="C46" s="23" t="s">
        <v>729</v>
      </c>
      <c r="D46" s="23" t="s">
        <v>730</v>
      </c>
      <c r="E46" s="24" t="s">
        <v>1291</v>
      </c>
      <c r="F46" s="23" t="s">
        <v>731</v>
      </c>
      <c r="G46" s="32" t="s">
        <v>54</v>
      </c>
      <c r="H46" s="34" t="s">
        <v>102</v>
      </c>
      <c r="I46" s="34" t="s">
        <v>102</v>
      </c>
      <c r="J46" s="33"/>
      <c r="K46" s="42" t="str">
        <f>"115,0"</f>
        <v>115,0</v>
      </c>
      <c r="L46" s="25" t="str">
        <f>"91,8045"</f>
        <v>91,8045</v>
      </c>
      <c r="M46" s="23"/>
    </row>
    <row r="47" spans="1:13">
      <c r="A47" s="39" t="s">
        <v>40</v>
      </c>
      <c r="B47" s="29" t="s">
        <v>732</v>
      </c>
      <c r="C47" s="29" t="s">
        <v>1174</v>
      </c>
      <c r="D47" s="29" t="s">
        <v>733</v>
      </c>
      <c r="E47" s="30" t="s">
        <v>1293</v>
      </c>
      <c r="F47" s="29" t="s">
        <v>71</v>
      </c>
      <c r="G47" s="40" t="s">
        <v>102</v>
      </c>
      <c r="H47" s="40" t="s">
        <v>102</v>
      </c>
      <c r="I47" s="40" t="s">
        <v>102</v>
      </c>
      <c r="J47" s="39"/>
      <c r="K47" s="43">
        <v>0</v>
      </c>
      <c r="L47" s="31" t="str">
        <f>"0,0000"</f>
        <v>0,0000</v>
      </c>
      <c r="M47" s="29"/>
    </row>
    <row r="48" spans="1:13">
      <c r="A48" s="37" t="s">
        <v>39</v>
      </c>
      <c r="B48" s="26" t="s">
        <v>734</v>
      </c>
      <c r="C48" s="26" t="s">
        <v>735</v>
      </c>
      <c r="D48" s="26" t="s">
        <v>736</v>
      </c>
      <c r="E48" s="27" t="s">
        <v>1292</v>
      </c>
      <c r="F48" s="26" t="s">
        <v>522</v>
      </c>
      <c r="G48" s="36" t="s">
        <v>102</v>
      </c>
      <c r="H48" s="35" t="s">
        <v>372</v>
      </c>
      <c r="I48" s="35" t="s">
        <v>98</v>
      </c>
      <c r="J48" s="37"/>
      <c r="K48" s="44" t="str">
        <f>"150,0"</f>
        <v>150,0</v>
      </c>
      <c r="L48" s="28" t="str">
        <f>"118,5150"</f>
        <v>118,5150</v>
      </c>
      <c r="M48" s="26"/>
    </row>
    <row r="50" spans="1:13" ht="16">
      <c r="A50" s="81" t="s">
        <v>67</v>
      </c>
      <c r="B50" s="81"/>
      <c r="C50" s="82"/>
      <c r="D50" s="82"/>
      <c r="E50" s="82"/>
      <c r="F50" s="82"/>
      <c r="G50" s="82"/>
      <c r="H50" s="82"/>
      <c r="I50" s="82"/>
      <c r="J50" s="82"/>
    </row>
    <row r="51" spans="1:13">
      <c r="A51" s="33" t="s">
        <v>39</v>
      </c>
      <c r="B51" s="23" t="s">
        <v>737</v>
      </c>
      <c r="C51" s="23" t="s">
        <v>738</v>
      </c>
      <c r="D51" s="23" t="s">
        <v>739</v>
      </c>
      <c r="E51" s="24" t="s">
        <v>1291</v>
      </c>
      <c r="F51" s="23" t="s">
        <v>71</v>
      </c>
      <c r="G51" s="32" t="s">
        <v>47</v>
      </c>
      <c r="H51" s="32" t="s">
        <v>48</v>
      </c>
      <c r="I51" s="34" t="s">
        <v>188</v>
      </c>
      <c r="J51" s="33"/>
      <c r="K51" s="42" t="str">
        <f>"90,0"</f>
        <v>90,0</v>
      </c>
      <c r="L51" s="25" t="str">
        <f>"65,1150"</f>
        <v>65,1150</v>
      </c>
      <c r="M51" s="23" t="s">
        <v>340</v>
      </c>
    </row>
    <row r="52" spans="1:13">
      <c r="A52" s="39" t="s">
        <v>39</v>
      </c>
      <c r="B52" s="29" t="s">
        <v>740</v>
      </c>
      <c r="C52" s="29" t="s">
        <v>1175</v>
      </c>
      <c r="D52" s="29" t="s">
        <v>741</v>
      </c>
      <c r="E52" s="30" t="s">
        <v>1293</v>
      </c>
      <c r="F52" s="29" t="s">
        <v>742</v>
      </c>
      <c r="G52" s="40" t="s">
        <v>256</v>
      </c>
      <c r="H52" s="38" t="s">
        <v>256</v>
      </c>
      <c r="I52" s="40" t="s">
        <v>52</v>
      </c>
      <c r="J52" s="39"/>
      <c r="K52" s="43" t="str">
        <f>"102,5"</f>
        <v>102,5</v>
      </c>
      <c r="L52" s="31" t="str">
        <f>"75,9115"</f>
        <v>75,9115</v>
      </c>
      <c r="M52" s="29" t="s">
        <v>743</v>
      </c>
    </row>
    <row r="53" spans="1:13">
      <c r="A53" s="37" t="s">
        <v>39</v>
      </c>
      <c r="B53" s="26" t="s">
        <v>369</v>
      </c>
      <c r="C53" s="26" t="s">
        <v>370</v>
      </c>
      <c r="D53" s="26" t="s">
        <v>371</v>
      </c>
      <c r="E53" s="27" t="s">
        <v>1292</v>
      </c>
      <c r="F53" s="26" t="s">
        <v>175</v>
      </c>
      <c r="G53" s="35" t="s">
        <v>287</v>
      </c>
      <c r="H53" s="35" t="s">
        <v>372</v>
      </c>
      <c r="I53" s="36" t="s">
        <v>373</v>
      </c>
      <c r="J53" s="37"/>
      <c r="K53" s="44" t="str">
        <f>"142,5"</f>
        <v>142,5</v>
      </c>
      <c r="L53" s="28" t="str">
        <f>"102,1155"</f>
        <v>102,1155</v>
      </c>
      <c r="M53" s="26" t="s">
        <v>374</v>
      </c>
    </row>
    <row r="55" spans="1:13" ht="16">
      <c r="A55" s="81" t="s">
        <v>10</v>
      </c>
      <c r="B55" s="81"/>
      <c r="C55" s="82"/>
      <c r="D55" s="82"/>
      <c r="E55" s="82"/>
      <c r="F55" s="82"/>
      <c r="G55" s="82"/>
      <c r="H55" s="82"/>
      <c r="I55" s="82"/>
      <c r="J55" s="82"/>
    </row>
    <row r="56" spans="1:13">
      <c r="A56" s="33" t="s">
        <v>39</v>
      </c>
      <c r="B56" s="23" t="s">
        <v>744</v>
      </c>
      <c r="C56" s="23" t="s">
        <v>745</v>
      </c>
      <c r="D56" s="23" t="s">
        <v>563</v>
      </c>
      <c r="E56" s="24" t="s">
        <v>1292</v>
      </c>
      <c r="F56" s="23" t="s">
        <v>725</v>
      </c>
      <c r="G56" s="32" t="s">
        <v>18</v>
      </c>
      <c r="H56" s="32" t="s">
        <v>92</v>
      </c>
      <c r="I56" s="32" t="s">
        <v>195</v>
      </c>
      <c r="J56" s="33"/>
      <c r="K56" s="42" t="str">
        <f>"192,5"</f>
        <v>192,5</v>
      </c>
      <c r="L56" s="25" t="str">
        <f>"130,2070"</f>
        <v>130,2070</v>
      </c>
      <c r="M56" s="23"/>
    </row>
    <row r="57" spans="1:13">
      <c r="A57" s="39" t="s">
        <v>219</v>
      </c>
      <c r="B57" s="29" t="s">
        <v>746</v>
      </c>
      <c r="C57" s="29" t="s">
        <v>747</v>
      </c>
      <c r="D57" s="29" t="s">
        <v>748</v>
      </c>
      <c r="E57" s="30" t="s">
        <v>1292</v>
      </c>
      <c r="F57" s="29" t="s">
        <v>571</v>
      </c>
      <c r="G57" s="38" t="s">
        <v>110</v>
      </c>
      <c r="H57" s="40" t="s">
        <v>163</v>
      </c>
      <c r="I57" s="40" t="s">
        <v>163</v>
      </c>
      <c r="J57" s="39"/>
      <c r="K57" s="43" t="str">
        <f>"155,0"</f>
        <v>155,0</v>
      </c>
      <c r="L57" s="31" t="str">
        <f>"104,3770"</f>
        <v>104,3770</v>
      </c>
      <c r="M57" s="29"/>
    </row>
    <row r="58" spans="1:13">
      <c r="A58" s="39" t="s">
        <v>220</v>
      </c>
      <c r="B58" s="29" t="s">
        <v>749</v>
      </c>
      <c r="C58" s="29" t="s">
        <v>750</v>
      </c>
      <c r="D58" s="29" t="s">
        <v>570</v>
      </c>
      <c r="E58" s="30" t="s">
        <v>1292</v>
      </c>
      <c r="F58" s="29" t="s">
        <v>97</v>
      </c>
      <c r="G58" s="38" t="s">
        <v>140</v>
      </c>
      <c r="H58" s="38" t="s">
        <v>286</v>
      </c>
      <c r="I58" s="38" t="s">
        <v>187</v>
      </c>
      <c r="J58" s="39"/>
      <c r="K58" s="43" t="str">
        <f>"145,0"</f>
        <v>145,0</v>
      </c>
      <c r="L58" s="31" t="str">
        <f>"98,2955"</f>
        <v>98,2955</v>
      </c>
      <c r="M58" s="29"/>
    </row>
    <row r="59" spans="1:13">
      <c r="A59" s="39" t="s">
        <v>221</v>
      </c>
      <c r="B59" s="29" t="s">
        <v>751</v>
      </c>
      <c r="C59" s="29" t="s">
        <v>752</v>
      </c>
      <c r="D59" s="29" t="s">
        <v>386</v>
      </c>
      <c r="E59" s="30" t="s">
        <v>1292</v>
      </c>
      <c r="F59" s="29" t="s">
        <v>268</v>
      </c>
      <c r="G59" s="38" t="s">
        <v>72</v>
      </c>
      <c r="H59" s="38" t="s">
        <v>286</v>
      </c>
      <c r="I59" s="38" t="s">
        <v>74</v>
      </c>
      <c r="J59" s="39"/>
      <c r="K59" s="43" t="str">
        <f>"130,0"</f>
        <v>130,0</v>
      </c>
      <c r="L59" s="31" t="str">
        <f>"87,8670"</f>
        <v>87,8670</v>
      </c>
      <c r="M59" s="29" t="s">
        <v>434</v>
      </c>
    </row>
    <row r="60" spans="1:13">
      <c r="A60" s="39" t="s">
        <v>222</v>
      </c>
      <c r="B60" s="29" t="s">
        <v>753</v>
      </c>
      <c r="C60" s="29" t="s">
        <v>754</v>
      </c>
      <c r="D60" s="29" t="s">
        <v>710</v>
      </c>
      <c r="E60" s="30" t="s">
        <v>1292</v>
      </c>
      <c r="F60" s="29" t="s">
        <v>606</v>
      </c>
      <c r="G60" s="38" t="s">
        <v>72</v>
      </c>
      <c r="H60" s="40" t="s">
        <v>286</v>
      </c>
      <c r="I60" s="40" t="s">
        <v>286</v>
      </c>
      <c r="J60" s="39"/>
      <c r="K60" s="43" t="str">
        <f>"120,0"</f>
        <v>120,0</v>
      </c>
      <c r="L60" s="31" t="str">
        <f>"80,4480"</f>
        <v>80,4480</v>
      </c>
      <c r="M60" s="29" t="s">
        <v>755</v>
      </c>
    </row>
    <row r="61" spans="1:13">
      <c r="A61" s="39" t="s">
        <v>223</v>
      </c>
      <c r="B61" s="29" t="s">
        <v>756</v>
      </c>
      <c r="C61" s="29" t="s">
        <v>757</v>
      </c>
      <c r="D61" s="29" t="s">
        <v>559</v>
      </c>
      <c r="E61" s="30" t="s">
        <v>1292</v>
      </c>
      <c r="F61" s="29" t="s">
        <v>560</v>
      </c>
      <c r="G61" s="38" t="s">
        <v>256</v>
      </c>
      <c r="H61" s="38" t="s">
        <v>140</v>
      </c>
      <c r="I61" s="40" t="s">
        <v>286</v>
      </c>
      <c r="J61" s="39"/>
      <c r="K61" s="43" t="str">
        <f>"112,5"</f>
        <v>112,5</v>
      </c>
      <c r="L61" s="31" t="str">
        <f>"76,2075"</f>
        <v>76,2075</v>
      </c>
      <c r="M61" s="29"/>
    </row>
    <row r="62" spans="1:13">
      <c r="A62" s="39" t="s">
        <v>39</v>
      </c>
      <c r="B62" s="29" t="s">
        <v>744</v>
      </c>
      <c r="C62" s="29" t="s">
        <v>1176</v>
      </c>
      <c r="D62" s="29" t="s">
        <v>563</v>
      </c>
      <c r="E62" s="30" t="s">
        <v>1294</v>
      </c>
      <c r="F62" s="29" t="s">
        <v>725</v>
      </c>
      <c r="G62" s="38" t="s">
        <v>18</v>
      </c>
      <c r="H62" s="38" t="s">
        <v>92</v>
      </c>
      <c r="I62" s="38" t="s">
        <v>195</v>
      </c>
      <c r="J62" s="39"/>
      <c r="K62" s="43" t="str">
        <f>"192,5"</f>
        <v>192,5</v>
      </c>
      <c r="L62" s="31" t="str">
        <f>"145,0506"</f>
        <v>145,0506</v>
      </c>
      <c r="M62" s="29"/>
    </row>
    <row r="63" spans="1:13">
      <c r="A63" s="37" t="s">
        <v>219</v>
      </c>
      <c r="B63" s="26" t="s">
        <v>758</v>
      </c>
      <c r="C63" s="26" t="s">
        <v>1177</v>
      </c>
      <c r="D63" s="26" t="s">
        <v>559</v>
      </c>
      <c r="E63" s="27" t="s">
        <v>1294</v>
      </c>
      <c r="F63" s="26" t="s">
        <v>462</v>
      </c>
      <c r="G63" s="36" t="s">
        <v>75</v>
      </c>
      <c r="H63" s="35" t="s">
        <v>75</v>
      </c>
      <c r="I63" s="35" t="s">
        <v>187</v>
      </c>
      <c r="J63" s="37"/>
      <c r="K63" s="44" t="str">
        <f>"145,0"</f>
        <v>145,0</v>
      </c>
      <c r="L63" s="28" t="str">
        <f>"107,6524"</f>
        <v>107,6524</v>
      </c>
      <c r="M63" s="26"/>
    </row>
    <row r="65" spans="1:13" ht="16">
      <c r="A65" s="81" t="s">
        <v>113</v>
      </c>
      <c r="B65" s="81"/>
      <c r="C65" s="82"/>
      <c r="D65" s="82"/>
      <c r="E65" s="82"/>
      <c r="F65" s="82"/>
      <c r="G65" s="82"/>
      <c r="H65" s="82"/>
      <c r="I65" s="82"/>
      <c r="J65" s="82"/>
    </row>
    <row r="66" spans="1:13">
      <c r="A66" s="33" t="s">
        <v>39</v>
      </c>
      <c r="B66" s="23" t="s">
        <v>759</v>
      </c>
      <c r="C66" s="23" t="s">
        <v>1178</v>
      </c>
      <c r="D66" s="23" t="s">
        <v>129</v>
      </c>
      <c r="E66" s="24" t="s">
        <v>1293</v>
      </c>
      <c r="F66" s="23" t="s">
        <v>71</v>
      </c>
      <c r="G66" s="32" t="s">
        <v>292</v>
      </c>
      <c r="H66" s="32" t="s">
        <v>313</v>
      </c>
      <c r="I66" s="32" t="s">
        <v>75</v>
      </c>
      <c r="J66" s="33"/>
      <c r="K66" s="42" t="str">
        <f>"140,0"</f>
        <v>140,0</v>
      </c>
      <c r="L66" s="25" t="str">
        <f>"90,1600"</f>
        <v>90,1600</v>
      </c>
      <c r="M66" s="23" t="s">
        <v>760</v>
      </c>
    </row>
    <row r="67" spans="1:13">
      <c r="A67" s="39" t="s">
        <v>39</v>
      </c>
      <c r="B67" s="29" t="s">
        <v>761</v>
      </c>
      <c r="C67" s="29" t="s">
        <v>762</v>
      </c>
      <c r="D67" s="29" t="s">
        <v>763</v>
      </c>
      <c r="E67" s="30" t="s">
        <v>1292</v>
      </c>
      <c r="F67" s="29" t="s">
        <v>268</v>
      </c>
      <c r="G67" s="38" t="s">
        <v>83</v>
      </c>
      <c r="H67" s="38" t="s">
        <v>80</v>
      </c>
      <c r="I67" s="40" t="s">
        <v>92</v>
      </c>
      <c r="J67" s="39"/>
      <c r="K67" s="43" t="str">
        <f>"180,0"</f>
        <v>180,0</v>
      </c>
      <c r="L67" s="31" t="str">
        <f>"115,6320"</f>
        <v>115,6320</v>
      </c>
      <c r="M67" s="29" t="s">
        <v>434</v>
      </c>
    </row>
    <row r="68" spans="1:13">
      <c r="A68" s="37" t="s">
        <v>39</v>
      </c>
      <c r="B68" s="26" t="s">
        <v>764</v>
      </c>
      <c r="C68" s="26" t="s">
        <v>1179</v>
      </c>
      <c r="D68" s="26" t="s">
        <v>765</v>
      </c>
      <c r="E68" s="27" t="s">
        <v>1295</v>
      </c>
      <c r="F68" s="26" t="s">
        <v>519</v>
      </c>
      <c r="G68" s="35" t="s">
        <v>72</v>
      </c>
      <c r="H68" s="36" t="s">
        <v>292</v>
      </c>
      <c r="I68" s="36" t="s">
        <v>292</v>
      </c>
      <c r="J68" s="37"/>
      <c r="K68" s="44" t="str">
        <f>"120,0"</f>
        <v>120,0</v>
      </c>
      <c r="L68" s="28" t="str">
        <f>"78,6674"</f>
        <v>78,6674</v>
      </c>
      <c r="M68" s="26" t="s">
        <v>531</v>
      </c>
    </row>
    <row r="70" spans="1:13" ht="16">
      <c r="A70" s="81" t="s">
        <v>137</v>
      </c>
      <c r="B70" s="81"/>
      <c r="C70" s="82"/>
      <c r="D70" s="82"/>
      <c r="E70" s="82"/>
      <c r="F70" s="82"/>
      <c r="G70" s="82"/>
      <c r="H70" s="82"/>
      <c r="I70" s="82"/>
      <c r="J70" s="82"/>
    </row>
    <row r="71" spans="1:13">
      <c r="A71" s="33" t="s">
        <v>39</v>
      </c>
      <c r="B71" s="23" t="s">
        <v>766</v>
      </c>
      <c r="C71" s="23" t="s">
        <v>767</v>
      </c>
      <c r="D71" s="23" t="s">
        <v>768</v>
      </c>
      <c r="E71" s="24" t="s">
        <v>1292</v>
      </c>
      <c r="F71" s="23" t="s">
        <v>769</v>
      </c>
      <c r="G71" s="32" t="s">
        <v>79</v>
      </c>
      <c r="H71" s="32" t="s">
        <v>83</v>
      </c>
      <c r="I71" s="32" t="s">
        <v>92</v>
      </c>
      <c r="J71" s="33"/>
      <c r="K71" s="42" t="str">
        <f>"185,0"</f>
        <v>185,0</v>
      </c>
      <c r="L71" s="25" t="str">
        <f>"113,5160"</f>
        <v>113,5160</v>
      </c>
      <c r="M71" s="23" t="s">
        <v>450</v>
      </c>
    </row>
    <row r="72" spans="1:13">
      <c r="A72" s="39" t="s">
        <v>219</v>
      </c>
      <c r="B72" s="29" t="s">
        <v>770</v>
      </c>
      <c r="C72" s="29" t="s">
        <v>771</v>
      </c>
      <c r="D72" s="29" t="s">
        <v>772</v>
      </c>
      <c r="E72" s="30" t="s">
        <v>1292</v>
      </c>
      <c r="F72" s="29" t="s">
        <v>268</v>
      </c>
      <c r="G72" s="38" t="s">
        <v>18</v>
      </c>
      <c r="H72" s="40" t="s">
        <v>92</v>
      </c>
      <c r="I72" s="38" t="s">
        <v>92</v>
      </c>
      <c r="J72" s="39"/>
      <c r="K72" s="43" t="str">
        <f>"185,0"</f>
        <v>185,0</v>
      </c>
      <c r="L72" s="31" t="str">
        <f>"112,9055"</f>
        <v>112,9055</v>
      </c>
      <c r="M72" s="29" t="s">
        <v>434</v>
      </c>
    </row>
    <row r="73" spans="1:13">
      <c r="A73" s="39" t="s">
        <v>220</v>
      </c>
      <c r="B73" s="29" t="s">
        <v>773</v>
      </c>
      <c r="C73" s="29" t="s">
        <v>774</v>
      </c>
      <c r="D73" s="29" t="s">
        <v>772</v>
      </c>
      <c r="E73" s="30" t="s">
        <v>1292</v>
      </c>
      <c r="F73" s="29" t="s">
        <v>775</v>
      </c>
      <c r="G73" s="38" t="s">
        <v>111</v>
      </c>
      <c r="H73" s="38" t="s">
        <v>91</v>
      </c>
      <c r="I73" s="40" t="s">
        <v>80</v>
      </c>
      <c r="J73" s="39"/>
      <c r="K73" s="43" t="str">
        <f>"172,5"</f>
        <v>172,5</v>
      </c>
      <c r="L73" s="31" t="str">
        <f>"105,2768"</f>
        <v>105,2768</v>
      </c>
      <c r="M73" s="29" t="s">
        <v>257</v>
      </c>
    </row>
    <row r="74" spans="1:13">
      <c r="A74" s="39" t="s">
        <v>221</v>
      </c>
      <c r="B74" s="29" t="s">
        <v>776</v>
      </c>
      <c r="C74" s="29" t="s">
        <v>777</v>
      </c>
      <c r="D74" s="29" t="s">
        <v>768</v>
      </c>
      <c r="E74" s="30" t="s">
        <v>1292</v>
      </c>
      <c r="F74" s="29" t="s">
        <v>26</v>
      </c>
      <c r="G74" s="38" t="s">
        <v>79</v>
      </c>
      <c r="H74" s="38" t="s">
        <v>163</v>
      </c>
      <c r="I74" s="40" t="s">
        <v>91</v>
      </c>
      <c r="J74" s="39"/>
      <c r="K74" s="43" t="str">
        <f>"167,5"</f>
        <v>167,5</v>
      </c>
      <c r="L74" s="31" t="str">
        <f>"102,7780"</f>
        <v>102,7780</v>
      </c>
      <c r="M74" s="29"/>
    </row>
    <row r="75" spans="1:13">
      <c r="A75" s="39" t="s">
        <v>222</v>
      </c>
      <c r="B75" s="29" t="s">
        <v>778</v>
      </c>
      <c r="C75" s="29" t="s">
        <v>779</v>
      </c>
      <c r="D75" s="29" t="s">
        <v>780</v>
      </c>
      <c r="E75" s="30" t="s">
        <v>1292</v>
      </c>
      <c r="F75" s="29" t="s">
        <v>571</v>
      </c>
      <c r="G75" s="38" t="s">
        <v>110</v>
      </c>
      <c r="H75" s="38" t="s">
        <v>111</v>
      </c>
      <c r="I75" s="40" t="s">
        <v>91</v>
      </c>
      <c r="J75" s="39"/>
      <c r="K75" s="43" t="str">
        <f>"165,0"</f>
        <v>165,0</v>
      </c>
      <c r="L75" s="31" t="str">
        <f>"101,2110"</f>
        <v>101,2110</v>
      </c>
      <c r="M75" s="29"/>
    </row>
    <row r="76" spans="1:13">
      <c r="A76" s="39" t="s">
        <v>223</v>
      </c>
      <c r="B76" s="29" t="s">
        <v>781</v>
      </c>
      <c r="C76" s="29" t="s">
        <v>782</v>
      </c>
      <c r="D76" s="29" t="s">
        <v>716</v>
      </c>
      <c r="E76" s="30" t="s">
        <v>1292</v>
      </c>
      <c r="F76" s="29" t="s">
        <v>71</v>
      </c>
      <c r="G76" s="38" t="s">
        <v>110</v>
      </c>
      <c r="H76" s="38" t="s">
        <v>176</v>
      </c>
      <c r="I76" s="40" t="s">
        <v>163</v>
      </c>
      <c r="J76" s="39"/>
      <c r="K76" s="43" t="str">
        <f>"162,5"</f>
        <v>162,5</v>
      </c>
      <c r="L76" s="31" t="str">
        <f>"100,7013"</f>
        <v>100,7013</v>
      </c>
      <c r="M76" s="29" t="s">
        <v>282</v>
      </c>
    </row>
    <row r="77" spans="1:13">
      <c r="A77" s="39" t="s">
        <v>39</v>
      </c>
      <c r="B77" s="29" t="s">
        <v>783</v>
      </c>
      <c r="C77" s="29" t="s">
        <v>1180</v>
      </c>
      <c r="D77" s="29" t="s">
        <v>784</v>
      </c>
      <c r="E77" s="30" t="s">
        <v>1295</v>
      </c>
      <c r="F77" s="29" t="s">
        <v>522</v>
      </c>
      <c r="G77" s="38" t="s">
        <v>74</v>
      </c>
      <c r="H77" s="38" t="s">
        <v>287</v>
      </c>
      <c r="I77" s="40" t="s">
        <v>313</v>
      </c>
      <c r="J77" s="39"/>
      <c r="K77" s="43" t="str">
        <f>"135,0"</f>
        <v>135,0</v>
      </c>
      <c r="L77" s="31" t="str">
        <f>"84,9950"</f>
        <v>84,9950</v>
      </c>
      <c r="M77" s="29"/>
    </row>
    <row r="78" spans="1:13">
      <c r="A78" s="39" t="s">
        <v>39</v>
      </c>
      <c r="B78" s="29" t="s">
        <v>785</v>
      </c>
      <c r="C78" s="29" t="s">
        <v>1181</v>
      </c>
      <c r="D78" s="29" t="s">
        <v>786</v>
      </c>
      <c r="E78" s="30" t="s">
        <v>1294</v>
      </c>
      <c r="F78" s="29" t="s">
        <v>787</v>
      </c>
      <c r="G78" s="38" t="s">
        <v>170</v>
      </c>
      <c r="H78" s="38" t="s">
        <v>111</v>
      </c>
      <c r="I78" s="40" t="s">
        <v>163</v>
      </c>
      <c r="J78" s="39"/>
      <c r="K78" s="43" t="str">
        <f>"165,0"</f>
        <v>165,0</v>
      </c>
      <c r="L78" s="31" t="str">
        <f>"110,2794"</f>
        <v>110,2794</v>
      </c>
      <c r="M78" s="29"/>
    </row>
    <row r="79" spans="1:13">
      <c r="A79" s="37" t="s">
        <v>219</v>
      </c>
      <c r="B79" s="26" t="s">
        <v>788</v>
      </c>
      <c r="C79" s="26" t="s">
        <v>1182</v>
      </c>
      <c r="D79" s="26" t="s">
        <v>789</v>
      </c>
      <c r="E79" s="27" t="s">
        <v>1294</v>
      </c>
      <c r="F79" s="26" t="s">
        <v>571</v>
      </c>
      <c r="G79" s="35" t="s">
        <v>72</v>
      </c>
      <c r="H79" s="35" t="s">
        <v>102</v>
      </c>
      <c r="I79" s="35" t="s">
        <v>74</v>
      </c>
      <c r="J79" s="37"/>
      <c r="K79" s="44" t="str">
        <f>"130,0"</f>
        <v>130,0</v>
      </c>
      <c r="L79" s="28" t="str">
        <f>"90,1502"</f>
        <v>90,1502</v>
      </c>
      <c r="M79" s="26" t="s">
        <v>790</v>
      </c>
    </row>
    <row r="81" spans="1:13" ht="16">
      <c r="A81" s="81" t="s">
        <v>190</v>
      </c>
      <c r="B81" s="81"/>
      <c r="C81" s="82"/>
      <c r="D81" s="82"/>
      <c r="E81" s="82"/>
      <c r="F81" s="82"/>
      <c r="G81" s="82"/>
      <c r="H81" s="82"/>
      <c r="I81" s="82"/>
      <c r="J81" s="82"/>
    </row>
    <row r="82" spans="1:13">
      <c r="A82" s="33" t="s">
        <v>39</v>
      </c>
      <c r="B82" s="23" t="s">
        <v>791</v>
      </c>
      <c r="C82" s="23" t="s">
        <v>792</v>
      </c>
      <c r="D82" s="23" t="s">
        <v>793</v>
      </c>
      <c r="E82" s="24" t="s">
        <v>1292</v>
      </c>
      <c r="F82" s="23" t="s">
        <v>71</v>
      </c>
      <c r="G82" s="32" t="s">
        <v>83</v>
      </c>
      <c r="H82" s="34" t="s">
        <v>158</v>
      </c>
      <c r="I82" s="32" t="s">
        <v>158</v>
      </c>
      <c r="J82" s="33"/>
      <c r="K82" s="42" t="str">
        <f>"177,5"</f>
        <v>177,5</v>
      </c>
      <c r="L82" s="25" t="str">
        <f>"104,8848"</f>
        <v>104,8848</v>
      </c>
      <c r="M82" s="23"/>
    </row>
    <row r="83" spans="1:13">
      <c r="A83" s="37" t="s">
        <v>219</v>
      </c>
      <c r="B83" s="26" t="s">
        <v>794</v>
      </c>
      <c r="C83" s="26" t="s">
        <v>795</v>
      </c>
      <c r="D83" s="26" t="s">
        <v>642</v>
      </c>
      <c r="E83" s="27" t="s">
        <v>1292</v>
      </c>
      <c r="F83" s="26" t="s">
        <v>1278</v>
      </c>
      <c r="G83" s="35" t="s">
        <v>79</v>
      </c>
      <c r="H83" s="35" t="s">
        <v>83</v>
      </c>
      <c r="I83" s="35" t="s">
        <v>91</v>
      </c>
      <c r="J83" s="37"/>
      <c r="K83" s="44" t="str">
        <f>"172,5"</f>
        <v>172,5</v>
      </c>
      <c r="L83" s="28" t="str">
        <f>"102,1027"</f>
        <v>102,1027</v>
      </c>
      <c r="M83" s="26"/>
    </row>
    <row r="85" spans="1:13" ht="16">
      <c r="A85" s="81" t="s">
        <v>22</v>
      </c>
      <c r="B85" s="81"/>
      <c r="C85" s="82"/>
      <c r="D85" s="82"/>
      <c r="E85" s="82"/>
      <c r="F85" s="82"/>
      <c r="G85" s="82"/>
      <c r="H85" s="82"/>
      <c r="I85" s="82"/>
      <c r="J85" s="82"/>
    </row>
    <row r="86" spans="1:13">
      <c r="A86" s="33" t="s">
        <v>39</v>
      </c>
      <c r="B86" s="23" t="s">
        <v>796</v>
      </c>
      <c r="C86" s="23" t="s">
        <v>797</v>
      </c>
      <c r="D86" s="23" t="s">
        <v>798</v>
      </c>
      <c r="E86" s="24" t="s">
        <v>1292</v>
      </c>
      <c r="F86" s="23" t="s">
        <v>799</v>
      </c>
      <c r="G86" s="32" t="s">
        <v>85</v>
      </c>
      <c r="H86" s="34" t="s">
        <v>109</v>
      </c>
      <c r="I86" s="34" t="s">
        <v>109</v>
      </c>
      <c r="J86" s="33"/>
      <c r="K86" s="42" t="str">
        <f>"210,0"</f>
        <v>210,0</v>
      </c>
      <c r="L86" s="25" t="str">
        <f>"119,9940"</f>
        <v>119,9940</v>
      </c>
      <c r="M86" s="23"/>
    </row>
    <row r="87" spans="1:13">
      <c r="A87" s="39" t="s">
        <v>219</v>
      </c>
      <c r="B87" s="29" t="s">
        <v>800</v>
      </c>
      <c r="C87" s="29" t="s">
        <v>801</v>
      </c>
      <c r="D87" s="29" t="s">
        <v>802</v>
      </c>
      <c r="E87" s="30" t="s">
        <v>1292</v>
      </c>
      <c r="F87" s="29" t="s">
        <v>117</v>
      </c>
      <c r="G87" s="38" t="s">
        <v>81</v>
      </c>
      <c r="H87" s="40" t="s">
        <v>151</v>
      </c>
      <c r="I87" s="40" t="s">
        <v>151</v>
      </c>
      <c r="J87" s="39"/>
      <c r="K87" s="43" t="str">
        <f>"190,0"</f>
        <v>190,0</v>
      </c>
      <c r="L87" s="31" t="str">
        <f>"109,1550"</f>
        <v>109,1550</v>
      </c>
      <c r="M87" s="29"/>
    </row>
    <row r="88" spans="1:13">
      <c r="A88" s="39" t="s">
        <v>39</v>
      </c>
      <c r="B88" s="29" t="s">
        <v>803</v>
      </c>
      <c r="C88" s="29" t="s">
        <v>1183</v>
      </c>
      <c r="D88" s="29" t="s">
        <v>804</v>
      </c>
      <c r="E88" s="30" t="s">
        <v>1295</v>
      </c>
      <c r="F88" s="29" t="s">
        <v>117</v>
      </c>
      <c r="G88" s="38" t="s">
        <v>81</v>
      </c>
      <c r="H88" s="38" t="s">
        <v>169</v>
      </c>
      <c r="I88" s="40" t="s">
        <v>433</v>
      </c>
      <c r="J88" s="39"/>
      <c r="K88" s="43" t="str">
        <f>"202,5"</f>
        <v>202,5</v>
      </c>
      <c r="L88" s="31" t="str">
        <f>"117,4106"</f>
        <v>117,4106</v>
      </c>
      <c r="M88" s="29"/>
    </row>
    <row r="89" spans="1:13">
      <c r="A89" s="37" t="s">
        <v>39</v>
      </c>
      <c r="B89" s="26" t="s">
        <v>805</v>
      </c>
      <c r="C89" s="26" t="s">
        <v>1184</v>
      </c>
      <c r="D89" s="26" t="s">
        <v>806</v>
      </c>
      <c r="E89" s="27" t="s">
        <v>1294</v>
      </c>
      <c r="F89" s="26" t="s">
        <v>1279</v>
      </c>
      <c r="G89" s="35" t="s">
        <v>79</v>
      </c>
      <c r="H89" s="35" t="s">
        <v>91</v>
      </c>
      <c r="I89" s="35" t="s">
        <v>80</v>
      </c>
      <c r="J89" s="37"/>
      <c r="K89" s="44" t="str">
        <f>"180,0"</f>
        <v>180,0</v>
      </c>
      <c r="L89" s="28" t="str">
        <f>"115,6653"</f>
        <v>115,6653</v>
      </c>
      <c r="M89" s="26"/>
    </row>
    <row r="91" spans="1:13" ht="16">
      <c r="A91" s="81" t="s">
        <v>661</v>
      </c>
      <c r="B91" s="81"/>
      <c r="C91" s="82"/>
      <c r="D91" s="82"/>
      <c r="E91" s="82"/>
      <c r="F91" s="82"/>
      <c r="G91" s="82"/>
      <c r="H91" s="82"/>
      <c r="I91" s="82"/>
      <c r="J91" s="82"/>
    </row>
    <row r="92" spans="1:13">
      <c r="A92" s="33" t="s">
        <v>39</v>
      </c>
      <c r="B92" s="23" t="s">
        <v>807</v>
      </c>
      <c r="C92" s="23" t="s">
        <v>808</v>
      </c>
      <c r="D92" s="23" t="s">
        <v>809</v>
      </c>
      <c r="E92" s="24" t="s">
        <v>1292</v>
      </c>
      <c r="F92" s="23" t="s">
        <v>268</v>
      </c>
      <c r="G92" s="32" t="s">
        <v>18</v>
      </c>
      <c r="H92" s="32" t="s">
        <v>19</v>
      </c>
      <c r="I92" s="34" t="s">
        <v>118</v>
      </c>
      <c r="J92" s="33"/>
      <c r="K92" s="42" t="str">
        <f>"182,5"</f>
        <v>182,5</v>
      </c>
      <c r="L92" s="25" t="str">
        <f>"102,3825"</f>
        <v>102,3825</v>
      </c>
      <c r="M92" s="23" t="s">
        <v>810</v>
      </c>
    </row>
    <row r="93" spans="1:13">
      <c r="A93" s="39" t="s">
        <v>219</v>
      </c>
      <c r="B93" s="29" t="s">
        <v>811</v>
      </c>
      <c r="C93" s="29" t="s">
        <v>812</v>
      </c>
      <c r="D93" s="29" t="s">
        <v>813</v>
      </c>
      <c r="E93" s="30" t="s">
        <v>1292</v>
      </c>
      <c r="F93" s="29" t="s">
        <v>589</v>
      </c>
      <c r="G93" s="38" t="s">
        <v>53</v>
      </c>
      <c r="H93" s="38" t="s">
        <v>72</v>
      </c>
      <c r="I93" s="38" t="s">
        <v>102</v>
      </c>
      <c r="J93" s="39"/>
      <c r="K93" s="43" t="str">
        <f>"125,0"</f>
        <v>125,0</v>
      </c>
      <c r="L93" s="31" t="str">
        <f>"70,5875"</f>
        <v>70,5875</v>
      </c>
      <c r="M93" s="29" t="s">
        <v>703</v>
      </c>
    </row>
    <row r="94" spans="1:13">
      <c r="A94" s="37" t="s">
        <v>39</v>
      </c>
      <c r="B94" s="26" t="s">
        <v>814</v>
      </c>
      <c r="C94" s="26" t="s">
        <v>1185</v>
      </c>
      <c r="D94" s="26" t="s">
        <v>815</v>
      </c>
      <c r="E94" s="27" t="s">
        <v>1298</v>
      </c>
      <c r="F94" s="26" t="s">
        <v>71</v>
      </c>
      <c r="G94" s="35" t="s">
        <v>83</v>
      </c>
      <c r="H94" s="35" t="s">
        <v>18</v>
      </c>
      <c r="I94" s="36" t="s">
        <v>80</v>
      </c>
      <c r="J94" s="37"/>
      <c r="K94" s="44" t="str">
        <f>"175,0"</f>
        <v>175,0</v>
      </c>
      <c r="L94" s="28" t="str">
        <f>"130,1112"</f>
        <v>130,1112</v>
      </c>
      <c r="M94" s="26"/>
    </row>
    <row r="98" spans="2:13" ht="18">
      <c r="B98" s="11" t="s">
        <v>30</v>
      </c>
      <c r="C98" s="11"/>
      <c r="E98" s="5"/>
      <c r="F98" s="3"/>
      <c r="G98" s="5"/>
      <c r="M98" s="6"/>
    </row>
    <row r="99" spans="2:13" ht="16">
      <c r="B99" s="12" t="s">
        <v>213</v>
      </c>
      <c r="C99" s="12"/>
      <c r="E99" s="5"/>
      <c r="F99" s="3"/>
      <c r="G99" s="5"/>
      <c r="M99" s="6"/>
    </row>
    <row r="100" spans="2:13" ht="14">
      <c r="B100" s="13"/>
      <c r="C100" s="14" t="s">
        <v>32</v>
      </c>
      <c r="E100" s="5"/>
      <c r="F100" s="3"/>
      <c r="G100" s="5"/>
      <c r="M100" s="6"/>
    </row>
    <row r="101" spans="2:13" ht="14">
      <c r="B101" s="15" t="s">
        <v>33</v>
      </c>
      <c r="C101" s="15" t="s">
        <v>34</v>
      </c>
      <c r="D101" s="15" t="s">
        <v>1139</v>
      </c>
      <c r="E101" s="15" t="s">
        <v>37</v>
      </c>
      <c r="F101" s="16" t="s">
        <v>665</v>
      </c>
      <c r="G101" s="3"/>
      <c r="M101" s="6"/>
    </row>
    <row r="102" spans="2:13">
      <c r="B102" s="5" t="s">
        <v>237</v>
      </c>
      <c r="C102" s="5" t="s">
        <v>32</v>
      </c>
      <c r="D102" s="18" t="s">
        <v>480</v>
      </c>
      <c r="E102" s="17">
        <v>101.00700289011</v>
      </c>
      <c r="F102" s="19">
        <v>72.5</v>
      </c>
      <c r="G102" s="3"/>
      <c r="M102" s="6"/>
    </row>
    <row r="103" spans="2:13">
      <c r="B103" s="5" t="s">
        <v>696</v>
      </c>
      <c r="C103" s="5" t="s">
        <v>32</v>
      </c>
      <c r="D103" s="18" t="s">
        <v>481</v>
      </c>
      <c r="E103" s="17">
        <v>98.634002804756193</v>
      </c>
      <c r="F103" s="19">
        <v>85</v>
      </c>
      <c r="G103" s="3"/>
      <c r="M103" s="6"/>
    </row>
    <row r="104" spans="2:13">
      <c r="B104" s="5" t="s">
        <v>672</v>
      </c>
      <c r="C104" s="5" t="s">
        <v>32</v>
      </c>
      <c r="D104" s="18" t="s">
        <v>478</v>
      </c>
      <c r="E104" s="17">
        <v>98.510253429412799</v>
      </c>
      <c r="F104" s="19">
        <v>77.5</v>
      </c>
      <c r="G104" s="3"/>
      <c r="M104" s="6"/>
    </row>
    <row r="105" spans="2:13">
      <c r="E105" s="5"/>
      <c r="F105" s="10"/>
      <c r="G105" s="3"/>
      <c r="M105" s="6"/>
    </row>
    <row r="106" spans="2:13" ht="16">
      <c r="B106" s="12" t="s">
        <v>31</v>
      </c>
      <c r="C106" s="12"/>
      <c r="E106" s="5"/>
      <c r="F106" s="10"/>
      <c r="G106" s="3"/>
      <c r="M106" s="6"/>
    </row>
    <row r="107" spans="2:13" ht="14">
      <c r="B107" s="13"/>
      <c r="C107" s="14" t="s">
        <v>32</v>
      </c>
      <c r="E107" s="5"/>
      <c r="F107" s="10"/>
      <c r="G107" s="3"/>
      <c r="M107" s="6"/>
    </row>
    <row r="108" spans="2:13" ht="14">
      <c r="B108" s="15" t="s">
        <v>33</v>
      </c>
      <c r="C108" s="15" t="s">
        <v>34</v>
      </c>
      <c r="D108" s="15" t="s">
        <v>1139</v>
      </c>
      <c r="E108" s="15" t="s">
        <v>37</v>
      </c>
      <c r="F108" s="16" t="s">
        <v>665</v>
      </c>
      <c r="G108" s="3"/>
      <c r="M108" s="6"/>
    </row>
    <row r="109" spans="2:13">
      <c r="B109" s="5" t="s">
        <v>744</v>
      </c>
      <c r="C109" s="5" t="s">
        <v>32</v>
      </c>
      <c r="D109" s="18" t="s">
        <v>38</v>
      </c>
      <c r="E109" s="17">
        <v>130.20700111985201</v>
      </c>
      <c r="F109" s="19">
        <v>192.5</v>
      </c>
      <c r="G109" s="3"/>
      <c r="M109" s="6"/>
    </row>
    <row r="110" spans="2:13">
      <c r="B110" s="5" t="s">
        <v>796</v>
      </c>
      <c r="C110" s="5" t="s">
        <v>32</v>
      </c>
      <c r="D110" s="18" t="s">
        <v>816</v>
      </c>
      <c r="E110" s="17">
        <v>119.993997216225</v>
      </c>
      <c r="F110" s="19">
        <v>210</v>
      </c>
      <c r="G110" s="3"/>
      <c r="M110" s="6"/>
    </row>
    <row r="111" spans="2:13">
      <c r="B111" s="5" t="s">
        <v>734</v>
      </c>
      <c r="C111" s="5" t="s">
        <v>32</v>
      </c>
      <c r="D111" s="18" t="s">
        <v>215</v>
      </c>
      <c r="E111" s="17">
        <v>118.514996767044</v>
      </c>
      <c r="F111" s="19">
        <v>150</v>
      </c>
      <c r="G111" s="3"/>
      <c r="M111" s="6"/>
    </row>
    <row r="112" spans="2:13">
      <c r="E112" s="5"/>
      <c r="F112" s="10"/>
      <c r="G112" s="3"/>
      <c r="M112" s="6"/>
    </row>
    <row r="113" spans="2:13" ht="14">
      <c r="B113" s="13"/>
      <c r="C113" s="14" t="s">
        <v>216</v>
      </c>
      <c r="E113" s="5"/>
      <c r="F113" s="10"/>
      <c r="G113" s="3"/>
      <c r="M113" s="6"/>
    </row>
    <row r="114" spans="2:13" ht="14">
      <c r="B114" s="15" t="s">
        <v>33</v>
      </c>
      <c r="C114" s="15" t="s">
        <v>34</v>
      </c>
      <c r="D114" s="15" t="s">
        <v>1139</v>
      </c>
      <c r="E114" s="15" t="s">
        <v>37</v>
      </c>
      <c r="F114" s="16" t="s">
        <v>665</v>
      </c>
      <c r="G114" s="3"/>
      <c r="M114" s="6"/>
    </row>
    <row r="115" spans="2:13">
      <c r="B115" s="5" t="s">
        <v>744</v>
      </c>
      <c r="C115" s="5" t="s">
        <v>1186</v>
      </c>
      <c r="D115" s="18" t="s">
        <v>38</v>
      </c>
      <c r="E115" s="17">
        <v>145.05059924751501</v>
      </c>
      <c r="F115" s="19">
        <v>192.5</v>
      </c>
      <c r="G115" s="3"/>
      <c r="M115" s="6"/>
    </row>
    <row r="116" spans="2:13">
      <c r="B116" s="5" t="s">
        <v>814</v>
      </c>
      <c r="C116" s="5" t="s">
        <v>1187</v>
      </c>
      <c r="D116" s="18" t="s">
        <v>817</v>
      </c>
      <c r="E116" s="17">
        <v>130.111236160994</v>
      </c>
      <c r="F116" s="19">
        <v>175</v>
      </c>
      <c r="G116" s="3"/>
      <c r="M116" s="6"/>
    </row>
    <row r="117" spans="2:13">
      <c r="B117" s="5" t="s">
        <v>803</v>
      </c>
      <c r="C117" s="5" t="s">
        <v>1158</v>
      </c>
      <c r="D117" s="18" t="s">
        <v>816</v>
      </c>
      <c r="E117" s="17">
        <v>117.410551668406</v>
      </c>
      <c r="F117" s="19">
        <v>202.5</v>
      </c>
      <c r="G117" s="3"/>
      <c r="M117" s="6"/>
    </row>
    <row r="118" spans="2:13">
      <c r="E118" s="5"/>
      <c r="F118" s="10"/>
      <c r="G118" s="5"/>
      <c r="M118" s="6"/>
    </row>
  </sheetData>
  <mergeCells count="29">
    <mergeCell ref="A65:J65"/>
    <mergeCell ref="A70:J70"/>
    <mergeCell ref="A81:J81"/>
    <mergeCell ref="A85:J85"/>
    <mergeCell ref="A91:J91"/>
    <mergeCell ref="A50:J50"/>
    <mergeCell ref="A55:J55"/>
    <mergeCell ref="A9:J9"/>
    <mergeCell ref="A13:J13"/>
    <mergeCell ref="A20:J20"/>
    <mergeCell ref="A23:J23"/>
    <mergeCell ref="A26:J26"/>
    <mergeCell ref="A30:J30"/>
    <mergeCell ref="A33:J33"/>
    <mergeCell ref="A36:J36"/>
    <mergeCell ref="A40:J40"/>
    <mergeCell ref="A45:J4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B3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7037-6A3B-47CA-BC56-18E77B013529}">
  <dimension ref="A1:M85"/>
  <sheetViews>
    <sheetView topLeftCell="A30" zoomScaleNormal="100" workbookViewId="0">
      <selection activeCell="E71" sqref="E71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664062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68" t="s">
        <v>1260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236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535</v>
      </c>
      <c r="C6" s="7" t="s">
        <v>536</v>
      </c>
      <c r="D6" s="7" t="s">
        <v>537</v>
      </c>
      <c r="E6" s="8" t="s">
        <v>1292</v>
      </c>
      <c r="F6" s="7" t="s">
        <v>71</v>
      </c>
      <c r="G6" s="20" t="s">
        <v>73</v>
      </c>
      <c r="H6" s="20" t="s">
        <v>47</v>
      </c>
      <c r="I6" s="21" t="s">
        <v>64</v>
      </c>
      <c r="J6" s="22"/>
      <c r="K6" s="9" t="str">
        <f>"85,0"</f>
        <v>85,0</v>
      </c>
      <c r="L6" s="9" t="str">
        <f>"112,5740"</f>
        <v>112,5740</v>
      </c>
      <c r="M6" s="7" t="s">
        <v>538</v>
      </c>
    </row>
    <row r="8" spans="1:13" ht="16">
      <c r="A8" s="81" t="s">
        <v>278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22" t="s">
        <v>39</v>
      </c>
      <c r="B9" s="7" t="s">
        <v>539</v>
      </c>
      <c r="C9" s="7" t="s">
        <v>540</v>
      </c>
      <c r="D9" s="7" t="s">
        <v>541</v>
      </c>
      <c r="E9" s="8" t="s">
        <v>1292</v>
      </c>
      <c r="F9" s="7" t="s">
        <v>268</v>
      </c>
      <c r="G9" s="20" t="s">
        <v>60</v>
      </c>
      <c r="H9" s="20" t="s">
        <v>61</v>
      </c>
      <c r="I9" s="20" t="s">
        <v>46</v>
      </c>
      <c r="J9" s="22"/>
      <c r="K9" s="9" t="str">
        <f>"80,0"</f>
        <v>80,0</v>
      </c>
      <c r="L9" s="9" t="str">
        <f>"91,4560"</f>
        <v>91,4560</v>
      </c>
      <c r="M9" s="7" t="s">
        <v>542</v>
      </c>
    </row>
    <row r="11" spans="1:13" ht="16">
      <c r="A11" s="81" t="s">
        <v>41</v>
      </c>
      <c r="B11" s="81"/>
      <c r="C11" s="82"/>
      <c r="D11" s="82"/>
      <c r="E11" s="82"/>
      <c r="F11" s="82"/>
      <c r="G11" s="82"/>
      <c r="H11" s="82"/>
      <c r="I11" s="82"/>
      <c r="J11" s="82"/>
    </row>
    <row r="12" spans="1:13">
      <c r="A12" s="33" t="s">
        <v>39</v>
      </c>
      <c r="B12" s="23" t="s">
        <v>543</v>
      </c>
      <c r="C12" s="23" t="s">
        <v>544</v>
      </c>
      <c r="D12" s="23" t="s">
        <v>44</v>
      </c>
      <c r="E12" s="24" t="s">
        <v>1292</v>
      </c>
      <c r="F12" s="23" t="s">
        <v>71</v>
      </c>
      <c r="G12" s="32" t="s">
        <v>53</v>
      </c>
      <c r="H12" s="32" t="s">
        <v>299</v>
      </c>
      <c r="I12" s="34" t="s">
        <v>545</v>
      </c>
      <c r="J12" s="33"/>
      <c r="K12" s="25" t="str">
        <f>"117,5"</f>
        <v>117,5</v>
      </c>
      <c r="L12" s="25" t="str">
        <f>"120,3083"</f>
        <v>120,3083</v>
      </c>
      <c r="M12" s="23" t="s">
        <v>546</v>
      </c>
    </row>
    <row r="13" spans="1:13">
      <c r="A13" s="37" t="s">
        <v>39</v>
      </c>
      <c r="B13" s="26" t="s">
        <v>543</v>
      </c>
      <c r="C13" s="26" t="s">
        <v>1188</v>
      </c>
      <c r="D13" s="26" t="s">
        <v>44</v>
      </c>
      <c r="E13" s="27" t="s">
        <v>1295</v>
      </c>
      <c r="F13" s="26" t="s">
        <v>71</v>
      </c>
      <c r="G13" s="35" t="s">
        <v>53</v>
      </c>
      <c r="H13" s="35" t="s">
        <v>299</v>
      </c>
      <c r="I13" s="36" t="s">
        <v>545</v>
      </c>
      <c r="J13" s="37"/>
      <c r="K13" s="28" t="str">
        <f>"117,5"</f>
        <v>117,5</v>
      </c>
      <c r="L13" s="28" t="str">
        <f>"125,6018"</f>
        <v>125,6018</v>
      </c>
      <c r="M13" s="26" t="s">
        <v>546</v>
      </c>
    </row>
    <row r="15" spans="1:13" ht="16">
      <c r="A15" s="81" t="s">
        <v>67</v>
      </c>
      <c r="B15" s="81"/>
      <c r="C15" s="82"/>
      <c r="D15" s="82"/>
      <c r="E15" s="82"/>
      <c r="F15" s="82"/>
      <c r="G15" s="82"/>
      <c r="H15" s="82"/>
      <c r="I15" s="82"/>
      <c r="J15" s="82"/>
    </row>
    <row r="16" spans="1:13">
      <c r="A16" s="22" t="s">
        <v>39</v>
      </c>
      <c r="B16" s="7" t="s">
        <v>547</v>
      </c>
      <c r="C16" s="7" t="s">
        <v>548</v>
      </c>
      <c r="D16" s="7" t="s">
        <v>549</v>
      </c>
      <c r="E16" s="8" t="s">
        <v>1292</v>
      </c>
      <c r="F16" s="7" t="s">
        <v>117</v>
      </c>
      <c r="G16" s="20" t="s">
        <v>75</v>
      </c>
      <c r="H16" s="21" t="s">
        <v>98</v>
      </c>
      <c r="I16" s="21" t="s">
        <v>110</v>
      </c>
      <c r="J16" s="22"/>
      <c r="K16" s="9" t="str">
        <f>"140,0"</f>
        <v>140,0</v>
      </c>
      <c r="L16" s="9" t="str">
        <f>"100,2260"</f>
        <v>100,2260</v>
      </c>
      <c r="M16" s="7"/>
    </row>
    <row r="18" spans="1:13" ht="16">
      <c r="A18" s="81" t="s">
        <v>10</v>
      </c>
      <c r="B18" s="81"/>
      <c r="C18" s="82"/>
      <c r="D18" s="82"/>
      <c r="E18" s="82"/>
      <c r="F18" s="82"/>
      <c r="G18" s="82"/>
      <c r="H18" s="82"/>
      <c r="I18" s="82"/>
      <c r="J18" s="82"/>
    </row>
    <row r="19" spans="1:13">
      <c r="A19" s="33" t="s">
        <v>39</v>
      </c>
      <c r="B19" s="23" t="s">
        <v>550</v>
      </c>
      <c r="C19" s="23" t="s">
        <v>551</v>
      </c>
      <c r="D19" s="23" t="s">
        <v>552</v>
      </c>
      <c r="E19" s="24" t="s">
        <v>1292</v>
      </c>
      <c r="F19" s="46" t="s">
        <v>553</v>
      </c>
      <c r="G19" s="52" t="s">
        <v>433</v>
      </c>
      <c r="H19" s="32" t="s">
        <v>109</v>
      </c>
      <c r="I19" s="53" t="s">
        <v>125</v>
      </c>
      <c r="J19" s="49"/>
      <c r="K19" s="25" t="str">
        <f>"220,0"</f>
        <v>220,0</v>
      </c>
      <c r="L19" s="25" t="str">
        <f>"151,2720"</f>
        <v>151,2720</v>
      </c>
      <c r="M19" s="23"/>
    </row>
    <row r="20" spans="1:13">
      <c r="A20" s="39" t="s">
        <v>219</v>
      </c>
      <c r="B20" s="29" t="s">
        <v>554</v>
      </c>
      <c r="C20" s="29" t="s">
        <v>555</v>
      </c>
      <c r="D20" s="29" t="s">
        <v>556</v>
      </c>
      <c r="E20" s="30" t="s">
        <v>1292</v>
      </c>
      <c r="F20" s="47" t="s">
        <v>553</v>
      </c>
      <c r="G20" s="54" t="s">
        <v>81</v>
      </c>
      <c r="H20" s="38" t="s">
        <v>84</v>
      </c>
      <c r="I20" s="55" t="s">
        <v>169</v>
      </c>
      <c r="J20" s="50"/>
      <c r="K20" s="31" t="str">
        <f>"202,5"</f>
        <v>202,5</v>
      </c>
      <c r="L20" s="31" t="str">
        <f>"136,2623"</f>
        <v>136,2623</v>
      </c>
      <c r="M20" s="29"/>
    </row>
    <row r="21" spans="1:13">
      <c r="A21" s="39" t="s">
        <v>220</v>
      </c>
      <c r="B21" s="29" t="s">
        <v>557</v>
      </c>
      <c r="C21" s="29" t="s">
        <v>558</v>
      </c>
      <c r="D21" s="29" t="s">
        <v>559</v>
      </c>
      <c r="E21" s="30" t="s">
        <v>1292</v>
      </c>
      <c r="F21" s="47" t="s">
        <v>560</v>
      </c>
      <c r="G21" s="54" t="s">
        <v>19</v>
      </c>
      <c r="H21" s="40" t="s">
        <v>118</v>
      </c>
      <c r="I21" s="55" t="s">
        <v>195</v>
      </c>
      <c r="J21" s="50"/>
      <c r="K21" s="31" t="str">
        <f>"192,5"</f>
        <v>192,5</v>
      </c>
      <c r="L21" s="31" t="str">
        <f>"130,3995"</f>
        <v>130,3995</v>
      </c>
      <c r="M21" s="29"/>
    </row>
    <row r="22" spans="1:13">
      <c r="A22" s="39" t="s">
        <v>221</v>
      </c>
      <c r="B22" s="29" t="s">
        <v>561</v>
      </c>
      <c r="C22" s="29" t="s">
        <v>562</v>
      </c>
      <c r="D22" s="29" t="s">
        <v>563</v>
      </c>
      <c r="E22" s="30" t="s">
        <v>1292</v>
      </c>
      <c r="F22" s="47" t="s">
        <v>564</v>
      </c>
      <c r="G22" s="54" t="s">
        <v>118</v>
      </c>
      <c r="H22" s="38" t="s">
        <v>195</v>
      </c>
      <c r="I22" s="56" t="s">
        <v>404</v>
      </c>
      <c r="J22" s="50"/>
      <c r="K22" s="31" t="str">
        <f>"192,5"</f>
        <v>192,5</v>
      </c>
      <c r="L22" s="31" t="str">
        <f>"130,2070"</f>
        <v>130,2070</v>
      </c>
      <c r="M22" s="29" t="s">
        <v>282</v>
      </c>
    </row>
    <row r="23" spans="1:13">
      <c r="A23" s="39" t="s">
        <v>222</v>
      </c>
      <c r="B23" s="29" t="s">
        <v>87</v>
      </c>
      <c r="C23" s="29" t="s">
        <v>88</v>
      </c>
      <c r="D23" s="29" t="s">
        <v>89</v>
      </c>
      <c r="E23" s="30" t="s">
        <v>1292</v>
      </c>
      <c r="F23" s="47" t="s">
        <v>45</v>
      </c>
      <c r="G23" s="54" t="s">
        <v>91</v>
      </c>
      <c r="H23" s="38" t="s">
        <v>80</v>
      </c>
      <c r="I23" s="55" t="s">
        <v>92</v>
      </c>
      <c r="J23" s="50"/>
      <c r="K23" s="31" t="str">
        <f>"185,0"</f>
        <v>185,0</v>
      </c>
      <c r="L23" s="31" t="str">
        <f>"124,3940"</f>
        <v>124,3940</v>
      </c>
      <c r="M23" s="29" t="s">
        <v>282</v>
      </c>
    </row>
    <row r="24" spans="1:13">
      <c r="A24" s="39" t="s">
        <v>223</v>
      </c>
      <c r="B24" s="29" t="s">
        <v>565</v>
      </c>
      <c r="C24" s="29" t="s">
        <v>566</v>
      </c>
      <c r="D24" s="29" t="s">
        <v>96</v>
      </c>
      <c r="E24" s="30" t="s">
        <v>1292</v>
      </c>
      <c r="F24" s="47" t="s">
        <v>175</v>
      </c>
      <c r="G24" s="54" t="s">
        <v>75</v>
      </c>
      <c r="H24" s="38" t="s">
        <v>373</v>
      </c>
      <c r="I24" s="55" t="s">
        <v>317</v>
      </c>
      <c r="J24" s="50"/>
      <c r="K24" s="31" t="str">
        <f>"152,5"</f>
        <v>152,5</v>
      </c>
      <c r="L24" s="31" t="str">
        <f>"102,7698"</f>
        <v>102,7698</v>
      </c>
      <c r="M24" s="29" t="s">
        <v>567</v>
      </c>
    </row>
    <row r="25" spans="1:13">
      <c r="A25" s="39" t="s">
        <v>483</v>
      </c>
      <c r="B25" s="29" t="s">
        <v>568</v>
      </c>
      <c r="C25" s="29" t="s">
        <v>569</v>
      </c>
      <c r="D25" s="29" t="s">
        <v>570</v>
      </c>
      <c r="E25" s="30" t="s">
        <v>1292</v>
      </c>
      <c r="F25" s="47" t="s">
        <v>571</v>
      </c>
      <c r="G25" s="54" t="s">
        <v>75</v>
      </c>
      <c r="H25" s="40" t="s">
        <v>98</v>
      </c>
      <c r="I25" s="55" t="s">
        <v>98</v>
      </c>
      <c r="J25" s="50"/>
      <c r="K25" s="31" t="str">
        <f>"150,0"</f>
        <v>150,0</v>
      </c>
      <c r="L25" s="31" t="str">
        <f>"101,6850"</f>
        <v>101,6850</v>
      </c>
      <c r="M25" s="29" t="s">
        <v>450</v>
      </c>
    </row>
    <row r="26" spans="1:13">
      <c r="A26" s="39" t="s">
        <v>484</v>
      </c>
      <c r="B26" s="29" t="s">
        <v>572</v>
      </c>
      <c r="C26" s="29" t="s">
        <v>573</v>
      </c>
      <c r="D26" s="29" t="s">
        <v>386</v>
      </c>
      <c r="E26" s="30" t="s">
        <v>1292</v>
      </c>
      <c r="F26" s="47" t="s">
        <v>574</v>
      </c>
      <c r="G26" s="54" t="s">
        <v>287</v>
      </c>
      <c r="H26" s="38" t="s">
        <v>372</v>
      </c>
      <c r="I26" s="55" t="s">
        <v>98</v>
      </c>
      <c r="J26" s="50"/>
      <c r="K26" s="31" t="str">
        <f>"150,0"</f>
        <v>150,0</v>
      </c>
      <c r="L26" s="31" t="str">
        <f>"101,3850"</f>
        <v>101,3850</v>
      </c>
      <c r="M26" s="29" t="s">
        <v>575</v>
      </c>
    </row>
    <row r="27" spans="1:13">
      <c r="A27" s="39" t="s">
        <v>39</v>
      </c>
      <c r="B27" s="29" t="s">
        <v>576</v>
      </c>
      <c r="C27" s="29" t="s">
        <v>1189</v>
      </c>
      <c r="D27" s="29" t="s">
        <v>386</v>
      </c>
      <c r="E27" s="30" t="s">
        <v>1294</v>
      </c>
      <c r="F27" s="47" t="s">
        <v>157</v>
      </c>
      <c r="G27" s="57" t="s">
        <v>176</v>
      </c>
      <c r="H27" s="38" t="s">
        <v>176</v>
      </c>
      <c r="I27" s="55" t="s">
        <v>83</v>
      </c>
      <c r="J27" s="50"/>
      <c r="K27" s="31" t="str">
        <f>"170,0"</f>
        <v>170,0</v>
      </c>
      <c r="L27" s="31" t="str">
        <f>"130,0702"</f>
        <v>130,0702</v>
      </c>
      <c r="M27" s="29"/>
    </row>
    <row r="28" spans="1:13">
      <c r="A28" s="37" t="s">
        <v>39</v>
      </c>
      <c r="B28" s="26" t="s">
        <v>579</v>
      </c>
      <c r="C28" s="26" t="s">
        <v>1190</v>
      </c>
      <c r="D28" s="26" t="s">
        <v>580</v>
      </c>
      <c r="E28" s="27" t="s">
        <v>1298</v>
      </c>
      <c r="F28" s="48" t="s">
        <v>1283</v>
      </c>
      <c r="G28" s="58" t="s">
        <v>187</v>
      </c>
      <c r="H28" s="35" t="s">
        <v>98</v>
      </c>
      <c r="I28" s="59" t="s">
        <v>110</v>
      </c>
      <c r="J28" s="51"/>
      <c r="K28" s="28" t="str">
        <f>"155,0"</f>
        <v>155,0</v>
      </c>
      <c r="L28" s="28" t="str">
        <f>"143,7757"</f>
        <v>143,7757</v>
      </c>
      <c r="M28" s="26" t="s">
        <v>581</v>
      </c>
    </row>
    <row r="30" spans="1:13" ht="16">
      <c r="A30" s="81" t="s">
        <v>113</v>
      </c>
      <c r="B30" s="81"/>
      <c r="C30" s="82"/>
      <c r="D30" s="82"/>
      <c r="E30" s="82"/>
      <c r="F30" s="82"/>
      <c r="G30" s="82"/>
      <c r="H30" s="82"/>
      <c r="I30" s="82"/>
      <c r="J30" s="82"/>
    </row>
    <row r="31" spans="1:13">
      <c r="A31" s="33" t="s">
        <v>39</v>
      </c>
      <c r="B31" s="23" t="s">
        <v>582</v>
      </c>
      <c r="C31" s="23" t="s">
        <v>583</v>
      </c>
      <c r="D31" s="23" t="s">
        <v>584</v>
      </c>
      <c r="E31" s="24" t="s">
        <v>1292</v>
      </c>
      <c r="F31" s="23" t="s">
        <v>585</v>
      </c>
      <c r="G31" s="32" t="s">
        <v>83</v>
      </c>
      <c r="H31" s="32" t="s">
        <v>80</v>
      </c>
      <c r="I31" s="34" t="s">
        <v>118</v>
      </c>
      <c r="J31" s="33"/>
      <c r="K31" s="25" t="str">
        <f>"180,0"</f>
        <v>180,0</v>
      </c>
      <c r="L31" s="25" t="str">
        <f>"116,4780"</f>
        <v>116,4780</v>
      </c>
      <c r="M31" s="23" t="s">
        <v>586</v>
      </c>
    </row>
    <row r="32" spans="1:13">
      <c r="A32" s="39" t="s">
        <v>219</v>
      </c>
      <c r="B32" s="29" t="s">
        <v>587</v>
      </c>
      <c r="C32" s="29" t="s">
        <v>588</v>
      </c>
      <c r="D32" s="29" t="s">
        <v>432</v>
      </c>
      <c r="E32" s="30" t="s">
        <v>1292</v>
      </c>
      <c r="F32" s="29" t="s">
        <v>589</v>
      </c>
      <c r="G32" s="38" t="s">
        <v>111</v>
      </c>
      <c r="H32" s="40" t="s">
        <v>18</v>
      </c>
      <c r="I32" s="40" t="s">
        <v>18</v>
      </c>
      <c r="J32" s="39"/>
      <c r="K32" s="31" t="str">
        <f>"165,0"</f>
        <v>165,0</v>
      </c>
      <c r="L32" s="31" t="str">
        <f>"108,6195"</f>
        <v>108,6195</v>
      </c>
      <c r="M32" s="29"/>
    </row>
    <row r="33" spans="1:13">
      <c r="A33" s="39" t="s">
        <v>220</v>
      </c>
      <c r="B33" s="29" t="s">
        <v>590</v>
      </c>
      <c r="C33" s="29" t="s">
        <v>591</v>
      </c>
      <c r="D33" s="29" t="s">
        <v>419</v>
      </c>
      <c r="E33" s="30" t="s">
        <v>1292</v>
      </c>
      <c r="F33" s="29" t="s">
        <v>358</v>
      </c>
      <c r="G33" s="38" t="s">
        <v>79</v>
      </c>
      <c r="H33" s="38" t="s">
        <v>111</v>
      </c>
      <c r="I33" s="40" t="s">
        <v>83</v>
      </c>
      <c r="J33" s="39"/>
      <c r="K33" s="31" t="str">
        <f>"165,0"</f>
        <v>165,0</v>
      </c>
      <c r="L33" s="31" t="str">
        <f>"105,8805"</f>
        <v>105,8805</v>
      </c>
      <c r="M33" s="29"/>
    </row>
    <row r="34" spans="1:13">
      <c r="A34" s="39" t="s">
        <v>221</v>
      </c>
      <c r="B34" s="29" t="s">
        <v>592</v>
      </c>
      <c r="C34" s="29" t="s">
        <v>593</v>
      </c>
      <c r="D34" s="29" t="s">
        <v>594</v>
      </c>
      <c r="E34" s="30" t="s">
        <v>1292</v>
      </c>
      <c r="F34" s="29" t="s">
        <v>363</v>
      </c>
      <c r="G34" s="38" t="s">
        <v>373</v>
      </c>
      <c r="H34" s="40" t="s">
        <v>317</v>
      </c>
      <c r="I34" s="38" t="s">
        <v>317</v>
      </c>
      <c r="J34" s="39"/>
      <c r="K34" s="31" t="str">
        <f>"152,5"</f>
        <v>152,5</v>
      </c>
      <c r="L34" s="31" t="str">
        <f>"99,1098"</f>
        <v>99,1098</v>
      </c>
      <c r="M34" s="29" t="s">
        <v>595</v>
      </c>
    </row>
    <row r="35" spans="1:13">
      <c r="A35" s="39" t="s">
        <v>39</v>
      </c>
      <c r="B35" s="29" t="s">
        <v>596</v>
      </c>
      <c r="C35" s="29" t="s">
        <v>1191</v>
      </c>
      <c r="D35" s="29" t="s">
        <v>597</v>
      </c>
      <c r="E35" s="30" t="s">
        <v>1295</v>
      </c>
      <c r="F35" s="29" t="s">
        <v>97</v>
      </c>
      <c r="G35" s="38" t="s">
        <v>317</v>
      </c>
      <c r="H35" s="38" t="s">
        <v>79</v>
      </c>
      <c r="I35" s="39"/>
      <c r="J35" s="39"/>
      <c r="K35" s="31" t="str">
        <f>"160,0"</f>
        <v>160,0</v>
      </c>
      <c r="L35" s="31" t="str">
        <f>"107,0726"</f>
        <v>107,0726</v>
      </c>
      <c r="M35" s="29" t="s">
        <v>598</v>
      </c>
    </row>
    <row r="36" spans="1:13">
      <c r="A36" s="37" t="s">
        <v>39</v>
      </c>
      <c r="B36" s="26" t="s">
        <v>599</v>
      </c>
      <c r="C36" s="26" t="s">
        <v>1192</v>
      </c>
      <c r="D36" s="26" t="s">
        <v>600</v>
      </c>
      <c r="E36" s="27" t="s">
        <v>1298</v>
      </c>
      <c r="F36" s="26" t="s">
        <v>601</v>
      </c>
      <c r="G36" s="35" t="s">
        <v>75</v>
      </c>
      <c r="H36" s="36" t="s">
        <v>187</v>
      </c>
      <c r="I36" s="36" t="s">
        <v>187</v>
      </c>
      <c r="J36" s="37"/>
      <c r="K36" s="28" t="str">
        <f>"140,0"</f>
        <v>140,0</v>
      </c>
      <c r="L36" s="28" t="str">
        <f>"117,3552"</f>
        <v>117,3552</v>
      </c>
      <c r="M36" s="26" t="s">
        <v>602</v>
      </c>
    </row>
    <row r="38" spans="1:13" ht="16">
      <c r="A38" s="81" t="s">
        <v>137</v>
      </c>
      <c r="B38" s="81"/>
      <c r="C38" s="82"/>
      <c r="D38" s="82"/>
      <c r="E38" s="82"/>
      <c r="F38" s="82"/>
      <c r="G38" s="82"/>
      <c r="H38" s="82"/>
      <c r="I38" s="82"/>
      <c r="J38" s="82"/>
    </row>
    <row r="39" spans="1:13">
      <c r="A39" s="33" t="s">
        <v>39</v>
      </c>
      <c r="B39" s="23" t="s">
        <v>603</v>
      </c>
      <c r="C39" s="23" t="s">
        <v>604</v>
      </c>
      <c r="D39" s="23" t="s">
        <v>605</v>
      </c>
      <c r="E39" s="24" t="s">
        <v>1292</v>
      </c>
      <c r="F39" s="23" t="s">
        <v>606</v>
      </c>
      <c r="G39" s="32" t="s">
        <v>112</v>
      </c>
      <c r="H39" s="34" t="s">
        <v>93</v>
      </c>
      <c r="I39" s="34" t="s">
        <v>93</v>
      </c>
      <c r="J39" s="33"/>
      <c r="K39" s="25" t="str">
        <f>"230,0"</f>
        <v>230,0</v>
      </c>
      <c r="L39" s="25" t="str">
        <f>"142,2780"</f>
        <v>142,2780</v>
      </c>
      <c r="M39" s="23"/>
    </row>
    <row r="40" spans="1:13">
      <c r="A40" s="39" t="s">
        <v>219</v>
      </c>
      <c r="B40" s="29" t="s">
        <v>607</v>
      </c>
      <c r="C40" s="29" t="s">
        <v>608</v>
      </c>
      <c r="D40" s="29" t="s">
        <v>609</v>
      </c>
      <c r="E40" s="30" t="s">
        <v>1292</v>
      </c>
      <c r="F40" s="29" t="s">
        <v>571</v>
      </c>
      <c r="G40" s="38" t="s">
        <v>433</v>
      </c>
      <c r="H40" s="38" t="s">
        <v>109</v>
      </c>
      <c r="I40" s="38" t="s">
        <v>125</v>
      </c>
      <c r="J40" s="39"/>
      <c r="K40" s="31" t="str">
        <f>"220,0"</f>
        <v>220,0</v>
      </c>
      <c r="L40" s="31" t="str">
        <f>"139,2820"</f>
        <v>139,2820</v>
      </c>
      <c r="M40" s="29" t="s">
        <v>450</v>
      </c>
    </row>
    <row r="41" spans="1:13">
      <c r="A41" s="39" t="s">
        <v>220</v>
      </c>
      <c r="B41" s="29" t="s">
        <v>610</v>
      </c>
      <c r="C41" s="29" t="s">
        <v>611</v>
      </c>
      <c r="D41" s="29" t="s">
        <v>180</v>
      </c>
      <c r="E41" s="30" t="s">
        <v>1292</v>
      </c>
      <c r="F41" s="29" t="s">
        <v>1283</v>
      </c>
      <c r="G41" s="38" t="s">
        <v>433</v>
      </c>
      <c r="H41" s="38" t="s">
        <v>380</v>
      </c>
      <c r="I41" s="40" t="s">
        <v>109</v>
      </c>
      <c r="J41" s="39"/>
      <c r="K41" s="31" t="str">
        <f>"212,5"</f>
        <v>212,5</v>
      </c>
      <c r="L41" s="31" t="str">
        <f>"129,3275"</f>
        <v>129,3275</v>
      </c>
      <c r="M41" s="29" t="s">
        <v>612</v>
      </c>
    </row>
    <row r="42" spans="1:13">
      <c r="A42" s="39" t="s">
        <v>221</v>
      </c>
      <c r="B42" s="29" t="s">
        <v>613</v>
      </c>
      <c r="C42" s="29" t="s">
        <v>614</v>
      </c>
      <c r="D42" s="29" t="s">
        <v>615</v>
      </c>
      <c r="E42" s="30" t="s">
        <v>1292</v>
      </c>
      <c r="F42" s="29" t="s">
        <v>358</v>
      </c>
      <c r="G42" s="38" t="s">
        <v>18</v>
      </c>
      <c r="H42" s="38" t="s">
        <v>92</v>
      </c>
      <c r="I42" s="38" t="s">
        <v>195</v>
      </c>
      <c r="J42" s="39"/>
      <c r="K42" s="31" t="str">
        <f>"192,5"</f>
        <v>192,5</v>
      </c>
      <c r="L42" s="31" t="str">
        <f>"117,5790"</f>
        <v>117,5790</v>
      </c>
      <c r="M42" s="29"/>
    </row>
    <row r="43" spans="1:13">
      <c r="A43" s="39" t="s">
        <v>222</v>
      </c>
      <c r="B43" s="29" t="s">
        <v>148</v>
      </c>
      <c r="C43" s="29" t="s">
        <v>149</v>
      </c>
      <c r="D43" s="29" t="s">
        <v>150</v>
      </c>
      <c r="E43" s="30" t="s">
        <v>1292</v>
      </c>
      <c r="F43" s="29" t="s">
        <v>71</v>
      </c>
      <c r="G43" s="38" t="s">
        <v>81</v>
      </c>
      <c r="H43" s="40" t="s">
        <v>151</v>
      </c>
      <c r="I43" s="40" t="s">
        <v>151</v>
      </c>
      <c r="J43" s="39"/>
      <c r="K43" s="31" t="str">
        <f>"190,0"</f>
        <v>190,0</v>
      </c>
      <c r="L43" s="31" t="str">
        <f>"116,2040"</f>
        <v>116,2040</v>
      </c>
      <c r="M43" s="29"/>
    </row>
    <row r="44" spans="1:13">
      <c r="A44" s="39" t="s">
        <v>223</v>
      </c>
      <c r="B44" s="29" t="s">
        <v>616</v>
      </c>
      <c r="C44" s="29" t="s">
        <v>617</v>
      </c>
      <c r="D44" s="29" t="s">
        <v>186</v>
      </c>
      <c r="E44" s="30" t="s">
        <v>1292</v>
      </c>
      <c r="F44" s="29" t="s">
        <v>618</v>
      </c>
      <c r="G44" s="38" t="s">
        <v>18</v>
      </c>
      <c r="H44" s="38" t="s">
        <v>92</v>
      </c>
      <c r="I44" s="40" t="s">
        <v>81</v>
      </c>
      <c r="J44" s="39"/>
      <c r="K44" s="31" t="str">
        <f>"185,0"</f>
        <v>185,0</v>
      </c>
      <c r="L44" s="31" t="str">
        <f>"112,9610"</f>
        <v>112,9610</v>
      </c>
      <c r="M44" s="29"/>
    </row>
    <row r="45" spans="1:13">
      <c r="A45" s="39" t="s">
        <v>483</v>
      </c>
      <c r="B45" s="29" t="s">
        <v>619</v>
      </c>
      <c r="C45" s="29" t="s">
        <v>620</v>
      </c>
      <c r="D45" s="29" t="s">
        <v>621</v>
      </c>
      <c r="E45" s="30" t="s">
        <v>1292</v>
      </c>
      <c r="F45" s="29" t="s">
        <v>519</v>
      </c>
      <c r="G45" s="38" t="s">
        <v>80</v>
      </c>
      <c r="H45" s="40" t="s">
        <v>92</v>
      </c>
      <c r="I45" s="40" t="s">
        <v>92</v>
      </c>
      <c r="J45" s="39"/>
      <c r="K45" s="31" t="str">
        <f>"180,0"</f>
        <v>180,0</v>
      </c>
      <c r="L45" s="31" t="str">
        <f>"111,4380"</f>
        <v>111,4380</v>
      </c>
      <c r="M45" s="29"/>
    </row>
    <row r="46" spans="1:13">
      <c r="A46" s="39" t="s">
        <v>484</v>
      </c>
      <c r="B46" s="29" t="s">
        <v>622</v>
      </c>
      <c r="C46" s="29" t="s">
        <v>623</v>
      </c>
      <c r="D46" s="29" t="s">
        <v>624</v>
      </c>
      <c r="E46" s="30" t="s">
        <v>1292</v>
      </c>
      <c r="F46" s="29" t="s">
        <v>268</v>
      </c>
      <c r="G46" s="38" t="s">
        <v>83</v>
      </c>
      <c r="H46" s="38" t="s">
        <v>158</v>
      </c>
      <c r="I46" s="40" t="s">
        <v>80</v>
      </c>
      <c r="J46" s="39"/>
      <c r="K46" s="31" t="str">
        <f>"177,5"</f>
        <v>177,5</v>
      </c>
      <c r="L46" s="31" t="str">
        <f>"109,3045"</f>
        <v>109,3045</v>
      </c>
      <c r="M46" s="29"/>
    </row>
    <row r="47" spans="1:13">
      <c r="A47" s="39" t="s">
        <v>485</v>
      </c>
      <c r="B47" s="29" t="s">
        <v>172</v>
      </c>
      <c r="C47" s="29" t="s">
        <v>173</v>
      </c>
      <c r="D47" s="29" t="s">
        <v>174</v>
      </c>
      <c r="E47" s="30" t="s">
        <v>1292</v>
      </c>
      <c r="F47" s="29" t="s">
        <v>175</v>
      </c>
      <c r="G47" s="38" t="s">
        <v>176</v>
      </c>
      <c r="H47" s="40" t="s">
        <v>83</v>
      </c>
      <c r="I47" s="40" t="s">
        <v>83</v>
      </c>
      <c r="J47" s="39"/>
      <c r="K47" s="31" t="str">
        <f>"162,5"</f>
        <v>162,5</v>
      </c>
      <c r="L47" s="31" t="str">
        <f>"98,9787"</f>
        <v>98,9787</v>
      </c>
      <c r="M47" s="29" t="s">
        <v>1281</v>
      </c>
    </row>
    <row r="48" spans="1:13">
      <c r="A48" s="39" t="s">
        <v>667</v>
      </c>
      <c r="B48" s="29" t="s">
        <v>625</v>
      </c>
      <c r="C48" s="29" t="s">
        <v>626</v>
      </c>
      <c r="D48" s="29" t="s">
        <v>627</v>
      </c>
      <c r="E48" s="30" t="s">
        <v>1292</v>
      </c>
      <c r="F48" s="29" t="s">
        <v>97</v>
      </c>
      <c r="G48" s="38" t="s">
        <v>75</v>
      </c>
      <c r="H48" s="40" t="s">
        <v>98</v>
      </c>
      <c r="I48" s="40" t="s">
        <v>98</v>
      </c>
      <c r="J48" s="39"/>
      <c r="K48" s="31" t="str">
        <f>"140,0"</f>
        <v>140,0</v>
      </c>
      <c r="L48" s="31" t="str">
        <f>"88,4940"</f>
        <v>88,4940</v>
      </c>
      <c r="M48" s="29"/>
    </row>
    <row r="49" spans="1:13">
      <c r="A49" s="39" t="s">
        <v>39</v>
      </c>
      <c r="B49" s="29" t="s">
        <v>628</v>
      </c>
      <c r="C49" s="29" t="s">
        <v>1193</v>
      </c>
      <c r="D49" s="29" t="s">
        <v>629</v>
      </c>
      <c r="E49" s="30" t="s">
        <v>1294</v>
      </c>
      <c r="F49" s="29" t="s">
        <v>630</v>
      </c>
      <c r="G49" s="40" t="s">
        <v>404</v>
      </c>
      <c r="H49" s="38" t="s">
        <v>404</v>
      </c>
      <c r="I49" s="40" t="s">
        <v>433</v>
      </c>
      <c r="J49" s="39"/>
      <c r="K49" s="31" t="str">
        <f>"195,0"</f>
        <v>195,0</v>
      </c>
      <c r="L49" s="31" t="str">
        <f>"126,5211"</f>
        <v>126,5211</v>
      </c>
      <c r="M49" s="29"/>
    </row>
    <row r="50" spans="1:13">
      <c r="A50" s="39" t="s">
        <v>219</v>
      </c>
      <c r="B50" s="29" t="s">
        <v>631</v>
      </c>
      <c r="C50" s="29" t="s">
        <v>1194</v>
      </c>
      <c r="D50" s="29" t="s">
        <v>458</v>
      </c>
      <c r="E50" s="30" t="s">
        <v>1294</v>
      </c>
      <c r="F50" s="29" t="s">
        <v>601</v>
      </c>
      <c r="G50" s="38" t="s">
        <v>80</v>
      </c>
      <c r="H50" s="40" t="s">
        <v>92</v>
      </c>
      <c r="I50" s="38" t="s">
        <v>92</v>
      </c>
      <c r="J50" s="39"/>
      <c r="K50" s="31" t="str">
        <f>"185,0"</f>
        <v>185,0</v>
      </c>
      <c r="L50" s="31" t="str">
        <f>"125,9416"</f>
        <v>125,9416</v>
      </c>
      <c r="M50" s="29"/>
    </row>
    <row r="51" spans="1:13">
      <c r="A51" s="39" t="s">
        <v>220</v>
      </c>
      <c r="B51" s="29" t="s">
        <v>632</v>
      </c>
      <c r="C51" s="29" t="s">
        <v>1195</v>
      </c>
      <c r="D51" s="29" t="s">
        <v>609</v>
      </c>
      <c r="E51" s="30" t="s">
        <v>1294</v>
      </c>
      <c r="F51" s="29" t="s">
        <v>97</v>
      </c>
      <c r="G51" s="38" t="s">
        <v>187</v>
      </c>
      <c r="H51" s="38" t="s">
        <v>98</v>
      </c>
      <c r="I51" s="38" t="s">
        <v>110</v>
      </c>
      <c r="J51" s="39"/>
      <c r="K51" s="31" t="str">
        <f>"155,0"</f>
        <v>155,0</v>
      </c>
      <c r="L51" s="31" t="str">
        <f>"111,0837"</f>
        <v>111,0837</v>
      </c>
      <c r="M51" s="29" t="s">
        <v>633</v>
      </c>
    </row>
    <row r="52" spans="1:13">
      <c r="A52" s="37" t="s">
        <v>39</v>
      </c>
      <c r="B52" s="26" t="s">
        <v>634</v>
      </c>
      <c r="C52" s="26" t="s">
        <v>1196</v>
      </c>
      <c r="D52" s="26" t="s">
        <v>615</v>
      </c>
      <c r="E52" s="27" t="s">
        <v>1299</v>
      </c>
      <c r="F52" s="26" t="s">
        <v>635</v>
      </c>
      <c r="G52" s="35" t="s">
        <v>287</v>
      </c>
      <c r="H52" s="35" t="s">
        <v>187</v>
      </c>
      <c r="I52" s="35" t="s">
        <v>98</v>
      </c>
      <c r="J52" s="37"/>
      <c r="K52" s="28" t="str">
        <f>"150,0"</f>
        <v>150,0</v>
      </c>
      <c r="L52" s="28" t="str">
        <f>"137,5216"</f>
        <v>137,5216</v>
      </c>
      <c r="M52" s="26" t="s">
        <v>636</v>
      </c>
    </row>
    <row r="54" spans="1:13" ht="16">
      <c r="A54" s="81" t="s">
        <v>190</v>
      </c>
      <c r="B54" s="81"/>
      <c r="C54" s="82"/>
      <c r="D54" s="82"/>
      <c r="E54" s="82"/>
      <c r="F54" s="82"/>
      <c r="G54" s="82"/>
      <c r="H54" s="82"/>
      <c r="I54" s="82"/>
      <c r="J54" s="82"/>
    </row>
    <row r="55" spans="1:13">
      <c r="A55" s="33" t="s">
        <v>39</v>
      </c>
      <c r="B55" s="23" t="s">
        <v>637</v>
      </c>
      <c r="C55" s="23" t="s">
        <v>638</v>
      </c>
      <c r="D55" s="23" t="s">
        <v>639</v>
      </c>
      <c r="E55" s="24" t="s">
        <v>1292</v>
      </c>
      <c r="F55" s="23" t="s">
        <v>71</v>
      </c>
      <c r="G55" s="32" t="s">
        <v>85</v>
      </c>
      <c r="H55" s="34" t="s">
        <v>210</v>
      </c>
      <c r="I55" s="32" t="s">
        <v>210</v>
      </c>
      <c r="J55" s="33"/>
      <c r="K55" s="25" t="str">
        <f>"217,5"</f>
        <v>217,5</v>
      </c>
      <c r="L55" s="25" t="str">
        <f>"131,8050"</f>
        <v>131,8050</v>
      </c>
      <c r="M55" s="23"/>
    </row>
    <row r="56" spans="1:13">
      <c r="A56" s="39" t="s">
        <v>219</v>
      </c>
      <c r="B56" s="29" t="s">
        <v>640</v>
      </c>
      <c r="C56" s="29" t="s">
        <v>641</v>
      </c>
      <c r="D56" s="29" t="s">
        <v>642</v>
      </c>
      <c r="E56" s="30" t="s">
        <v>1292</v>
      </c>
      <c r="F56" s="29" t="s">
        <v>71</v>
      </c>
      <c r="G56" s="40" t="s">
        <v>108</v>
      </c>
      <c r="H56" s="40" t="s">
        <v>108</v>
      </c>
      <c r="I56" s="38" t="s">
        <v>108</v>
      </c>
      <c r="J56" s="39"/>
      <c r="K56" s="31" t="str">
        <f>"205,0"</f>
        <v>205,0</v>
      </c>
      <c r="L56" s="31" t="str">
        <f>"121,3395"</f>
        <v>121,3395</v>
      </c>
      <c r="M56" s="29"/>
    </row>
    <row r="57" spans="1:13">
      <c r="A57" s="39" t="s">
        <v>220</v>
      </c>
      <c r="B57" s="29" t="s">
        <v>191</v>
      </c>
      <c r="C57" s="29" t="s">
        <v>192</v>
      </c>
      <c r="D57" s="29" t="s">
        <v>193</v>
      </c>
      <c r="E57" s="30" t="s">
        <v>1292</v>
      </c>
      <c r="F57" s="29" t="s">
        <v>71</v>
      </c>
      <c r="G57" s="38" t="s">
        <v>18</v>
      </c>
      <c r="H57" s="38" t="s">
        <v>92</v>
      </c>
      <c r="I57" s="40" t="s">
        <v>195</v>
      </c>
      <c r="J57" s="39"/>
      <c r="K57" s="31" t="str">
        <f>"185,0"</f>
        <v>185,0</v>
      </c>
      <c r="L57" s="31" t="str">
        <f>"109,1870"</f>
        <v>109,1870</v>
      </c>
      <c r="M57" s="29"/>
    </row>
    <row r="58" spans="1:13">
      <c r="A58" s="39" t="s">
        <v>221</v>
      </c>
      <c r="B58" s="29" t="s">
        <v>643</v>
      </c>
      <c r="C58" s="29" t="s">
        <v>644</v>
      </c>
      <c r="D58" s="29" t="s">
        <v>645</v>
      </c>
      <c r="E58" s="30" t="s">
        <v>1292</v>
      </c>
      <c r="F58" s="29" t="s">
        <v>117</v>
      </c>
      <c r="G58" s="38" t="s">
        <v>80</v>
      </c>
      <c r="H58" s="40" t="s">
        <v>195</v>
      </c>
      <c r="I58" s="40" t="s">
        <v>195</v>
      </c>
      <c r="J58" s="39"/>
      <c r="K58" s="31" t="str">
        <f>"180,0"</f>
        <v>180,0</v>
      </c>
      <c r="L58" s="31" t="str">
        <f>"106,0200"</f>
        <v>106,0200</v>
      </c>
      <c r="M58" s="29"/>
    </row>
    <row r="59" spans="1:13">
      <c r="A59" s="39" t="s">
        <v>39</v>
      </c>
      <c r="B59" s="29" t="s">
        <v>640</v>
      </c>
      <c r="C59" s="29" t="s">
        <v>1197</v>
      </c>
      <c r="D59" s="29" t="s">
        <v>642</v>
      </c>
      <c r="E59" s="30" t="s">
        <v>1295</v>
      </c>
      <c r="F59" s="29" t="s">
        <v>71</v>
      </c>
      <c r="G59" s="40" t="s">
        <v>108</v>
      </c>
      <c r="H59" s="40" t="s">
        <v>108</v>
      </c>
      <c r="I59" s="38" t="s">
        <v>108</v>
      </c>
      <c r="J59" s="39"/>
      <c r="K59" s="31" t="str">
        <f>"205,0"</f>
        <v>205,0</v>
      </c>
      <c r="L59" s="31" t="str">
        <f>"123,0383"</f>
        <v>123,0383</v>
      </c>
      <c r="M59" s="29"/>
    </row>
    <row r="60" spans="1:13">
      <c r="A60" s="39" t="s">
        <v>219</v>
      </c>
      <c r="B60" s="29" t="s">
        <v>646</v>
      </c>
      <c r="C60" s="29" t="s">
        <v>1170</v>
      </c>
      <c r="D60" s="29" t="s">
        <v>647</v>
      </c>
      <c r="E60" s="30" t="s">
        <v>1295</v>
      </c>
      <c r="F60" s="29" t="s">
        <v>648</v>
      </c>
      <c r="G60" s="40" t="s">
        <v>187</v>
      </c>
      <c r="H60" s="40" t="s">
        <v>110</v>
      </c>
      <c r="I60" s="38" t="s">
        <v>110</v>
      </c>
      <c r="J60" s="39"/>
      <c r="K60" s="31" t="str">
        <f>"155,0"</f>
        <v>155,0</v>
      </c>
      <c r="L60" s="31" t="str">
        <f>"92,9354"</f>
        <v>92,9354</v>
      </c>
      <c r="M60" s="29" t="s">
        <v>649</v>
      </c>
    </row>
    <row r="61" spans="1:13">
      <c r="A61" s="37" t="s">
        <v>39</v>
      </c>
      <c r="B61" s="26" t="s">
        <v>643</v>
      </c>
      <c r="C61" s="26" t="s">
        <v>1198</v>
      </c>
      <c r="D61" s="26" t="s">
        <v>645</v>
      </c>
      <c r="E61" s="27" t="s">
        <v>1294</v>
      </c>
      <c r="F61" s="26" t="s">
        <v>117</v>
      </c>
      <c r="G61" s="35" t="s">
        <v>80</v>
      </c>
      <c r="H61" s="36" t="s">
        <v>195</v>
      </c>
      <c r="I61" s="36" t="s">
        <v>195</v>
      </c>
      <c r="J61" s="37"/>
      <c r="K61" s="28" t="str">
        <f>"180,0"</f>
        <v>180,0</v>
      </c>
      <c r="L61" s="28" t="str">
        <f>"120,0146"</f>
        <v>120,0146</v>
      </c>
      <c r="M61" s="26"/>
    </row>
    <row r="63" spans="1:13" ht="16">
      <c r="A63" s="81" t="s">
        <v>22</v>
      </c>
      <c r="B63" s="81"/>
      <c r="C63" s="82"/>
      <c r="D63" s="82"/>
      <c r="E63" s="82"/>
      <c r="F63" s="82"/>
      <c r="G63" s="82"/>
      <c r="H63" s="82"/>
      <c r="I63" s="82"/>
      <c r="J63" s="82"/>
    </row>
    <row r="64" spans="1:13">
      <c r="A64" s="33" t="s">
        <v>39</v>
      </c>
      <c r="B64" s="23" t="s">
        <v>205</v>
      </c>
      <c r="C64" s="23" t="s">
        <v>206</v>
      </c>
      <c r="D64" s="23" t="s">
        <v>207</v>
      </c>
      <c r="E64" s="24" t="s">
        <v>1292</v>
      </c>
      <c r="F64" s="23" t="s">
        <v>208</v>
      </c>
      <c r="G64" s="32" t="s">
        <v>85</v>
      </c>
      <c r="H64" s="32" t="s">
        <v>210</v>
      </c>
      <c r="I64" s="34" t="s">
        <v>90</v>
      </c>
      <c r="J64" s="33"/>
      <c r="K64" s="25" t="str">
        <f>"217,5"</f>
        <v>217,5</v>
      </c>
      <c r="L64" s="25" t="str">
        <f>"125,3235"</f>
        <v>125,3235</v>
      </c>
      <c r="M64" s="23" t="s">
        <v>212</v>
      </c>
    </row>
    <row r="65" spans="1:13">
      <c r="A65" s="39" t="s">
        <v>219</v>
      </c>
      <c r="B65" s="29" t="s">
        <v>650</v>
      </c>
      <c r="C65" s="29" t="s">
        <v>651</v>
      </c>
      <c r="D65" s="29" t="s">
        <v>652</v>
      </c>
      <c r="E65" s="30" t="s">
        <v>1292</v>
      </c>
      <c r="F65" s="29" t="s">
        <v>1280</v>
      </c>
      <c r="G65" s="38" t="s">
        <v>84</v>
      </c>
      <c r="H65" s="38" t="s">
        <v>85</v>
      </c>
      <c r="I65" s="40" t="s">
        <v>380</v>
      </c>
      <c r="J65" s="39"/>
      <c r="K65" s="31" t="str">
        <f>"210,0"</f>
        <v>210,0</v>
      </c>
      <c r="L65" s="31" t="str">
        <f>"120,2460"</f>
        <v>120,2460</v>
      </c>
      <c r="M65" s="29" t="s">
        <v>653</v>
      </c>
    </row>
    <row r="66" spans="1:13">
      <c r="A66" s="39" t="s">
        <v>220</v>
      </c>
      <c r="B66" s="29" t="s">
        <v>654</v>
      </c>
      <c r="C66" s="29" t="s">
        <v>655</v>
      </c>
      <c r="D66" s="29" t="s">
        <v>656</v>
      </c>
      <c r="E66" s="30" t="s">
        <v>1292</v>
      </c>
      <c r="F66" s="29" t="s">
        <v>117</v>
      </c>
      <c r="G66" s="38" t="s">
        <v>169</v>
      </c>
      <c r="H66" s="40" t="s">
        <v>433</v>
      </c>
      <c r="I66" s="39"/>
      <c r="J66" s="39"/>
      <c r="K66" s="31" t="str">
        <f>"202,5"</f>
        <v>202,5</v>
      </c>
      <c r="L66" s="31" t="str">
        <f>"117,7740"</f>
        <v>117,7740</v>
      </c>
      <c r="M66" s="29" t="s">
        <v>1282</v>
      </c>
    </row>
    <row r="67" spans="1:13">
      <c r="A67" s="37" t="s">
        <v>221</v>
      </c>
      <c r="B67" s="26" t="s">
        <v>657</v>
      </c>
      <c r="C67" s="26" t="s">
        <v>658</v>
      </c>
      <c r="D67" s="26" t="s">
        <v>659</v>
      </c>
      <c r="E67" s="27" t="s">
        <v>1292</v>
      </c>
      <c r="F67" s="26" t="s">
        <v>59</v>
      </c>
      <c r="G67" s="35" t="s">
        <v>111</v>
      </c>
      <c r="H67" s="36" t="s">
        <v>18</v>
      </c>
      <c r="I67" s="37"/>
      <c r="J67" s="37"/>
      <c r="K67" s="28" t="str">
        <f>"165,0"</f>
        <v>165,0</v>
      </c>
      <c r="L67" s="28" t="str">
        <f>"94,5450"</f>
        <v>94,5450</v>
      </c>
      <c r="M67" s="26" t="s">
        <v>660</v>
      </c>
    </row>
    <row r="69" spans="1:13" ht="16">
      <c r="A69" s="81" t="s">
        <v>661</v>
      </c>
      <c r="B69" s="81"/>
      <c r="C69" s="82"/>
      <c r="D69" s="82"/>
      <c r="E69" s="82"/>
      <c r="F69" s="82"/>
      <c r="G69" s="82"/>
      <c r="H69" s="82"/>
      <c r="I69" s="82"/>
      <c r="J69" s="82"/>
    </row>
    <row r="70" spans="1:13">
      <c r="A70" s="22" t="s">
        <v>39</v>
      </c>
      <c r="B70" s="7" t="s">
        <v>662</v>
      </c>
      <c r="C70" s="7" t="s">
        <v>663</v>
      </c>
      <c r="D70" s="7" t="s">
        <v>664</v>
      </c>
      <c r="E70" s="8" t="s">
        <v>1292</v>
      </c>
      <c r="F70" s="7" t="s">
        <v>648</v>
      </c>
      <c r="G70" s="20" t="s">
        <v>81</v>
      </c>
      <c r="H70" s="20" t="s">
        <v>84</v>
      </c>
      <c r="I70" s="21" t="s">
        <v>169</v>
      </c>
      <c r="J70" s="22"/>
      <c r="K70" s="9" t="str">
        <f>"200,0"</f>
        <v>200,0</v>
      </c>
      <c r="L70" s="9" t="str">
        <f>"112,3000"</f>
        <v>112,3000</v>
      </c>
      <c r="M70" s="7" t="s">
        <v>1138</v>
      </c>
    </row>
    <row r="72" spans="1:13" ht="18">
      <c r="B72" s="11" t="s">
        <v>30</v>
      </c>
      <c r="C72" s="11"/>
      <c r="E72" s="5"/>
      <c r="F72" s="3"/>
      <c r="G72" s="5"/>
      <c r="K72" s="18"/>
      <c r="M72" s="6"/>
    </row>
    <row r="73" spans="1:13" ht="16">
      <c r="B73" s="12" t="s">
        <v>31</v>
      </c>
      <c r="C73" s="12"/>
      <c r="E73" s="5"/>
      <c r="F73" s="3"/>
      <c r="G73" s="5"/>
      <c r="K73" s="18"/>
      <c r="M73" s="6"/>
    </row>
    <row r="74" spans="1:13" ht="14">
      <c r="B74" s="13"/>
      <c r="C74" s="14" t="s">
        <v>32</v>
      </c>
      <c r="E74" s="5"/>
      <c r="F74" s="3"/>
      <c r="G74" s="5"/>
      <c r="K74" s="18"/>
      <c r="M74" s="6"/>
    </row>
    <row r="75" spans="1:13" ht="14">
      <c r="B75" s="15" t="s">
        <v>33</v>
      </c>
      <c r="C75" s="15" t="s">
        <v>34</v>
      </c>
      <c r="D75" s="15" t="s">
        <v>1139</v>
      </c>
      <c r="E75" s="15" t="s">
        <v>37</v>
      </c>
      <c r="F75" s="16" t="s">
        <v>665</v>
      </c>
      <c r="G75" s="3"/>
      <c r="K75" s="18"/>
      <c r="M75" s="6"/>
    </row>
    <row r="76" spans="1:13">
      <c r="B76" s="5" t="s">
        <v>550</v>
      </c>
      <c r="C76" s="5" t="s">
        <v>32</v>
      </c>
      <c r="D76" s="18" t="s">
        <v>38</v>
      </c>
      <c r="E76" s="17">
        <v>151.272003650665</v>
      </c>
      <c r="F76" s="19">
        <v>220</v>
      </c>
      <c r="G76" s="3"/>
      <c r="K76" s="18"/>
      <c r="M76" s="6"/>
    </row>
    <row r="77" spans="1:13">
      <c r="B77" s="5" t="s">
        <v>603</v>
      </c>
      <c r="C77" s="5" t="s">
        <v>32</v>
      </c>
      <c r="D77" s="18" t="s">
        <v>217</v>
      </c>
      <c r="E77" s="17">
        <v>142.278002500534</v>
      </c>
      <c r="F77" s="19">
        <v>230</v>
      </c>
      <c r="G77" s="3"/>
      <c r="K77" s="18"/>
      <c r="M77" s="6"/>
    </row>
    <row r="78" spans="1:13">
      <c r="B78" s="5" t="s">
        <v>607</v>
      </c>
      <c r="C78" s="5" t="s">
        <v>32</v>
      </c>
      <c r="D78" s="18" t="s">
        <v>217</v>
      </c>
      <c r="E78" s="17">
        <v>139.28199410438501</v>
      </c>
      <c r="F78" s="19">
        <v>220</v>
      </c>
      <c r="G78" s="3"/>
      <c r="K78" s="18"/>
      <c r="M78" s="6"/>
    </row>
    <row r="79" spans="1:13">
      <c r="E79" s="5"/>
      <c r="F79" s="10"/>
      <c r="G79" s="3"/>
      <c r="K79" s="18"/>
      <c r="M79" s="6"/>
    </row>
    <row r="80" spans="1:13" ht="14">
      <c r="B80" s="13"/>
      <c r="C80" s="14" t="s">
        <v>216</v>
      </c>
      <c r="E80" s="5"/>
      <c r="F80" s="10"/>
      <c r="G80" s="3"/>
      <c r="K80" s="18"/>
      <c r="M80" s="6"/>
    </row>
    <row r="81" spans="2:13" ht="14">
      <c r="B81" s="15" t="s">
        <v>33</v>
      </c>
      <c r="C81" s="15" t="s">
        <v>34</v>
      </c>
      <c r="D81" s="15" t="s">
        <v>1139</v>
      </c>
      <c r="E81" s="15" t="s">
        <v>37</v>
      </c>
      <c r="F81" s="16" t="s">
        <v>665</v>
      </c>
      <c r="G81" s="3"/>
      <c r="K81" s="18"/>
      <c r="M81" s="6"/>
    </row>
    <row r="82" spans="2:13">
      <c r="B82" s="5" t="s">
        <v>579</v>
      </c>
      <c r="C82" s="5" t="s">
        <v>1187</v>
      </c>
      <c r="D82" s="18" t="s">
        <v>38</v>
      </c>
      <c r="E82" s="17">
        <v>143.77567358315</v>
      </c>
      <c r="F82" s="19">
        <v>155</v>
      </c>
      <c r="G82" s="3"/>
      <c r="K82" s="18"/>
      <c r="M82" s="6"/>
    </row>
    <row r="83" spans="2:13">
      <c r="B83" s="5" t="s">
        <v>634</v>
      </c>
      <c r="C83" s="5" t="s">
        <v>1199</v>
      </c>
      <c r="D83" s="18" t="s">
        <v>217</v>
      </c>
      <c r="E83" s="17">
        <v>137.52162626981701</v>
      </c>
      <c r="F83" s="19">
        <v>150</v>
      </c>
      <c r="G83" s="3"/>
      <c r="K83" s="18"/>
      <c r="M83" s="6"/>
    </row>
    <row r="84" spans="2:13">
      <c r="B84" s="5" t="s">
        <v>576</v>
      </c>
      <c r="C84" s="5" t="s">
        <v>1186</v>
      </c>
      <c r="D84" s="18" t="s">
        <v>38</v>
      </c>
      <c r="E84" s="17">
        <v>130.07019262313801</v>
      </c>
      <c r="F84" s="19">
        <v>170</v>
      </c>
      <c r="G84" s="3"/>
      <c r="K84" s="18"/>
      <c r="M84" s="6"/>
    </row>
    <row r="85" spans="2:13">
      <c r="E85" s="5"/>
      <c r="F85" s="10"/>
      <c r="G85" s="5"/>
      <c r="K85" s="18"/>
      <c r="M85" s="6"/>
    </row>
  </sheetData>
  <mergeCells count="21">
    <mergeCell ref="A54:J54"/>
    <mergeCell ref="A63:J63"/>
    <mergeCell ref="A69:J69"/>
    <mergeCell ref="B3:B4"/>
    <mergeCell ref="A8:J8"/>
    <mergeCell ref="A11:J11"/>
    <mergeCell ref="A15:J15"/>
    <mergeCell ref="A18:J18"/>
    <mergeCell ref="A30:J30"/>
    <mergeCell ref="A38:J3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2464-4530-4928-BE42-526849EB2905}">
  <dimension ref="A1:M12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0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11" style="6" customWidth="1"/>
    <col min="13" max="13" width="20.33203125" style="5" customWidth="1"/>
    <col min="14" max="16384" width="9.1640625" style="3"/>
  </cols>
  <sheetData>
    <row r="1" spans="1:13" s="2" customFormat="1" ht="29" customHeight="1">
      <c r="A1" s="68" t="s">
        <v>1261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3" t="s">
        <v>39</v>
      </c>
      <c r="B6" s="23" t="s">
        <v>576</v>
      </c>
      <c r="C6" s="23" t="s">
        <v>577</v>
      </c>
      <c r="D6" s="23" t="s">
        <v>386</v>
      </c>
      <c r="E6" s="24" t="s">
        <v>1292</v>
      </c>
      <c r="F6" s="23" t="s">
        <v>157</v>
      </c>
      <c r="G6" s="32" t="s">
        <v>109</v>
      </c>
      <c r="H6" s="34" t="s">
        <v>177</v>
      </c>
      <c r="I6" s="34" t="s">
        <v>177</v>
      </c>
      <c r="J6" s="33"/>
      <c r="K6" s="25" t="str">
        <f>"215,0"</f>
        <v>215,0</v>
      </c>
      <c r="L6" s="25" t="str">
        <f>"145,3185"</f>
        <v>145,3185</v>
      </c>
      <c r="M6" s="23"/>
    </row>
    <row r="7" spans="1:13">
      <c r="A7" s="37" t="s">
        <v>39</v>
      </c>
      <c r="B7" s="26" t="s">
        <v>576</v>
      </c>
      <c r="C7" s="26" t="s">
        <v>1189</v>
      </c>
      <c r="D7" s="26" t="s">
        <v>386</v>
      </c>
      <c r="E7" s="27" t="s">
        <v>1294</v>
      </c>
      <c r="F7" s="26" t="s">
        <v>157</v>
      </c>
      <c r="G7" s="35" t="s">
        <v>109</v>
      </c>
      <c r="H7" s="36" t="s">
        <v>177</v>
      </c>
      <c r="I7" s="36" t="s">
        <v>177</v>
      </c>
      <c r="J7" s="37"/>
      <c r="K7" s="28" t="str">
        <f>"215,0"</f>
        <v>215,0</v>
      </c>
      <c r="L7" s="28" t="str">
        <f>"164,5005"</f>
        <v>164,5005</v>
      </c>
      <c r="M7" s="26"/>
    </row>
    <row r="9" spans="1:13" ht="16">
      <c r="A9" s="81" t="s">
        <v>190</v>
      </c>
      <c r="B9" s="81"/>
      <c r="C9" s="82"/>
      <c r="D9" s="82"/>
      <c r="E9" s="82"/>
      <c r="F9" s="82"/>
      <c r="G9" s="82"/>
      <c r="H9" s="82"/>
      <c r="I9" s="82"/>
      <c r="J9" s="82"/>
    </row>
    <row r="10" spans="1:13">
      <c r="A10" s="22" t="s">
        <v>39</v>
      </c>
      <c r="B10" s="7" t="s">
        <v>847</v>
      </c>
      <c r="C10" s="7" t="s">
        <v>1200</v>
      </c>
      <c r="D10" s="7" t="s">
        <v>848</v>
      </c>
      <c r="E10" s="8" t="s">
        <v>1295</v>
      </c>
      <c r="F10" s="7" t="s">
        <v>835</v>
      </c>
      <c r="G10" s="20" t="s">
        <v>18</v>
      </c>
      <c r="H10" s="20" t="s">
        <v>92</v>
      </c>
      <c r="I10" s="20" t="s">
        <v>404</v>
      </c>
      <c r="J10" s="22"/>
      <c r="K10" s="9" t="str">
        <f>"195,0"</f>
        <v>195,0</v>
      </c>
      <c r="L10" s="9" t="str">
        <f>"116,7270"</f>
        <v>116,7270</v>
      </c>
      <c r="M10" s="7"/>
    </row>
    <row r="12" spans="1:13">
      <c r="E12" s="5"/>
      <c r="F12" s="10"/>
      <c r="G12" s="5"/>
      <c r="K12" s="18"/>
      <c r="M12" s="6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04B5-8891-458A-9DFF-06B07E91E84D}">
  <dimension ref="A1:M25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4.1640625" style="5" bestFit="1" customWidth="1"/>
    <col min="7" max="9" width="5.5" style="18" customWidth="1"/>
    <col min="10" max="10" width="4.83203125" style="18" customWidth="1"/>
    <col min="11" max="11" width="10.5" style="19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68" t="s">
        <v>1262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0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67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40</v>
      </c>
      <c r="B6" s="7" t="s">
        <v>818</v>
      </c>
      <c r="C6" s="7" t="s">
        <v>819</v>
      </c>
      <c r="D6" s="7" t="s">
        <v>371</v>
      </c>
      <c r="E6" s="8" t="s">
        <v>1292</v>
      </c>
      <c r="F6" s="7" t="s">
        <v>410</v>
      </c>
      <c r="G6" s="21" t="s">
        <v>108</v>
      </c>
      <c r="H6" s="21" t="s">
        <v>108</v>
      </c>
      <c r="I6" s="21" t="s">
        <v>108</v>
      </c>
      <c r="J6" s="22"/>
      <c r="K6" s="41">
        <v>0</v>
      </c>
      <c r="L6" s="9" t="str">
        <f>"0,0000"</f>
        <v>0,0000</v>
      </c>
      <c r="M6" s="7"/>
    </row>
    <row r="8" spans="1:13" ht="16">
      <c r="A8" s="81" t="s">
        <v>10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33" t="s">
        <v>39</v>
      </c>
      <c r="B9" s="23" t="s">
        <v>820</v>
      </c>
      <c r="C9" s="23" t="s">
        <v>821</v>
      </c>
      <c r="D9" s="23" t="s">
        <v>397</v>
      </c>
      <c r="E9" s="24" t="s">
        <v>1292</v>
      </c>
      <c r="F9" s="23" t="s">
        <v>601</v>
      </c>
      <c r="G9" s="34" t="s">
        <v>108</v>
      </c>
      <c r="H9" s="32" t="s">
        <v>108</v>
      </c>
      <c r="I9" s="34" t="s">
        <v>85</v>
      </c>
      <c r="J9" s="33"/>
      <c r="K9" s="42" t="str">
        <f>"205,0"</f>
        <v>205,0</v>
      </c>
      <c r="L9" s="25" t="str">
        <f>"139,0925"</f>
        <v>139,0925</v>
      </c>
      <c r="M9" s="23" t="s">
        <v>822</v>
      </c>
    </row>
    <row r="10" spans="1:13">
      <c r="A10" s="37" t="s">
        <v>39</v>
      </c>
      <c r="B10" s="26" t="s">
        <v>823</v>
      </c>
      <c r="C10" s="26" t="s">
        <v>1201</v>
      </c>
      <c r="D10" s="26" t="s">
        <v>824</v>
      </c>
      <c r="E10" s="27" t="s">
        <v>1295</v>
      </c>
      <c r="F10" s="26" t="s">
        <v>71</v>
      </c>
      <c r="G10" s="35" t="s">
        <v>98</v>
      </c>
      <c r="H10" s="35" t="s">
        <v>79</v>
      </c>
      <c r="I10" s="36" t="s">
        <v>111</v>
      </c>
      <c r="J10" s="37"/>
      <c r="K10" s="44" t="str">
        <f>"160,0"</f>
        <v>160,0</v>
      </c>
      <c r="L10" s="28" t="str">
        <f>"112,0615"</f>
        <v>112,0615</v>
      </c>
      <c r="M10" s="26" t="s">
        <v>825</v>
      </c>
    </row>
    <row r="12" spans="1:13" ht="16">
      <c r="A12" s="81" t="s">
        <v>137</v>
      </c>
      <c r="B12" s="81"/>
      <c r="C12" s="82"/>
      <c r="D12" s="82"/>
      <c r="E12" s="82"/>
      <c r="F12" s="82"/>
      <c r="G12" s="82"/>
      <c r="H12" s="82"/>
      <c r="I12" s="82"/>
      <c r="J12" s="82"/>
    </row>
    <row r="13" spans="1:13">
      <c r="A13" s="22" t="s">
        <v>40</v>
      </c>
      <c r="B13" s="7" t="s">
        <v>826</v>
      </c>
      <c r="C13" s="7" t="s">
        <v>827</v>
      </c>
      <c r="D13" s="7" t="s">
        <v>789</v>
      </c>
      <c r="E13" s="8" t="s">
        <v>1292</v>
      </c>
      <c r="F13" s="7" t="s">
        <v>71</v>
      </c>
      <c r="G13" s="21" t="s">
        <v>112</v>
      </c>
      <c r="H13" s="21" t="s">
        <v>112</v>
      </c>
      <c r="I13" s="21" t="s">
        <v>112</v>
      </c>
      <c r="J13" s="22"/>
      <c r="K13" s="41">
        <v>0</v>
      </c>
      <c r="L13" s="9" t="str">
        <f>"0,0000"</f>
        <v>0,0000</v>
      </c>
      <c r="M13" s="7"/>
    </row>
    <row r="15" spans="1:13" ht="16">
      <c r="A15" s="81" t="s">
        <v>190</v>
      </c>
      <c r="B15" s="81"/>
      <c r="C15" s="82"/>
      <c r="D15" s="82"/>
      <c r="E15" s="82"/>
      <c r="F15" s="82"/>
      <c r="G15" s="82"/>
      <c r="H15" s="82"/>
      <c r="I15" s="82"/>
      <c r="J15" s="82"/>
    </row>
    <row r="16" spans="1:13">
      <c r="A16" s="33" t="s">
        <v>39</v>
      </c>
      <c r="B16" s="23" t="s">
        <v>828</v>
      </c>
      <c r="C16" s="23" t="s">
        <v>829</v>
      </c>
      <c r="D16" s="23" t="s">
        <v>830</v>
      </c>
      <c r="E16" s="24" t="s">
        <v>1292</v>
      </c>
      <c r="F16" s="23" t="s">
        <v>71</v>
      </c>
      <c r="G16" s="32" t="s">
        <v>496</v>
      </c>
      <c r="H16" s="32" t="s">
        <v>209</v>
      </c>
      <c r="I16" s="34" t="s">
        <v>831</v>
      </c>
      <c r="J16" s="33"/>
      <c r="K16" s="42" t="str">
        <f>"300,0"</f>
        <v>300,0</v>
      </c>
      <c r="L16" s="25" t="str">
        <f>"181,5000"</f>
        <v>181,5000</v>
      </c>
      <c r="M16" s="23"/>
    </row>
    <row r="17" spans="1:13">
      <c r="A17" s="37" t="s">
        <v>39</v>
      </c>
      <c r="B17" s="26" t="s">
        <v>828</v>
      </c>
      <c r="C17" s="26" t="s">
        <v>1202</v>
      </c>
      <c r="D17" s="26" t="s">
        <v>830</v>
      </c>
      <c r="E17" s="27" t="s">
        <v>1294</v>
      </c>
      <c r="F17" s="26" t="s">
        <v>71</v>
      </c>
      <c r="G17" s="35" t="s">
        <v>496</v>
      </c>
      <c r="H17" s="35" t="s">
        <v>209</v>
      </c>
      <c r="I17" s="36" t="s">
        <v>831</v>
      </c>
      <c r="J17" s="37"/>
      <c r="K17" s="44" t="str">
        <f>"300,0"</f>
        <v>300,0</v>
      </c>
      <c r="L17" s="28" t="str">
        <f>"205,4580"</f>
        <v>205,4580</v>
      </c>
      <c r="M17" s="26"/>
    </row>
    <row r="19" spans="1:13" ht="16">
      <c r="A19" s="81" t="s">
        <v>22</v>
      </c>
      <c r="B19" s="81"/>
      <c r="C19" s="82"/>
      <c r="D19" s="82"/>
      <c r="E19" s="82"/>
      <c r="F19" s="82"/>
      <c r="G19" s="82"/>
      <c r="H19" s="82"/>
      <c r="I19" s="82"/>
      <c r="J19" s="82"/>
    </row>
    <row r="20" spans="1:13">
      <c r="A20" s="33" t="s">
        <v>39</v>
      </c>
      <c r="B20" s="23" t="s">
        <v>832</v>
      </c>
      <c r="C20" s="23" t="s">
        <v>833</v>
      </c>
      <c r="D20" s="23" t="s">
        <v>834</v>
      </c>
      <c r="E20" s="24" t="s">
        <v>1292</v>
      </c>
      <c r="F20" s="23" t="s">
        <v>835</v>
      </c>
      <c r="G20" s="32" t="s">
        <v>194</v>
      </c>
      <c r="H20" s="34" t="s">
        <v>836</v>
      </c>
      <c r="I20" s="34" t="s">
        <v>836</v>
      </c>
      <c r="J20" s="33"/>
      <c r="K20" s="42" t="str">
        <f>"295,0"</f>
        <v>295,0</v>
      </c>
      <c r="L20" s="25" t="str">
        <f>"171,4540"</f>
        <v>171,4540</v>
      </c>
      <c r="M20" s="23"/>
    </row>
    <row r="21" spans="1:13">
      <c r="A21" s="39" t="s">
        <v>219</v>
      </c>
      <c r="B21" s="29" t="s">
        <v>837</v>
      </c>
      <c r="C21" s="29" t="s">
        <v>838</v>
      </c>
      <c r="D21" s="29" t="s">
        <v>839</v>
      </c>
      <c r="E21" s="30" t="s">
        <v>1292</v>
      </c>
      <c r="F21" s="29" t="s">
        <v>840</v>
      </c>
      <c r="G21" s="38" t="s">
        <v>112</v>
      </c>
      <c r="H21" s="38" t="s">
        <v>841</v>
      </c>
      <c r="I21" s="40" t="s">
        <v>503</v>
      </c>
      <c r="J21" s="39"/>
      <c r="K21" s="43" t="str">
        <f>"247,5"</f>
        <v>247,5</v>
      </c>
      <c r="L21" s="31" t="str">
        <f>"141,2730"</f>
        <v>141,2730</v>
      </c>
      <c r="M21" s="29" t="s">
        <v>842</v>
      </c>
    </row>
    <row r="22" spans="1:13">
      <c r="A22" s="37" t="s">
        <v>39</v>
      </c>
      <c r="B22" s="26" t="s">
        <v>832</v>
      </c>
      <c r="C22" s="26" t="s">
        <v>1203</v>
      </c>
      <c r="D22" s="26" t="s">
        <v>834</v>
      </c>
      <c r="E22" s="27" t="s">
        <v>1297</v>
      </c>
      <c r="F22" s="26" t="s">
        <v>835</v>
      </c>
      <c r="G22" s="35" t="s">
        <v>194</v>
      </c>
      <c r="H22" s="36" t="s">
        <v>836</v>
      </c>
      <c r="I22" s="36" t="s">
        <v>836</v>
      </c>
      <c r="J22" s="37"/>
      <c r="K22" s="44" t="str">
        <f>"295,0"</f>
        <v>295,0</v>
      </c>
      <c r="L22" s="28" t="str">
        <f>"203,5159"</f>
        <v>203,5159</v>
      </c>
      <c r="M22" s="26"/>
    </row>
    <row r="24" spans="1:13" ht="16">
      <c r="A24" s="81" t="s">
        <v>661</v>
      </c>
      <c r="B24" s="81"/>
      <c r="C24" s="82"/>
      <c r="D24" s="82"/>
      <c r="E24" s="82"/>
      <c r="F24" s="82"/>
      <c r="G24" s="82"/>
      <c r="H24" s="82"/>
      <c r="I24" s="82"/>
      <c r="J24" s="82"/>
    </row>
    <row r="25" spans="1:13">
      <c r="A25" s="22" t="s">
        <v>39</v>
      </c>
      <c r="B25" s="7" t="s">
        <v>843</v>
      </c>
      <c r="C25" s="7" t="s">
        <v>844</v>
      </c>
      <c r="D25" s="7" t="s">
        <v>845</v>
      </c>
      <c r="E25" s="8" t="s">
        <v>1292</v>
      </c>
      <c r="F25" s="7" t="s">
        <v>136</v>
      </c>
      <c r="G25" s="20" t="s">
        <v>411</v>
      </c>
      <c r="H25" s="20" t="s">
        <v>846</v>
      </c>
      <c r="I25" s="20" t="s">
        <v>209</v>
      </c>
      <c r="J25" s="22"/>
      <c r="K25" s="41" t="str">
        <f>"300,0"</f>
        <v>300,0</v>
      </c>
      <c r="L25" s="9" t="str">
        <f>"169,0200"</f>
        <v>169,0200</v>
      </c>
      <c r="M25" s="7"/>
    </row>
  </sheetData>
  <mergeCells count="17">
    <mergeCell ref="A24:J24"/>
    <mergeCell ref="A5:J5"/>
    <mergeCell ref="A8:J8"/>
    <mergeCell ref="A12:J12"/>
    <mergeCell ref="A15:J15"/>
    <mergeCell ref="A19:J19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2375-456F-4470-A60C-3438FF044D64}"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4.1640625" style="5" bestFit="1" customWidth="1"/>
    <col min="7" max="10" width="5.5" style="18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68" t="s">
        <v>1263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849</v>
      </c>
      <c r="C6" s="7" t="s">
        <v>850</v>
      </c>
      <c r="D6" s="7" t="s">
        <v>556</v>
      </c>
      <c r="E6" s="8" t="s">
        <v>1292</v>
      </c>
      <c r="F6" s="7" t="s">
        <v>840</v>
      </c>
      <c r="G6" s="20" t="s">
        <v>125</v>
      </c>
      <c r="H6" s="20" t="s">
        <v>177</v>
      </c>
      <c r="I6" s="20" t="s">
        <v>15</v>
      </c>
      <c r="J6" s="20" t="s">
        <v>851</v>
      </c>
      <c r="K6" s="9" t="str">
        <f>"235,0"</f>
        <v>235,0</v>
      </c>
      <c r="L6" s="9" t="str">
        <f>"212,2990"</f>
        <v>212,2990</v>
      </c>
      <c r="M6" s="7" t="s">
        <v>842</v>
      </c>
    </row>
    <row r="8" spans="1:13" ht="16">
      <c r="A8" s="81" t="s">
        <v>10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22" t="s">
        <v>39</v>
      </c>
      <c r="B9" s="7" t="s">
        <v>852</v>
      </c>
      <c r="C9" s="7" t="s">
        <v>1204</v>
      </c>
      <c r="D9" s="7" t="s">
        <v>853</v>
      </c>
      <c r="E9" s="8" t="s">
        <v>1293</v>
      </c>
      <c r="F9" s="7" t="s">
        <v>840</v>
      </c>
      <c r="G9" s="20" t="s">
        <v>187</v>
      </c>
      <c r="H9" s="20" t="s">
        <v>110</v>
      </c>
      <c r="I9" s="20" t="s">
        <v>79</v>
      </c>
      <c r="J9" s="22"/>
      <c r="K9" s="9" t="str">
        <f>"160,0"</f>
        <v>160,0</v>
      </c>
      <c r="L9" s="9" t="str">
        <f>"111,6000"</f>
        <v>111,6000</v>
      </c>
      <c r="M9" s="7" t="s">
        <v>842</v>
      </c>
    </row>
    <row r="11" spans="1:13" ht="16">
      <c r="A11" s="81" t="s">
        <v>137</v>
      </c>
      <c r="B11" s="81"/>
      <c r="C11" s="82"/>
      <c r="D11" s="82"/>
      <c r="E11" s="82"/>
      <c r="F11" s="82"/>
      <c r="G11" s="82"/>
      <c r="H11" s="82"/>
      <c r="I11" s="82"/>
      <c r="J11" s="82"/>
    </row>
    <row r="12" spans="1:13">
      <c r="A12" s="33" t="s">
        <v>39</v>
      </c>
      <c r="B12" s="23" t="s">
        <v>854</v>
      </c>
      <c r="C12" s="23" t="s">
        <v>855</v>
      </c>
      <c r="D12" s="23" t="s">
        <v>856</v>
      </c>
      <c r="E12" s="24" t="s">
        <v>1292</v>
      </c>
      <c r="F12" s="23" t="s">
        <v>840</v>
      </c>
      <c r="G12" s="32" t="s">
        <v>125</v>
      </c>
      <c r="H12" s="32" t="s">
        <v>112</v>
      </c>
      <c r="I12" s="34" t="s">
        <v>15</v>
      </c>
      <c r="J12" s="33"/>
      <c r="K12" s="25" t="str">
        <f>"230,0"</f>
        <v>230,0</v>
      </c>
      <c r="L12" s="25" t="str">
        <f>"141,4960"</f>
        <v>141,4960</v>
      </c>
      <c r="M12" s="23" t="s">
        <v>857</v>
      </c>
    </row>
    <row r="13" spans="1:13">
      <c r="A13" s="39" t="s">
        <v>39</v>
      </c>
      <c r="B13" s="29" t="s">
        <v>854</v>
      </c>
      <c r="C13" s="29" t="s">
        <v>1205</v>
      </c>
      <c r="D13" s="29" t="s">
        <v>856</v>
      </c>
      <c r="E13" s="30" t="s">
        <v>1299</v>
      </c>
      <c r="F13" s="29" t="s">
        <v>840</v>
      </c>
      <c r="G13" s="38" t="s">
        <v>125</v>
      </c>
      <c r="H13" s="38" t="s">
        <v>112</v>
      </c>
      <c r="I13" s="40" t="s">
        <v>15</v>
      </c>
      <c r="J13" s="39"/>
      <c r="K13" s="31" t="str">
        <f>"230,0"</f>
        <v>230,0</v>
      </c>
      <c r="L13" s="31" t="str">
        <f>"195,2645"</f>
        <v>195,2645</v>
      </c>
      <c r="M13" s="29" t="s">
        <v>857</v>
      </c>
    </row>
    <row r="14" spans="1:13">
      <c r="A14" s="37" t="s">
        <v>219</v>
      </c>
      <c r="B14" s="26" t="s">
        <v>858</v>
      </c>
      <c r="C14" s="26" t="s">
        <v>1206</v>
      </c>
      <c r="D14" s="26" t="s">
        <v>859</v>
      </c>
      <c r="E14" s="27" t="s">
        <v>1299</v>
      </c>
      <c r="F14" s="26" t="s">
        <v>860</v>
      </c>
      <c r="G14" s="35" t="s">
        <v>98</v>
      </c>
      <c r="H14" s="36" t="s">
        <v>79</v>
      </c>
      <c r="I14" s="37"/>
      <c r="J14" s="37"/>
      <c r="K14" s="28" t="str">
        <f>"150,0"</f>
        <v>150,0</v>
      </c>
      <c r="L14" s="28" t="str">
        <f>"129,7683"</f>
        <v>129,7683</v>
      </c>
      <c r="M14" s="26"/>
    </row>
    <row r="16" spans="1:13" ht="16">
      <c r="A16" s="81" t="s">
        <v>661</v>
      </c>
      <c r="B16" s="81"/>
      <c r="C16" s="82"/>
      <c r="D16" s="82"/>
      <c r="E16" s="82"/>
      <c r="F16" s="82"/>
      <c r="G16" s="82"/>
      <c r="H16" s="82"/>
      <c r="I16" s="82"/>
      <c r="J16" s="82"/>
    </row>
    <row r="17" spans="1:13">
      <c r="A17" s="22" t="s">
        <v>39</v>
      </c>
      <c r="B17" s="7" t="s">
        <v>843</v>
      </c>
      <c r="C17" s="7" t="s">
        <v>844</v>
      </c>
      <c r="D17" s="7" t="s">
        <v>845</v>
      </c>
      <c r="E17" s="8" t="s">
        <v>1292</v>
      </c>
      <c r="F17" s="7" t="s">
        <v>136</v>
      </c>
      <c r="G17" s="20" t="s">
        <v>103</v>
      </c>
      <c r="H17" s="22"/>
      <c r="I17" s="22"/>
      <c r="J17" s="22"/>
      <c r="K17" s="9" t="str">
        <f>"260,0"</f>
        <v>260,0</v>
      </c>
      <c r="L17" s="9" t="str">
        <f>"146,4840"</f>
        <v>146,4840</v>
      </c>
      <c r="M17" s="7"/>
    </row>
  </sheetData>
  <mergeCells count="15">
    <mergeCell ref="A8:J8"/>
    <mergeCell ref="A11:J11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DF7E-2232-485D-BF7D-9363B66EBBE0}">
  <dimension ref="A1:M28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3.5" style="5" bestFit="1" customWidth="1"/>
    <col min="7" max="9" width="5.5" style="18" customWidth="1"/>
    <col min="10" max="10" width="4.83203125" style="18" customWidth="1"/>
    <col min="11" max="11" width="10.5" style="19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68" t="s">
        <v>1264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0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278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40</v>
      </c>
      <c r="B6" s="7" t="s">
        <v>1095</v>
      </c>
      <c r="C6" s="7" t="s">
        <v>1096</v>
      </c>
      <c r="D6" s="7" t="s">
        <v>302</v>
      </c>
      <c r="E6" s="8" t="s">
        <v>1292</v>
      </c>
      <c r="F6" s="7" t="s">
        <v>157</v>
      </c>
      <c r="G6" s="21" t="s">
        <v>82</v>
      </c>
      <c r="H6" s="21" t="s">
        <v>82</v>
      </c>
      <c r="I6" s="21" t="s">
        <v>82</v>
      </c>
      <c r="J6" s="22"/>
      <c r="K6" s="41">
        <v>0</v>
      </c>
      <c r="L6" s="9" t="str">
        <f>"0,0000"</f>
        <v>0,0000</v>
      </c>
      <c r="M6" s="7" t="s">
        <v>381</v>
      </c>
    </row>
    <row r="8" spans="1:13" ht="16">
      <c r="A8" s="81" t="s">
        <v>41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33" t="s">
        <v>39</v>
      </c>
      <c r="B9" s="23" t="s">
        <v>1097</v>
      </c>
      <c r="C9" s="23" t="s">
        <v>1098</v>
      </c>
      <c r="D9" s="23" t="s">
        <v>733</v>
      </c>
      <c r="E9" s="24" t="s">
        <v>1292</v>
      </c>
      <c r="F9" s="23" t="s">
        <v>71</v>
      </c>
      <c r="G9" s="32" t="s">
        <v>72</v>
      </c>
      <c r="H9" s="32" t="s">
        <v>74</v>
      </c>
      <c r="I9" s="34" t="s">
        <v>313</v>
      </c>
      <c r="J9" s="33"/>
      <c r="K9" s="42" t="str">
        <f>"130,0"</f>
        <v>130,0</v>
      </c>
      <c r="L9" s="25" t="str">
        <f>"118,1895"</f>
        <v>118,1895</v>
      </c>
      <c r="M9" s="23" t="s">
        <v>546</v>
      </c>
    </row>
    <row r="10" spans="1:13">
      <c r="A10" s="39" t="s">
        <v>40</v>
      </c>
      <c r="B10" s="29" t="s">
        <v>1099</v>
      </c>
      <c r="C10" s="29" t="s">
        <v>1100</v>
      </c>
      <c r="D10" s="29" t="s">
        <v>1101</v>
      </c>
      <c r="E10" s="30" t="s">
        <v>1292</v>
      </c>
      <c r="F10" s="29" t="s">
        <v>97</v>
      </c>
      <c r="G10" s="40" t="s">
        <v>53</v>
      </c>
      <c r="H10" s="39"/>
      <c r="I10" s="39"/>
      <c r="J10" s="39"/>
      <c r="K10" s="43">
        <v>0</v>
      </c>
      <c r="L10" s="31" t="str">
        <f>"0,0000"</f>
        <v>0,0000</v>
      </c>
      <c r="M10" s="29" t="s">
        <v>633</v>
      </c>
    </row>
    <row r="11" spans="1:13">
      <c r="A11" s="37" t="s">
        <v>39</v>
      </c>
      <c r="B11" s="26" t="s">
        <v>1097</v>
      </c>
      <c r="C11" s="26" t="s">
        <v>1207</v>
      </c>
      <c r="D11" s="26" t="s">
        <v>733</v>
      </c>
      <c r="E11" s="27" t="s">
        <v>1294</v>
      </c>
      <c r="F11" s="26" t="s">
        <v>71</v>
      </c>
      <c r="G11" s="35" t="s">
        <v>72</v>
      </c>
      <c r="H11" s="35" t="s">
        <v>74</v>
      </c>
      <c r="I11" s="36" t="s">
        <v>313</v>
      </c>
      <c r="J11" s="37"/>
      <c r="K11" s="44" t="str">
        <f>"130,0"</f>
        <v>130,0</v>
      </c>
      <c r="L11" s="28" t="str">
        <f>"147,2641"</f>
        <v>147,2641</v>
      </c>
      <c r="M11" s="26" t="s">
        <v>546</v>
      </c>
    </row>
    <row r="13" spans="1:13" ht="16">
      <c r="A13" s="81" t="s">
        <v>67</v>
      </c>
      <c r="B13" s="81"/>
      <c r="C13" s="82"/>
      <c r="D13" s="82"/>
      <c r="E13" s="82"/>
      <c r="F13" s="82"/>
      <c r="G13" s="82"/>
      <c r="H13" s="82"/>
      <c r="I13" s="82"/>
      <c r="J13" s="82"/>
    </row>
    <row r="14" spans="1:13">
      <c r="A14" s="33" t="s">
        <v>39</v>
      </c>
      <c r="B14" s="23" t="s">
        <v>704</v>
      </c>
      <c r="C14" s="23" t="s">
        <v>705</v>
      </c>
      <c r="D14" s="23" t="s">
        <v>706</v>
      </c>
      <c r="E14" s="24" t="s">
        <v>1292</v>
      </c>
      <c r="F14" s="23" t="s">
        <v>71</v>
      </c>
      <c r="G14" s="32" t="s">
        <v>53</v>
      </c>
      <c r="H14" s="34" t="s">
        <v>292</v>
      </c>
      <c r="I14" s="32" t="s">
        <v>292</v>
      </c>
      <c r="J14" s="33"/>
      <c r="K14" s="42" t="str">
        <f>"132,5"</f>
        <v>132,5</v>
      </c>
      <c r="L14" s="25" t="str">
        <f>"115,5599"</f>
        <v>115,5599</v>
      </c>
      <c r="M14" s="23" t="s">
        <v>707</v>
      </c>
    </row>
    <row r="15" spans="1:13">
      <c r="A15" s="37" t="s">
        <v>39</v>
      </c>
      <c r="B15" s="26" t="s">
        <v>704</v>
      </c>
      <c r="C15" s="26" t="s">
        <v>1208</v>
      </c>
      <c r="D15" s="26" t="s">
        <v>706</v>
      </c>
      <c r="E15" s="27" t="s">
        <v>1294</v>
      </c>
      <c r="F15" s="26" t="s">
        <v>71</v>
      </c>
      <c r="G15" s="35" t="s">
        <v>53</v>
      </c>
      <c r="H15" s="36" t="s">
        <v>292</v>
      </c>
      <c r="I15" s="35" t="s">
        <v>292</v>
      </c>
      <c r="J15" s="37"/>
      <c r="K15" s="44" t="str">
        <f>"132,5"</f>
        <v>132,5</v>
      </c>
      <c r="L15" s="28" t="str">
        <f>"143,9876"</f>
        <v>143,9876</v>
      </c>
      <c r="M15" s="26" t="s">
        <v>707</v>
      </c>
    </row>
    <row r="17" spans="1:13" ht="16">
      <c r="A17" s="81" t="s">
        <v>41</v>
      </c>
      <c r="B17" s="81"/>
      <c r="C17" s="82"/>
      <c r="D17" s="82"/>
      <c r="E17" s="82"/>
      <c r="F17" s="82"/>
      <c r="G17" s="82"/>
      <c r="H17" s="82"/>
      <c r="I17" s="82"/>
      <c r="J17" s="82"/>
    </row>
    <row r="18" spans="1:13">
      <c r="A18" s="22" t="s">
        <v>39</v>
      </c>
      <c r="B18" s="7" t="s">
        <v>1102</v>
      </c>
      <c r="C18" s="7" t="s">
        <v>1209</v>
      </c>
      <c r="D18" s="7" t="s">
        <v>339</v>
      </c>
      <c r="E18" s="8" t="s">
        <v>1294</v>
      </c>
      <c r="F18" s="7" t="s">
        <v>574</v>
      </c>
      <c r="G18" s="20" t="s">
        <v>163</v>
      </c>
      <c r="H18" s="21" t="s">
        <v>81</v>
      </c>
      <c r="I18" s="21" t="s">
        <v>81</v>
      </c>
      <c r="J18" s="22"/>
      <c r="K18" s="41" t="str">
        <f>"167,5"</f>
        <v>167,5</v>
      </c>
      <c r="L18" s="9" t="str">
        <f>"148,4227"</f>
        <v>148,4227</v>
      </c>
      <c r="M18" s="7" t="s">
        <v>235</v>
      </c>
    </row>
    <row r="20" spans="1:13" ht="16">
      <c r="A20" s="81" t="s">
        <v>67</v>
      </c>
      <c r="B20" s="81"/>
      <c r="C20" s="82"/>
      <c r="D20" s="82"/>
      <c r="E20" s="82"/>
      <c r="F20" s="82"/>
      <c r="G20" s="82"/>
      <c r="H20" s="82"/>
      <c r="I20" s="82"/>
      <c r="J20" s="82"/>
    </row>
    <row r="21" spans="1:13">
      <c r="A21" s="22" t="s">
        <v>39</v>
      </c>
      <c r="B21" s="7" t="s">
        <v>1103</v>
      </c>
      <c r="C21" s="7" t="s">
        <v>1104</v>
      </c>
      <c r="D21" s="7" t="s">
        <v>1105</v>
      </c>
      <c r="E21" s="8" t="s">
        <v>1292</v>
      </c>
      <c r="F21" s="7" t="s">
        <v>332</v>
      </c>
      <c r="G21" s="20" t="s">
        <v>18</v>
      </c>
      <c r="H21" s="20" t="s">
        <v>92</v>
      </c>
      <c r="I21" s="21" t="s">
        <v>169</v>
      </c>
      <c r="J21" s="22"/>
      <c r="K21" s="41" t="str">
        <f>"185,0"</f>
        <v>185,0</v>
      </c>
      <c r="L21" s="9" t="str">
        <f>"134,8280"</f>
        <v>134,8280</v>
      </c>
      <c r="M21" s="7"/>
    </row>
    <row r="23" spans="1:13" ht="16">
      <c r="A23" s="81" t="s">
        <v>10</v>
      </c>
      <c r="B23" s="81"/>
      <c r="C23" s="82"/>
      <c r="D23" s="82"/>
      <c r="E23" s="82"/>
      <c r="F23" s="82"/>
      <c r="G23" s="82"/>
      <c r="H23" s="82"/>
      <c r="I23" s="82"/>
      <c r="J23" s="82"/>
    </row>
    <row r="24" spans="1:13">
      <c r="A24" s="22" t="s">
        <v>39</v>
      </c>
      <c r="B24" s="7" t="s">
        <v>1106</v>
      </c>
      <c r="C24" s="7" t="s">
        <v>1107</v>
      </c>
      <c r="D24" s="7" t="s">
        <v>1108</v>
      </c>
      <c r="E24" s="8" t="s">
        <v>1292</v>
      </c>
      <c r="F24" s="7" t="s">
        <v>175</v>
      </c>
      <c r="G24" s="20" t="s">
        <v>112</v>
      </c>
      <c r="H24" s="20" t="s">
        <v>1109</v>
      </c>
      <c r="I24" s="21" t="s">
        <v>503</v>
      </c>
      <c r="J24" s="22"/>
      <c r="K24" s="41" t="str">
        <f>"242,5"</f>
        <v>242,5</v>
      </c>
      <c r="L24" s="9" t="str">
        <f>"163,5056"</f>
        <v>163,5056</v>
      </c>
      <c r="M24" s="7" t="s">
        <v>1110</v>
      </c>
    </row>
    <row r="26" spans="1:13" ht="16">
      <c r="A26" s="81" t="s">
        <v>190</v>
      </c>
      <c r="B26" s="81"/>
      <c r="C26" s="82"/>
      <c r="D26" s="82"/>
      <c r="E26" s="82"/>
      <c r="F26" s="82"/>
      <c r="G26" s="82"/>
      <c r="H26" s="82"/>
      <c r="I26" s="82"/>
      <c r="J26" s="82"/>
    </row>
    <row r="27" spans="1:13">
      <c r="A27" s="33" t="s">
        <v>39</v>
      </c>
      <c r="B27" s="23" t="s">
        <v>1090</v>
      </c>
      <c r="C27" s="23" t="s">
        <v>1091</v>
      </c>
      <c r="D27" s="23" t="s">
        <v>1092</v>
      </c>
      <c r="E27" s="24" t="s">
        <v>1292</v>
      </c>
      <c r="F27" s="23" t="s">
        <v>347</v>
      </c>
      <c r="G27" s="32" t="s">
        <v>503</v>
      </c>
      <c r="H27" s="32" t="s">
        <v>466</v>
      </c>
      <c r="I27" s="34" t="s">
        <v>388</v>
      </c>
      <c r="J27" s="33"/>
      <c r="K27" s="42" t="str">
        <f>"272,5"</f>
        <v>272,5</v>
      </c>
      <c r="L27" s="25" t="str">
        <f>"156,0744"</f>
        <v>156,0744</v>
      </c>
      <c r="M27" s="23"/>
    </row>
    <row r="28" spans="1:13">
      <c r="A28" s="37" t="s">
        <v>39</v>
      </c>
      <c r="B28" s="26" t="s">
        <v>1090</v>
      </c>
      <c r="C28" s="26" t="s">
        <v>1210</v>
      </c>
      <c r="D28" s="26" t="s">
        <v>1092</v>
      </c>
      <c r="E28" s="27" t="s">
        <v>1295</v>
      </c>
      <c r="F28" s="26" t="s">
        <v>347</v>
      </c>
      <c r="G28" s="35" t="s">
        <v>503</v>
      </c>
      <c r="H28" s="35" t="s">
        <v>466</v>
      </c>
      <c r="I28" s="36" t="s">
        <v>388</v>
      </c>
      <c r="J28" s="37"/>
      <c r="K28" s="44" t="str">
        <f>"272,5"</f>
        <v>272,5</v>
      </c>
      <c r="L28" s="28" t="str">
        <f>"168,8725"</f>
        <v>168,8725</v>
      </c>
      <c r="M28" s="26"/>
    </row>
  </sheetData>
  <mergeCells count="18">
    <mergeCell ref="A26:J26"/>
    <mergeCell ref="K3:K4"/>
    <mergeCell ref="L3:L4"/>
    <mergeCell ref="M3:M4"/>
    <mergeCell ref="A5:J5"/>
    <mergeCell ref="B3:B4"/>
    <mergeCell ref="A8:J8"/>
    <mergeCell ref="A13:J13"/>
    <mergeCell ref="A17:J17"/>
    <mergeCell ref="A20:J20"/>
    <mergeCell ref="A23:J23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0286-349D-46A3-8049-A60137F14CF4}">
  <dimension ref="A1:M29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3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12.1640625" style="6" customWidth="1"/>
    <col min="13" max="13" width="23.1640625" style="5" customWidth="1"/>
    <col min="14" max="16384" width="9.1640625" style="3"/>
  </cols>
  <sheetData>
    <row r="1" spans="1:13" s="2" customFormat="1" ht="29" customHeight="1">
      <c r="A1" s="68" t="s">
        <v>1265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41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3" t="s">
        <v>39</v>
      </c>
      <c r="B6" s="23" t="s">
        <v>1075</v>
      </c>
      <c r="C6" s="23" t="s">
        <v>1076</v>
      </c>
      <c r="D6" s="23" t="s">
        <v>311</v>
      </c>
      <c r="E6" s="24" t="s">
        <v>1292</v>
      </c>
      <c r="F6" s="23" t="s">
        <v>1077</v>
      </c>
      <c r="G6" s="32" t="s">
        <v>18</v>
      </c>
      <c r="H6" s="32" t="s">
        <v>92</v>
      </c>
      <c r="I6" s="32" t="s">
        <v>195</v>
      </c>
      <c r="J6" s="33"/>
      <c r="K6" s="25" t="str">
        <f>"192,5"</f>
        <v>192,5</v>
      </c>
      <c r="L6" s="25" t="str">
        <f>"175,6274"</f>
        <v>175,6274</v>
      </c>
      <c r="M6" s="23" t="s">
        <v>1078</v>
      </c>
    </row>
    <row r="7" spans="1:13">
      <c r="A7" s="39" t="s">
        <v>219</v>
      </c>
      <c r="B7" s="29" t="s">
        <v>543</v>
      </c>
      <c r="C7" s="29" t="s">
        <v>544</v>
      </c>
      <c r="D7" s="29" t="s">
        <v>44</v>
      </c>
      <c r="E7" s="30" t="s">
        <v>1292</v>
      </c>
      <c r="F7" s="29" t="s">
        <v>71</v>
      </c>
      <c r="G7" s="38" t="s">
        <v>372</v>
      </c>
      <c r="H7" s="38" t="s">
        <v>98</v>
      </c>
      <c r="I7" s="40" t="s">
        <v>79</v>
      </c>
      <c r="J7" s="39"/>
      <c r="K7" s="31" t="str">
        <f>"150,0"</f>
        <v>150,0</v>
      </c>
      <c r="L7" s="31" t="str">
        <f>"135,4200"</f>
        <v>135,4200</v>
      </c>
      <c r="M7" s="29" t="s">
        <v>546</v>
      </c>
    </row>
    <row r="8" spans="1:13">
      <c r="A8" s="37" t="s">
        <v>39</v>
      </c>
      <c r="B8" s="26" t="s">
        <v>543</v>
      </c>
      <c r="C8" s="26" t="s">
        <v>1211</v>
      </c>
      <c r="D8" s="26" t="s">
        <v>44</v>
      </c>
      <c r="E8" s="27" t="s">
        <v>1295</v>
      </c>
      <c r="F8" s="26" t="s">
        <v>71</v>
      </c>
      <c r="G8" s="35" t="s">
        <v>372</v>
      </c>
      <c r="H8" s="35" t="s">
        <v>98</v>
      </c>
      <c r="I8" s="36" t="s">
        <v>79</v>
      </c>
      <c r="J8" s="37"/>
      <c r="K8" s="28" t="str">
        <f>"150,0"</f>
        <v>150,0</v>
      </c>
      <c r="L8" s="28" t="str">
        <f>"141,2431"</f>
        <v>141,2431</v>
      </c>
      <c r="M8" s="26" t="s">
        <v>546</v>
      </c>
    </row>
    <row r="10" spans="1:13" ht="16">
      <c r="A10" s="81" t="s">
        <v>67</v>
      </c>
      <c r="B10" s="81"/>
      <c r="C10" s="82"/>
      <c r="D10" s="82"/>
      <c r="E10" s="82"/>
      <c r="F10" s="82"/>
      <c r="G10" s="82"/>
      <c r="H10" s="82"/>
      <c r="I10" s="82"/>
      <c r="J10" s="82"/>
    </row>
    <row r="11" spans="1:13">
      <c r="A11" s="22" t="s">
        <v>39</v>
      </c>
      <c r="B11" s="7" t="s">
        <v>1079</v>
      </c>
      <c r="C11" s="7" t="s">
        <v>1212</v>
      </c>
      <c r="D11" s="7" t="s">
        <v>1080</v>
      </c>
      <c r="E11" s="8" t="s">
        <v>1294</v>
      </c>
      <c r="F11" s="7" t="s">
        <v>606</v>
      </c>
      <c r="G11" s="20" t="s">
        <v>75</v>
      </c>
      <c r="H11" s="20" t="s">
        <v>187</v>
      </c>
      <c r="I11" s="21" t="s">
        <v>373</v>
      </c>
      <c r="J11" s="22"/>
      <c r="K11" s="9" t="str">
        <f>"145,0"</f>
        <v>145,0</v>
      </c>
      <c r="L11" s="9" t="str">
        <f>"162,6553"</f>
        <v>162,6553</v>
      </c>
      <c r="M11" s="7" t="s">
        <v>755</v>
      </c>
    </row>
    <row r="13" spans="1:13" ht="16">
      <c r="A13" s="81" t="s">
        <v>67</v>
      </c>
      <c r="B13" s="81"/>
      <c r="C13" s="82"/>
      <c r="D13" s="82"/>
      <c r="E13" s="82"/>
      <c r="F13" s="82"/>
      <c r="G13" s="82"/>
      <c r="H13" s="82"/>
      <c r="I13" s="82"/>
      <c r="J13" s="82"/>
    </row>
    <row r="14" spans="1:13">
      <c r="A14" s="33" t="s">
        <v>39</v>
      </c>
      <c r="B14" s="23" t="s">
        <v>1081</v>
      </c>
      <c r="C14" s="23" t="s">
        <v>1082</v>
      </c>
      <c r="D14" s="23" t="s">
        <v>866</v>
      </c>
      <c r="E14" s="24" t="s">
        <v>1292</v>
      </c>
      <c r="F14" s="23" t="s">
        <v>71</v>
      </c>
      <c r="G14" s="32" t="s">
        <v>125</v>
      </c>
      <c r="H14" s="32" t="s">
        <v>112</v>
      </c>
      <c r="I14" s="34" t="s">
        <v>16</v>
      </c>
      <c r="J14" s="33"/>
      <c r="K14" s="25" t="str">
        <f>"230,0"</f>
        <v>230,0</v>
      </c>
      <c r="L14" s="25" t="str">
        <f>"158,3665"</f>
        <v>158,3665</v>
      </c>
      <c r="M14" s="23"/>
    </row>
    <row r="15" spans="1:13">
      <c r="A15" s="37" t="s">
        <v>39</v>
      </c>
      <c r="B15" s="26" t="s">
        <v>1081</v>
      </c>
      <c r="C15" s="26" t="s">
        <v>1213</v>
      </c>
      <c r="D15" s="26" t="s">
        <v>866</v>
      </c>
      <c r="E15" s="27" t="s">
        <v>1295</v>
      </c>
      <c r="F15" s="26" t="s">
        <v>71</v>
      </c>
      <c r="G15" s="35" t="s">
        <v>125</v>
      </c>
      <c r="H15" s="35" t="s">
        <v>112</v>
      </c>
      <c r="I15" s="36" t="s">
        <v>16</v>
      </c>
      <c r="J15" s="37"/>
      <c r="K15" s="28" t="str">
        <f>"230,0"</f>
        <v>230,0</v>
      </c>
      <c r="L15" s="28" t="str">
        <f>"173,7280"</f>
        <v>173,7280</v>
      </c>
      <c r="M15" s="26"/>
    </row>
    <row r="17" spans="1:13" ht="16">
      <c r="A17" s="81" t="s">
        <v>113</v>
      </c>
      <c r="B17" s="81"/>
      <c r="C17" s="82"/>
      <c r="D17" s="82"/>
      <c r="E17" s="82"/>
      <c r="F17" s="82"/>
      <c r="G17" s="82"/>
      <c r="H17" s="82"/>
      <c r="I17" s="82"/>
      <c r="J17" s="82"/>
    </row>
    <row r="18" spans="1:13">
      <c r="A18" s="33" t="s">
        <v>39</v>
      </c>
      <c r="B18" s="23" t="s">
        <v>1002</v>
      </c>
      <c r="C18" s="23" t="s">
        <v>1003</v>
      </c>
      <c r="D18" s="23" t="s">
        <v>1004</v>
      </c>
      <c r="E18" s="24" t="s">
        <v>1292</v>
      </c>
      <c r="F18" s="23" t="s">
        <v>574</v>
      </c>
      <c r="G18" s="32" t="s">
        <v>153</v>
      </c>
      <c r="H18" s="34" t="s">
        <v>126</v>
      </c>
      <c r="I18" s="34" t="s">
        <v>1083</v>
      </c>
      <c r="J18" s="33"/>
      <c r="K18" s="25" t="str">
        <f>"280,0"</f>
        <v>280,0</v>
      </c>
      <c r="L18" s="25" t="str">
        <f>"171,9620"</f>
        <v>171,9620</v>
      </c>
      <c r="M18" s="23"/>
    </row>
    <row r="19" spans="1:13">
      <c r="A19" s="39" t="s">
        <v>219</v>
      </c>
      <c r="B19" s="29" t="s">
        <v>1084</v>
      </c>
      <c r="C19" s="29" t="s">
        <v>1085</v>
      </c>
      <c r="D19" s="29" t="s">
        <v>584</v>
      </c>
      <c r="E19" s="30" t="s">
        <v>1292</v>
      </c>
      <c r="F19" s="29" t="s">
        <v>578</v>
      </c>
      <c r="G19" s="38" t="s">
        <v>103</v>
      </c>
      <c r="H19" s="40" t="s">
        <v>411</v>
      </c>
      <c r="I19" s="38" t="s">
        <v>466</v>
      </c>
      <c r="J19" s="39"/>
      <c r="K19" s="31" t="str">
        <f>"272,5"</f>
        <v>272,5</v>
      </c>
      <c r="L19" s="31" t="str">
        <f>"169,1952"</f>
        <v>169,1952</v>
      </c>
      <c r="M19" s="29" t="s">
        <v>1284</v>
      </c>
    </row>
    <row r="20" spans="1:13">
      <c r="A20" s="37" t="s">
        <v>39</v>
      </c>
      <c r="B20" s="26" t="s">
        <v>1002</v>
      </c>
      <c r="C20" s="26" t="s">
        <v>1214</v>
      </c>
      <c r="D20" s="26" t="s">
        <v>1004</v>
      </c>
      <c r="E20" s="27" t="s">
        <v>1295</v>
      </c>
      <c r="F20" s="26" t="s">
        <v>574</v>
      </c>
      <c r="G20" s="35" t="s">
        <v>153</v>
      </c>
      <c r="H20" s="36" t="s">
        <v>126</v>
      </c>
      <c r="I20" s="36" t="s">
        <v>1083</v>
      </c>
      <c r="J20" s="37"/>
      <c r="K20" s="28" t="str">
        <f>"280,0"</f>
        <v>280,0</v>
      </c>
      <c r="L20" s="28" t="str">
        <f>"171,9620"</f>
        <v>171,9620</v>
      </c>
      <c r="M20" s="26"/>
    </row>
    <row r="22" spans="1:13" ht="16">
      <c r="A22" s="81" t="s">
        <v>137</v>
      </c>
      <c r="B22" s="81"/>
      <c r="C22" s="82"/>
      <c r="D22" s="82"/>
      <c r="E22" s="82"/>
      <c r="F22" s="82"/>
      <c r="G22" s="82"/>
      <c r="H22" s="82"/>
      <c r="I22" s="82"/>
      <c r="J22" s="82"/>
    </row>
    <row r="23" spans="1:13">
      <c r="A23" s="33" t="s">
        <v>39</v>
      </c>
      <c r="B23" s="23" t="s">
        <v>1086</v>
      </c>
      <c r="C23" s="23" t="s">
        <v>1087</v>
      </c>
      <c r="D23" s="23" t="s">
        <v>615</v>
      </c>
      <c r="E23" s="24" t="s">
        <v>1292</v>
      </c>
      <c r="F23" s="23" t="s">
        <v>14</v>
      </c>
      <c r="G23" s="32" t="s">
        <v>20</v>
      </c>
      <c r="H23" s="34" t="s">
        <v>503</v>
      </c>
      <c r="I23" s="34" t="s">
        <v>503</v>
      </c>
      <c r="J23" s="33"/>
      <c r="K23" s="25" t="str">
        <f>"245,0"</f>
        <v>245,0</v>
      </c>
      <c r="L23" s="25" t="str">
        <f>"142,9697"</f>
        <v>142,9697</v>
      </c>
      <c r="M23" s="23" t="s">
        <v>1088</v>
      </c>
    </row>
    <row r="24" spans="1:13">
      <c r="A24" s="37" t="s">
        <v>39</v>
      </c>
      <c r="B24" s="26" t="s">
        <v>1089</v>
      </c>
      <c r="C24" s="26" t="s">
        <v>1215</v>
      </c>
      <c r="D24" s="26" t="s">
        <v>629</v>
      </c>
      <c r="E24" s="27" t="s">
        <v>1295</v>
      </c>
      <c r="F24" s="26" t="s">
        <v>268</v>
      </c>
      <c r="G24" s="36" t="s">
        <v>85</v>
      </c>
      <c r="H24" s="36" t="s">
        <v>85</v>
      </c>
      <c r="I24" s="35" t="s">
        <v>85</v>
      </c>
      <c r="J24" s="37"/>
      <c r="K24" s="28" t="str">
        <f>"210,0"</f>
        <v>210,0</v>
      </c>
      <c r="L24" s="28" t="str">
        <f>"125,2642"</f>
        <v>125,2642</v>
      </c>
      <c r="M24" s="26"/>
    </row>
    <row r="26" spans="1:13" ht="16">
      <c r="A26" s="81" t="s">
        <v>190</v>
      </c>
      <c r="B26" s="81"/>
      <c r="C26" s="82"/>
      <c r="D26" s="82"/>
      <c r="E26" s="82"/>
      <c r="F26" s="82"/>
      <c r="G26" s="82"/>
      <c r="H26" s="82"/>
      <c r="I26" s="82"/>
      <c r="J26" s="82"/>
    </row>
    <row r="27" spans="1:13">
      <c r="A27" s="33" t="s">
        <v>39</v>
      </c>
      <c r="B27" s="23" t="s">
        <v>1090</v>
      </c>
      <c r="C27" s="23" t="s">
        <v>1091</v>
      </c>
      <c r="D27" s="23" t="s">
        <v>1092</v>
      </c>
      <c r="E27" s="24" t="s">
        <v>1292</v>
      </c>
      <c r="F27" s="23" t="s">
        <v>347</v>
      </c>
      <c r="G27" s="32" t="s">
        <v>503</v>
      </c>
      <c r="H27" s="32" t="s">
        <v>466</v>
      </c>
      <c r="I27" s="34" t="s">
        <v>388</v>
      </c>
      <c r="J27" s="33"/>
      <c r="K27" s="25" t="str">
        <f>"272,5"</f>
        <v>272,5</v>
      </c>
      <c r="L27" s="25" t="str">
        <f>"156,0744"</f>
        <v>156,0744</v>
      </c>
      <c r="M27" s="23"/>
    </row>
    <row r="28" spans="1:13">
      <c r="A28" s="39" t="s">
        <v>219</v>
      </c>
      <c r="B28" s="29" t="s">
        <v>1093</v>
      </c>
      <c r="C28" s="29" t="s">
        <v>1094</v>
      </c>
      <c r="D28" s="29" t="s">
        <v>193</v>
      </c>
      <c r="E28" s="30" t="s">
        <v>1292</v>
      </c>
      <c r="F28" s="29" t="s">
        <v>14</v>
      </c>
      <c r="G28" s="38" t="s">
        <v>20</v>
      </c>
      <c r="H28" s="38" t="s">
        <v>16</v>
      </c>
      <c r="I28" s="40" t="s">
        <v>503</v>
      </c>
      <c r="J28" s="39"/>
      <c r="K28" s="31" t="str">
        <f>"250,0"</f>
        <v>250,0</v>
      </c>
      <c r="L28" s="31" t="str">
        <f>"140,9875"</f>
        <v>140,9875</v>
      </c>
      <c r="M28" s="29" t="s">
        <v>1088</v>
      </c>
    </row>
    <row r="29" spans="1:13">
      <c r="A29" s="37" t="s">
        <v>39</v>
      </c>
      <c r="B29" s="26" t="s">
        <v>1093</v>
      </c>
      <c r="C29" s="26" t="s">
        <v>1216</v>
      </c>
      <c r="D29" s="26" t="s">
        <v>193</v>
      </c>
      <c r="E29" s="27" t="s">
        <v>1295</v>
      </c>
      <c r="F29" s="26" t="s">
        <v>14</v>
      </c>
      <c r="G29" s="35" t="s">
        <v>20</v>
      </c>
      <c r="H29" s="35" t="s">
        <v>16</v>
      </c>
      <c r="I29" s="36" t="s">
        <v>503</v>
      </c>
      <c r="J29" s="37"/>
      <c r="K29" s="28" t="str">
        <f>"250,0"</f>
        <v>250,0</v>
      </c>
      <c r="L29" s="28" t="str">
        <f>"154,6633"</f>
        <v>154,6633</v>
      </c>
      <c r="M29" s="26" t="s">
        <v>1088</v>
      </c>
    </row>
  </sheetData>
  <mergeCells count="17">
    <mergeCell ref="A26:J26"/>
    <mergeCell ref="A5:J5"/>
    <mergeCell ref="A10:J10"/>
    <mergeCell ref="A13:J13"/>
    <mergeCell ref="A17:J17"/>
    <mergeCell ref="A22:J22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3569-C498-49F0-9F88-37F951A0445B}">
  <dimension ref="A1:U56"/>
  <sheetViews>
    <sheetView topLeftCell="A26" workbookViewId="0">
      <selection activeCell="E46" sqref="E46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19" bestFit="1" customWidth="1"/>
    <col min="20" max="20" width="8.5" style="6" bestFit="1" customWidth="1"/>
    <col min="21" max="21" width="22.33203125" style="5" bestFit="1" customWidth="1"/>
    <col min="22" max="16384" width="9.1640625" style="3"/>
  </cols>
  <sheetData>
    <row r="1" spans="1:21" s="2" customFormat="1" ht="29" customHeight="1">
      <c r="A1" s="68" t="s">
        <v>1248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7</v>
      </c>
      <c r="H3" s="80"/>
      <c r="I3" s="80"/>
      <c r="J3" s="80"/>
      <c r="K3" s="80" t="s">
        <v>8</v>
      </c>
      <c r="L3" s="80"/>
      <c r="M3" s="80"/>
      <c r="N3" s="80"/>
      <c r="O3" s="80" t="s">
        <v>9</v>
      </c>
      <c r="P3" s="80"/>
      <c r="Q3" s="80"/>
      <c r="R3" s="80"/>
      <c r="S3" s="60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3"/>
      <c r="U4" s="65"/>
    </row>
    <row r="5" spans="1:21" ht="16">
      <c r="A5" s="66" t="s">
        <v>41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33" t="s">
        <v>39</v>
      </c>
      <c r="B6" s="23" t="s">
        <v>42</v>
      </c>
      <c r="C6" s="23" t="s">
        <v>43</v>
      </c>
      <c r="D6" s="23" t="s">
        <v>44</v>
      </c>
      <c r="E6" s="24" t="s">
        <v>1292</v>
      </c>
      <c r="F6" s="23" t="s">
        <v>45</v>
      </c>
      <c r="G6" s="32" t="s">
        <v>46</v>
      </c>
      <c r="H6" s="32" t="s">
        <v>47</v>
      </c>
      <c r="I6" s="32" t="s">
        <v>48</v>
      </c>
      <c r="J6" s="33"/>
      <c r="K6" s="32" t="s">
        <v>49</v>
      </c>
      <c r="L6" s="34" t="s">
        <v>50</v>
      </c>
      <c r="M6" s="32" t="s">
        <v>51</v>
      </c>
      <c r="N6" s="33"/>
      <c r="O6" s="34" t="s">
        <v>52</v>
      </c>
      <c r="P6" s="32" t="s">
        <v>53</v>
      </c>
      <c r="Q6" s="34" t="s">
        <v>54</v>
      </c>
      <c r="R6" s="33"/>
      <c r="S6" s="42" t="str">
        <f>"247,5"</f>
        <v>247,5</v>
      </c>
      <c r="T6" s="25" t="str">
        <f>"253,4153"</f>
        <v>253,4153</v>
      </c>
      <c r="U6" s="23" t="s">
        <v>55</v>
      </c>
    </row>
    <row r="7" spans="1:21">
      <c r="A7" s="37" t="s">
        <v>219</v>
      </c>
      <c r="B7" s="26" t="s">
        <v>56</v>
      </c>
      <c r="C7" s="26" t="s">
        <v>57</v>
      </c>
      <c r="D7" s="26" t="s">
        <v>58</v>
      </c>
      <c r="E7" s="27" t="s">
        <v>1292</v>
      </c>
      <c r="F7" s="26" t="s">
        <v>59</v>
      </c>
      <c r="G7" s="35" t="s">
        <v>60</v>
      </c>
      <c r="H7" s="36" t="s">
        <v>61</v>
      </c>
      <c r="I7" s="36" t="s">
        <v>61</v>
      </c>
      <c r="J7" s="37"/>
      <c r="K7" s="35" t="s">
        <v>62</v>
      </c>
      <c r="L7" s="36" t="s">
        <v>63</v>
      </c>
      <c r="M7" s="36" t="s">
        <v>63</v>
      </c>
      <c r="N7" s="37"/>
      <c r="O7" s="35" t="s">
        <v>46</v>
      </c>
      <c r="P7" s="35" t="s">
        <v>64</v>
      </c>
      <c r="Q7" s="35" t="s">
        <v>65</v>
      </c>
      <c r="R7" s="37"/>
      <c r="S7" s="44" t="str">
        <f>"212,5"</f>
        <v>212,5</v>
      </c>
      <c r="T7" s="28" t="str">
        <f>"225,5263"</f>
        <v>225,5263</v>
      </c>
      <c r="U7" s="26" t="s">
        <v>66</v>
      </c>
    </row>
    <row r="9" spans="1:21" ht="16">
      <c r="A9" s="81" t="s">
        <v>67</v>
      </c>
      <c r="B9" s="81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1">
      <c r="A10" s="22" t="s">
        <v>39</v>
      </c>
      <c r="B10" s="7" t="s">
        <v>68</v>
      </c>
      <c r="C10" s="7" t="s">
        <v>69</v>
      </c>
      <c r="D10" s="7" t="s">
        <v>70</v>
      </c>
      <c r="E10" s="8" t="s">
        <v>1292</v>
      </c>
      <c r="F10" s="7" t="s">
        <v>71</v>
      </c>
      <c r="G10" s="20" t="s">
        <v>53</v>
      </c>
      <c r="H10" s="20" t="s">
        <v>54</v>
      </c>
      <c r="I10" s="20" t="s">
        <v>72</v>
      </c>
      <c r="J10" s="22"/>
      <c r="K10" s="20" t="s">
        <v>46</v>
      </c>
      <c r="L10" s="21" t="s">
        <v>73</v>
      </c>
      <c r="M10" s="20" t="s">
        <v>73</v>
      </c>
      <c r="N10" s="22"/>
      <c r="O10" s="20" t="s">
        <v>72</v>
      </c>
      <c r="P10" s="20" t="s">
        <v>74</v>
      </c>
      <c r="Q10" s="20" t="s">
        <v>75</v>
      </c>
      <c r="R10" s="22"/>
      <c r="S10" s="41" t="str">
        <f>"342,5"</f>
        <v>342,5</v>
      </c>
      <c r="T10" s="9" t="str">
        <f>"348,0827"</f>
        <v>348,0827</v>
      </c>
      <c r="U10" s="7"/>
    </row>
    <row r="12" spans="1:21" ht="16">
      <c r="A12" s="81" t="s">
        <v>76</v>
      </c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21">
      <c r="A13" s="22" t="s">
        <v>39</v>
      </c>
      <c r="B13" s="7" t="s">
        <v>77</v>
      </c>
      <c r="C13" s="7" t="s">
        <v>1159</v>
      </c>
      <c r="D13" s="7" t="s">
        <v>78</v>
      </c>
      <c r="E13" s="8" t="s">
        <v>1294</v>
      </c>
      <c r="F13" s="7" t="s">
        <v>1240</v>
      </c>
      <c r="G13" s="20" t="s">
        <v>79</v>
      </c>
      <c r="H13" s="20" t="s">
        <v>80</v>
      </c>
      <c r="I13" s="20" t="s">
        <v>81</v>
      </c>
      <c r="J13" s="22"/>
      <c r="K13" s="20" t="s">
        <v>48</v>
      </c>
      <c r="L13" s="20" t="s">
        <v>82</v>
      </c>
      <c r="M13" s="21" t="s">
        <v>53</v>
      </c>
      <c r="N13" s="22"/>
      <c r="O13" s="20" t="s">
        <v>83</v>
      </c>
      <c r="P13" s="20" t="s">
        <v>84</v>
      </c>
      <c r="Q13" s="21" t="s">
        <v>85</v>
      </c>
      <c r="R13" s="22"/>
      <c r="S13" s="41" t="str">
        <f>"490,0"</f>
        <v>490,0</v>
      </c>
      <c r="T13" s="9" t="str">
        <f>"457,9438"</f>
        <v>457,9438</v>
      </c>
      <c r="U13" s="7" t="s">
        <v>86</v>
      </c>
    </row>
    <row r="15" spans="1:21" ht="16">
      <c r="A15" s="81" t="s">
        <v>10</v>
      </c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spans="1:21">
      <c r="A16" s="33" t="s">
        <v>39</v>
      </c>
      <c r="B16" s="23" t="s">
        <v>87</v>
      </c>
      <c r="C16" s="23" t="s">
        <v>88</v>
      </c>
      <c r="D16" s="23" t="s">
        <v>89</v>
      </c>
      <c r="E16" s="24" t="s">
        <v>1292</v>
      </c>
      <c r="F16" s="23" t="s">
        <v>45</v>
      </c>
      <c r="G16" s="34" t="s">
        <v>90</v>
      </c>
      <c r="H16" s="32" t="s">
        <v>90</v>
      </c>
      <c r="I16" s="32" t="s">
        <v>15</v>
      </c>
      <c r="J16" s="33"/>
      <c r="K16" s="32" t="s">
        <v>91</v>
      </c>
      <c r="L16" s="32" t="s">
        <v>80</v>
      </c>
      <c r="M16" s="32" t="s">
        <v>92</v>
      </c>
      <c r="N16" s="33"/>
      <c r="O16" s="34" t="s">
        <v>93</v>
      </c>
      <c r="P16" s="34" t="s">
        <v>93</v>
      </c>
      <c r="Q16" s="32" t="s">
        <v>93</v>
      </c>
      <c r="R16" s="33"/>
      <c r="S16" s="42" t="str">
        <f>"660,0"</f>
        <v>660,0</v>
      </c>
      <c r="T16" s="25" t="str">
        <f>"443,7840"</f>
        <v>443,7840</v>
      </c>
      <c r="U16" s="23" t="s">
        <v>282</v>
      </c>
    </row>
    <row r="17" spans="1:21">
      <c r="A17" s="39" t="s">
        <v>219</v>
      </c>
      <c r="B17" s="29" t="s">
        <v>94</v>
      </c>
      <c r="C17" s="29" t="s">
        <v>95</v>
      </c>
      <c r="D17" s="29" t="s">
        <v>96</v>
      </c>
      <c r="E17" s="30" t="s">
        <v>1292</v>
      </c>
      <c r="F17" s="29" t="s">
        <v>97</v>
      </c>
      <c r="G17" s="38" t="s">
        <v>85</v>
      </c>
      <c r="H17" s="38" t="s">
        <v>125</v>
      </c>
      <c r="I17" s="38" t="s">
        <v>90</v>
      </c>
      <c r="J17" s="39"/>
      <c r="K17" s="38" t="s">
        <v>187</v>
      </c>
      <c r="L17" s="38" t="s">
        <v>98</v>
      </c>
      <c r="M17" s="40" t="s">
        <v>317</v>
      </c>
      <c r="N17" s="39"/>
      <c r="O17" s="38" t="s">
        <v>17</v>
      </c>
      <c r="P17" s="40" t="s">
        <v>389</v>
      </c>
      <c r="Q17" s="40" t="s">
        <v>389</v>
      </c>
      <c r="R17" s="39"/>
      <c r="S17" s="43" t="str">
        <f>"640,0"</f>
        <v>640,0</v>
      </c>
      <c r="T17" s="31" t="str">
        <f>"431,2960"</f>
        <v>431,2960</v>
      </c>
      <c r="U17" s="29"/>
    </row>
    <row r="18" spans="1:21">
      <c r="A18" s="39" t="s">
        <v>220</v>
      </c>
      <c r="B18" s="29" t="s">
        <v>99</v>
      </c>
      <c r="C18" s="29" t="s">
        <v>100</v>
      </c>
      <c r="D18" s="29" t="s">
        <v>101</v>
      </c>
      <c r="E18" s="30" t="s">
        <v>1292</v>
      </c>
      <c r="F18" s="29" t="s">
        <v>71</v>
      </c>
      <c r="G18" s="38" t="s">
        <v>83</v>
      </c>
      <c r="H18" s="38" t="s">
        <v>80</v>
      </c>
      <c r="I18" s="40" t="s">
        <v>81</v>
      </c>
      <c r="J18" s="39"/>
      <c r="K18" s="38" t="s">
        <v>102</v>
      </c>
      <c r="L18" s="40" t="s">
        <v>74</v>
      </c>
      <c r="M18" s="40" t="s">
        <v>74</v>
      </c>
      <c r="N18" s="39"/>
      <c r="O18" s="38" t="s">
        <v>93</v>
      </c>
      <c r="P18" s="38" t="s">
        <v>16</v>
      </c>
      <c r="Q18" s="40" t="s">
        <v>103</v>
      </c>
      <c r="R18" s="39"/>
      <c r="S18" s="43" t="str">
        <f>"555,0"</f>
        <v>555,0</v>
      </c>
      <c r="T18" s="31" t="str">
        <f>"371,7945"</f>
        <v>371,7945</v>
      </c>
      <c r="U18" s="29" t="s">
        <v>104</v>
      </c>
    </row>
    <row r="19" spans="1:21">
      <c r="A19" s="37" t="s">
        <v>39</v>
      </c>
      <c r="B19" s="26" t="s">
        <v>105</v>
      </c>
      <c r="C19" s="26" t="s">
        <v>1160</v>
      </c>
      <c r="D19" s="26" t="s">
        <v>106</v>
      </c>
      <c r="E19" s="27" t="s">
        <v>1295</v>
      </c>
      <c r="F19" s="26" t="s">
        <v>107</v>
      </c>
      <c r="G19" s="35" t="s">
        <v>108</v>
      </c>
      <c r="H19" s="35" t="s">
        <v>85</v>
      </c>
      <c r="I19" s="36" t="s">
        <v>109</v>
      </c>
      <c r="J19" s="37"/>
      <c r="K19" s="35" t="s">
        <v>110</v>
      </c>
      <c r="L19" s="35" t="s">
        <v>79</v>
      </c>
      <c r="M19" s="36" t="s">
        <v>111</v>
      </c>
      <c r="N19" s="37"/>
      <c r="O19" s="35" t="s">
        <v>112</v>
      </c>
      <c r="P19" s="35" t="s">
        <v>93</v>
      </c>
      <c r="Q19" s="36" t="s">
        <v>20</v>
      </c>
      <c r="R19" s="37"/>
      <c r="S19" s="44" t="str">
        <f>"610,0"</f>
        <v>610,0</v>
      </c>
      <c r="T19" s="28" t="str">
        <f>"417,5484"</f>
        <v>417,5484</v>
      </c>
      <c r="U19" s="26"/>
    </row>
    <row r="21" spans="1:21" ht="16">
      <c r="A21" s="81" t="s">
        <v>113</v>
      </c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21">
      <c r="A22" s="33" t="s">
        <v>39</v>
      </c>
      <c r="B22" s="23" t="s">
        <v>114</v>
      </c>
      <c r="C22" s="23" t="s">
        <v>115</v>
      </c>
      <c r="D22" s="23" t="s">
        <v>116</v>
      </c>
      <c r="E22" s="24" t="s">
        <v>1292</v>
      </c>
      <c r="F22" s="23" t="s">
        <v>117</v>
      </c>
      <c r="G22" s="34" t="s">
        <v>16</v>
      </c>
      <c r="H22" s="32" t="s">
        <v>16</v>
      </c>
      <c r="I22" s="32" t="s">
        <v>103</v>
      </c>
      <c r="J22" s="33"/>
      <c r="K22" s="32" t="s">
        <v>18</v>
      </c>
      <c r="L22" s="32" t="s">
        <v>19</v>
      </c>
      <c r="M22" s="32" t="s">
        <v>118</v>
      </c>
      <c r="N22" s="33"/>
      <c r="O22" s="32" t="s">
        <v>28</v>
      </c>
      <c r="P22" s="32" t="s">
        <v>119</v>
      </c>
      <c r="Q22" s="32" t="s">
        <v>120</v>
      </c>
      <c r="R22" s="33"/>
      <c r="S22" s="42" t="str">
        <f>"775,0"</f>
        <v>775,0</v>
      </c>
      <c r="T22" s="25" t="str">
        <f>"494,7600"</f>
        <v>494,7600</v>
      </c>
      <c r="U22" s="23"/>
    </row>
    <row r="23" spans="1:21">
      <c r="A23" s="39" t="s">
        <v>219</v>
      </c>
      <c r="B23" s="29" t="s">
        <v>121</v>
      </c>
      <c r="C23" s="29" t="s">
        <v>122</v>
      </c>
      <c r="D23" s="29" t="s">
        <v>123</v>
      </c>
      <c r="E23" s="30" t="s">
        <v>1292</v>
      </c>
      <c r="F23" s="29" t="s">
        <v>1241</v>
      </c>
      <c r="G23" s="38" t="s">
        <v>16</v>
      </c>
      <c r="H23" s="38" t="s">
        <v>124</v>
      </c>
      <c r="I23" s="40" t="s">
        <v>103</v>
      </c>
      <c r="J23" s="39"/>
      <c r="K23" s="38" t="s">
        <v>125</v>
      </c>
      <c r="L23" s="38" t="s">
        <v>90</v>
      </c>
      <c r="M23" s="40" t="s">
        <v>112</v>
      </c>
      <c r="N23" s="39"/>
      <c r="O23" s="40" t="s">
        <v>126</v>
      </c>
      <c r="P23" s="40" t="s">
        <v>126</v>
      </c>
      <c r="Q23" s="38" t="s">
        <v>126</v>
      </c>
      <c r="R23" s="39"/>
      <c r="S23" s="43" t="str">
        <f>"772,5"</f>
        <v>772,5</v>
      </c>
      <c r="T23" s="31" t="str">
        <f>"494,5545"</f>
        <v>494,5545</v>
      </c>
      <c r="U23" s="29"/>
    </row>
    <row r="24" spans="1:21">
      <c r="A24" s="39" t="s">
        <v>220</v>
      </c>
      <c r="B24" s="29" t="s">
        <v>127</v>
      </c>
      <c r="C24" s="29" t="s">
        <v>128</v>
      </c>
      <c r="D24" s="29" t="s">
        <v>129</v>
      </c>
      <c r="E24" s="30" t="s">
        <v>1292</v>
      </c>
      <c r="F24" s="29" t="s">
        <v>130</v>
      </c>
      <c r="G24" s="38" t="s">
        <v>93</v>
      </c>
      <c r="H24" s="38" t="s">
        <v>131</v>
      </c>
      <c r="I24" s="38" t="s">
        <v>103</v>
      </c>
      <c r="J24" s="39"/>
      <c r="K24" s="38" t="s">
        <v>79</v>
      </c>
      <c r="L24" s="38" t="s">
        <v>83</v>
      </c>
      <c r="M24" s="40" t="s">
        <v>18</v>
      </c>
      <c r="N24" s="39"/>
      <c r="O24" s="40" t="s">
        <v>126</v>
      </c>
      <c r="P24" s="38" t="s">
        <v>126</v>
      </c>
      <c r="Q24" s="40" t="s">
        <v>132</v>
      </c>
      <c r="R24" s="39"/>
      <c r="S24" s="43" t="str">
        <f>"720,0"</f>
        <v>720,0</v>
      </c>
      <c r="T24" s="31" t="str">
        <f>"463,6800"</f>
        <v>463,6800</v>
      </c>
      <c r="U24" s="29"/>
    </row>
    <row r="25" spans="1:21">
      <c r="A25" s="37" t="s">
        <v>221</v>
      </c>
      <c r="B25" s="26" t="s">
        <v>133</v>
      </c>
      <c r="C25" s="26" t="s">
        <v>134</v>
      </c>
      <c r="D25" s="26" t="s">
        <v>135</v>
      </c>
      <c r="E25" s="27" t="s">
        <v>1292</v>
      </c>
      <c r="F25" s="26" t="s">
        <v>136</v>
      </c>
      <c r="G25" s="35" t="s">
        <v>81</v>
      </c>
      <c r="H25" s="35" t="s">
        <v>84</v>
      </c>
      <c r="I25" s="35" t="s">
        <v>125</v>
      </c>
      <c r="J25" s="37"/>
      <c r="K25" s="35" t="s">
        <v>72</v>
      </c>
      <c r="L25" s="35" t="s">
        <v>74</v>
      </c>
      <c r="M25" s="36" t="s">
        <v>75</v>
      </c>
      <c r="N25" s="37"/>
      <c r="O25" s="35" t="s">
        <v>85</v>
      </c>
      <c r="P25" s="36" t="s">
        <v>112</v>
      </c>
      <c r="Q25" s="36" t="s">
        <v>112</v>
      </c>
      <c r="R25" s="37"/>
      <c r="S25" s="44" t="str">
        <f>"560,0"</f>
        <v>560,0</v>
      </c>
      <c r="T25" s="28" t="str">
        <f>"363,0480"</f>
        <v>363,0480</v>
      </c>
      <c r="U25" s="26"/>
    </row>
    <row r="27" spans="1:21" ht="16">
      <c r="A27" s="81" t="s">
        <v>137</v>
      </c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</row>
    <row r="28" spans="1:21">
      <c r="A28" s="33" t="s">
        <v>39</v>
      </c>
      <c r="B28" s="23" t="s">
        <v>138</v>
      </c>
      <c r="C28" s="23" t="s">
        <v>1161</v>
      </c>
      <c r="D28" s="23" t="s">
        <v>139</v>
      </c>
      <c r="E28" s="24" t="s">
        <v>1293</v>
      </c>
      <c r="F28" s="23" t="s">
        <v>71</v>
      </c>
      <c r="G28" s="34" t="s">
        <v>110</v>
      </c>
      <c r="H28" s="32" t="s">
        <v>110</v>
      </c>
      <c r="I28" s="32" t="s">
        <v>111</v>
      </c>
      <c r="J28" s="33"/>
      <c r="K28" s="32" t="s">
        <v>52</v>
      </c>
      <c r="L28" s="32" t="s">
        <v>53</v>
      </c>
      <c r="M28" s="32" t="s">
        <v>140</v>
      </c>
      <c r="N28" s="33"/>
      <c r="O28" s="32" t="s">
        <v>79</v>
      </c>
      <c r="P28" s="32" t="s">
        <v>83</v>
      </c>
      <c r="Q28" s="32" t="s">
        <v>80</v>
      </c>
      <c r="R28" s="33"/>
      <c r="S28" s="42" t="str">
        <f>"457,5"</f>
        <v>457,5</v>
      </c>
      <c r="T28" s="25" t="str">
        <f>"290,9243"</f>
        <v>290,9243</v>
      </c>
      <c r="U28" s="23" t="s">
        <v>55</v>
      </c>
    </row>
    <row r="29" spans="1:21">
      <c r="A29" s="39" t="s">
        <v>39</v>
      </c>
      <c r="B29" s="29" t="s">
        <v>141</v>
      </c>
      <c r="C29" s="29" t="s">
        <v>142</v>
      </c>
      <c r="D29" s="29" t="s">
        <v>143</v>
      </c>
      <c r="E29" s="30" t="s">
        <v>1292</v>
      </c>
      <c r="F29" s="29" t="s">
        <v>144</v>
      </c>
      <c r="G29" s="38" t="s">
        <v>126</v>
      </c>
      <c r="H29" s="38" t="s">
        <v>132</v>
      </c>
      <c r="I29" s="38" t="s">
        <v>145</v>
      </c>
      <c r="J29" s="39"/>
      <c r="K29" s="38" t="s">
        <v>85</v>
      </c>
      <c r="L29" s="38" t="s">
        <v>125</v>
      </c>
      <c r="M29" s="39"/>
      <c r="N29" s="39"/>
      <c r="O29" s="38" t="s">
        <v>146</v>
      </c>
      <c r="P29" s="40" t="s">
        <v>147</v>
      </c>
      <c r="Q29" s="40" t="s">
        <v>147</v>
      </c>
      <c r="R29" s="39"/>
      <c r="S29" s="43" t="str">
        <f>"920,0"</f>
        <v>920,0</v>
      </c>
      <c r="T29" s="31" t="str">
        <f>"560,0960"</f>
        <v>560,0960</v>
      </c>
      <c r="U29" s="29"/>
    </row>
    <row r="30" spans="1:21">
      <c r="A30" s="39" t="s">
        <v>219</v>
      </c>
      <c r="B30" s="29" t="s">
        <v>148</v>
      </c>
      <c r="C30" s="29" t="s">
        <v>149</v>
      </c>
      <c r="D30" s="29" t="s">
        <v>150</v>
      </c>
      <c r="E30" s="30" t="s">
        <v>1292</v>
      </c>
      <c r="F30" s="29" t="s">
        <v>71</v>
      </c>
      <c r="G30" s="38" t="s">
        <v>20</v>
      </c>
      <c r="H30" s="40" t="s">
        <v>103</v>
      </c>
      <c r="I30" s="40" t="s">
        <v>103</v>
      </c>
      <c r="J30" s="39"/>
      <c r="K30" s="38" t="s">
        <v>81</v>
      </c>
      <c r="L30" s="40" t="s">
        <v>151</v>
      </c>
      <c r="M30" s="40" t="s">
        <v>151</v>
      </c>
      <c r="N30" s="39"/>
      <c r="O30" s="38" t="s">
        <v>103</v>
      </c>
      <c r="P30" s="38" t="s">
        <v>152</v>
      </c>
      <c r="Q30" s="40" t="s">
        <v>153</v>
      </c>
      <c r="R30" s="39"/>
      <c r="S30" s="43" t="str">
        <f>"710,0"</f>
        <v>710,0</v>
      </c>
      <c r="T30" s="31" t="str">
        <f>"434,2360"</f>
        <v>434,2360</v>
      </c>
      <c r="U30" s="29"/>
    </row>
    <row r="31" spans="1:21">
      <c r="A31" s="39" t="s">
        <v>220</v>
      </c>
      <c r="B31" s="29" t="s">
        <v>154</v>
      </c>
      <c r="C31" s="29" t="s">
        <v>155</v>
      </c>
      <c r="D31" s="29" t="s">
        <v>156</v>
      </c>
      <c r="E31" s="30" t="s">
        <v>1292</v>
      </c>
      <c r="F31" s="29" t="s">
        <v>157</v>
      </c>
      <c r="G31" s="40" t="s">
        <v>112</v>
      </c>
      <c r="H31" s="38" t="s">
        <v>20</v>
      </c>
      <c r="I31" s="38" t="s">
        <v>131</v>
      </c>
      <c r="J31" s="39"/>
      <c r="K31" s="38" t="s">
        <v>83</v>
      </c>
      <c r="L31" s="38" t="s">
        <v>158</v>
      </c>
      <c r="M31" s="38" t="s">
        <v>80</v>
      </c>
      <c r="N31" s="39"/>
      <c r="O31" s="38" t="s">
        <v>112</v>
      </c>
      <c r="P31" s="38" t="s">
        <v>93</v>
      </c>
      <c r="Q31" s="38" t="s">
        <v>16</v>
      </c>
      <c r="R31" s="39"/>
      <c r="S31" s="43" t="str">
        <f>"682,5"</f>
        <v>682,5</v>
      </c>
      <c r="T31" s="31" t="str">
        <f>"418,3043"</f>
        <v>418,3043</v>
      </c>
      <c r="U31" s="29" t="s">
        <v>1242</v>
      </c>
    </row>
    <row r="32" spans="1:21">
      <c r="A32" s="39" t="s">
        <v>221</v>
      </c>
      <c r="B32" s="29" t="s">
        <v>159</v>
      </c>
      <c r="C32" s="29" t="s">
        <v>160</v>
      </c>
      <c r="D32" s="29" t="s">
        <v>161</v>
      </c>
      <c r="E32" s="30" t="s">
        <v>1292</v>
      </c>
      <c r="F32" s="29" t="s">
        <v>162</v>
      </c>
      <c r="G32" s="38" t="s">
        <v>85</v>
      </c>
      <c r="H32" s="38" t="s">
        <v>125</v>
      </c>
      <c r="I32" s="40" t="s">
        <v>90</v>
      </c>
      <c r="J32" s="39"/>
      <c r="K32" s="38" t="s">
        <v>98</v>
      </c>
      <c r="L32" s="38" t="s">
        <v>79</v>
      </c>
      <c r="M32" s="40" t="s">
        <v>163</v>
      </c>
      <c r="N32" s="39"/>
      <c r="O32" s="38" t="s">
        <v>90</v>
      </c>
      <c r="P32" s="38" t="s">
        <v>112</v>
      </c>
      <c r="Q32" s="38" t="s">
        <v>15</v>
      </c>
      <c r="R32" s="39"/>
      <c r="S32" s="43" t="str">
        <f>"615,0"</f>
        <v>615,0</v>
      </c>
      <c r="T32" s="31" t="str">
        <f>"385,1745"</f>
        <v>385,1745</v>
      </c>
      <c r="U32" s="29" t="s">
        <v>164</v>
      </c>
    </row>
    <row r="33" spans="1:21">
      <c r="A33" s="39" t="s">
        <v>222</v>
      </c>
      <c r="B33" s="29" t="s">
        <v>165</v>
      </c>
      <c r="C33" s="29" t="s">
        <v>166</v>
      </c>
      <c r="D33" s="29" t="s">
        <v>167</v>
      </c>
      <c r="E33" s="30" t="s">
        <v>1292</v>
      </c>
      <c r="F33" s="29" t="s">
        <v>168</v>
      </c>
      <c r="G33" s="38" t="s">
        <v>81</v>
      </c>
      <c r="H33" s="38" t="s">
        <v>169</v>
      </c>
      <c r="I33" s="38" t="s">
        <v>85</v>
      </c>
      <c r="J33" s="39"/>
      <c r="K33" s="38" t="s">
        <v>75</v>
      </c>
      <c r="L33" s="38" t="s">
        <v>98</v>
      </c>
      <c r="M33" s="38" t="s">
        <v>170</v>
      </c>
      <c r="N33" s="39"/>
      <c r="O33" s="38" t="s">
        <v>108</v>
      </c>
      <c r="P33" s="38" t="s">
        <v>109</v>
      </c>
      <c r="Q33" s="38" t="s">
        <v>112</v>
      </c>
      <c r="R33" s="39"/>
      <c r="S33" s="43" t="str">
        <f>"597,5"</f>
        <v>597,5</v>
      </c>
      <c r="T33" s="31" t="str">
        <f>"364,3555"</f>
        <v>364,3555</v>
      </c>
      <c r="U33" s="29" t="s">
        <v>171</v>
      </c>
    </row>
    <row r="34" spans="1:21">
      <c r="A34" s="39" t="s">
        <v>223</v>
      </c>
      <c r="B34" s="29" t="s">
        <v>172</v>
      </c>
      <c r="C34" s="29" t="s">
        <v>173</v>
      </c>
      <c r="D34" s="29" t="s">
        <v>174</v>
      </c>
      <c r="E34" s="30" t="s">
        <v>1292</v>
      </c>
      <c r="F34" s="29" t="s">
        <v>175</v>
      </c>
      <c r="G34" s="38" t="s">
        <v>84</v>
      </c>
      <c r="H34" s="38" t="s">
        <v>85</v>
      </c>
      <c r="I34" s="39"/>
      <c r="J34" s="39"/>
      <c r="K34" s="38" t="s">
        <v>176</v>
      </c>
      <c r="L34" s="40" t="s">
        <v>83</v>
      </c>
      <c r="M34" s="40" t="s">
        <v>83</v>
      </c>
      <c r="N34" s="39"/>
      <c r="O34" s="38" t="s">
        <v>85</v>
      </c>
      <c r="P34" s="40" t="s">
        <v>125</v>
      </c>
      <c r="Q34" s="40" t="s">
        <v>177</v>
      </c>
      <c r="R34" s="39"/>
      <c r="S34" s="43" t="str">
        <f>"582,5"</f>
        <v>582,5</v>
      </c>
      <c r="T34" s="31" t="str">
        <f>"354,8007"</f>
        <v>354,8007</v>
      </c>
      <c r="U34" s="29" t="s">
        <v>282</v>
      </c>
    </row>
    <row r="35" spans="1:21">
      <c r="A35" s="39" t="s">
        <v>40</v>
      </c>
      <c r="B35" s="29" t="s">
        <v>178</v>
      </c>
      <c r="C35" s="29" t="s">
        <v>179</v>
      </c>
      <c r="D35" s="29" t="s">
        <v>180</v>
      </c>
      <c r="E35" s="30" t="s">
        <v>1292</v>
      </c>
      <c r="F35" s="29" t="s">
        <v>181</v>
      </c>
      <c r="G35" s="38" t="s">
        <v>125</v>
      </c>
      <c r="H35" s="40" t="s">
        <v>182</v>
      </c>
      <c r="I35" s="38" t="s">
        <v>15</v>
      </c>
      <c r="J35" s="39"/>
      <c r="K35" s="40" t="s">
        <v>98</v>
      </c>
      <c r="L35" s="39"/>
      <c r="M35" s="39"/>
      <c r="N35" s="39"/>
      <c r="O35" s="40"/>
      <c r="P35" s="39"/>
      <c r="Q35" s="39"/>
      <c r="R35" s="39"/>
      <c r="S35" s="43">
        <v>0</v>
      </c>
      <c r="T35" s="31" t="str">
        <f>"0,0000"</f>
        <v>0,0000</v>
      </c>
      <c r="U35" s="29"/>
    </row>
    <row r="36" spans="1:21">
      <c r="A36" s="39" t="s">
        <v>39</v>
      </c>
      <c r="B36" s="29" t="s">
        <v>183</v>
      </c>
      <c r="C36" s="29" t="s">
        <v>1162</v>
      </c>
      <c r="D36" s="29" t="s">
        <v>184</v>
      </c>
      <c r="E36" s="30" t="s">
        <v>1295</v>
      </c>
      <c r="F36" s="29" t="s">
        <v>59</v>
      </c>
      <c r="G36" s="38" t="s">
        <v>84</v>
      </c>
      <c r="H36" s="38" t="s">
        <v>85</v>
      </c>
      <c r="I36" s="40" t="s">
        <v>125</v>
      </c>
      <c r="J36" s="39"/>
      <c r="K36" s="38" t="s">
        <v>75</v>
      </c>
      <c r="L36" s="40" t="s">
        <v>98</v>
      </c>
      <c r="M36" s="40" t="s">
        <v>98</v>
      </c>
      <c r="N36" s="39"/>
      <c r="O36" s="38" t="s">
        <v>109</v>
      </c>
      <c r="P36" s="38" t="s">
        <v>90</v>
      </c>
      <c r="Q36" s="38" t="s">
        <v>182</v>
      </c>
      <c r="R36" s="39"/>
      <c r="S36" s="43" t="str">
        <f>"582,5"</f>
        <v>582,5</v>
      </c>
      <c r="T36" s="31" t="str">
        <f>"360,7897"</f>
        <v>360,7897</v>
      </c>
      <c r="U36" s="29" t="s">
        <v>66</v>
      </c>
    </row>
    <row r="37" spans="1:21">
      <c r="A37" s="37" t="s">
        <v>219</v>
      </c>
      <c r="B37" s="26" t="s">
        <v>185</v>
      </c>
      <c r="C37" s="26" t="s">
        <v>1163</v>
      </c>
      <c r="D37" s="26" t="s">
        <v>186</v>
      </c>
      <c r="E37" s="27" t="s">
        <v>1295</v>
      </c>
      <c r="F37" s="26" t="s">
        <v>71</v>
      </c>
      <c r="G37" s="36" t="s">
        <v>102</v>
      </c>
      <c r="H37" s="35" t="s">
        <v>74</v>
      </c>
      <c r="I37" s="35" t="s">
        <v>187</v>
      </c>
      <c r="J37" s="37"/>
      <c r="K37" s="35" t="s">
        <v>188</v>
      </c>
      <c r="L37" s="35" t="s">
        <v>82</v>
      </c>
      <c r="M37" s="35" t="s">
        <v>189</v>
      </c>
      <c r="N37" s="37"/>
      <c r="O37" s="35" t="s">
        <v>170</v>
      </c>
      <c r="P37" s="35" t="s">
        <v>111</v>
      </c>
      <c r="Q37" s="35" t="s">
        <v>18</v>
      </c>
      <c r="R37" s="37"/>
      <c r="S37" s="44" t="str">
        <f>"427,5"</f>
        <v>427,5</v>
      </c>
      <c r="T37" s="28" t="str">
        <f>"261,0315"</f>
        <v>261,0315</v>
      </c>
      <c r="U37" s="26"/>
    </row>
    <row r="39" spans="1:21" ht="16">
      <c r="A39" s="81" t="s">
        <v>190</v>
      </c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1:21">
      <c r="A40" s="33" t="s">
        <v>39</v>
      </c>
      <c r="B40" s="23" t="s">
        <v>191</v>
      </c>
      <c r="C40" s="23" t="s">
        <v>192</v>
      </c>
      <c r="D40" s="23" t="s">
        <v>193</v>
      </c>
      <c r="E40" s="24" t="s">
        <v>1292</v>
      </c>
      <c r="F40" s="23" t="s">
        <v>71</v>
      </c>
      <c r="G40" s="32" t="s">
        <v>153</v>
      </c>
      <c r="H40" s="32" t="s">
        <v>194</v>
      </c>
      <c r="I40" s="34" t="s">
        <v>132</v>
      </c>
      <c r="J40" s="33"/>
      <c r="K40" s="32" t="s">
        <v>18</v>
      </c>
      <c r="L40" s="32" t="s">
        <v>92</v>
      </c>
      <c r="M40" s="34" t="s">
        <v>195</v>
      </c>
      <c r="N40" s="33"/>
      <c r="O40" s="32" t="s">
        <v>28</v>
      </c>
      <c r="P40" s="32" t="s">
        <v>196</v>
      </c>
      <c r="Q40" s="34" t="s">
        <v>120</v>
      </c>
      <c r="R40" s="33"/>
      <c r="S40" s="42" t="str">
        <f>"802,5"</f>
        <v>802,5</v>
      </c>
      <c r="T40" s="25" t="str">
        <f>"473,6355"</f>
        <v>473,6355</v>
      </c>
      <c r="U40" s="23"/>
    </row>
    <row r="41" spans="1:21">
      <c r="A41" s="39" t="s">
        <v>219</v>
      </c>
      <c r="B41" s="29" t="s">
        <v>197</v>
      </c>
      <c r="C41" s="29" t="s">
        <v>198</v>
      </c>
      <c r="D41" s="29" t="s">
        <v>199</v>
      </c>
      <c r="E41" s="30" t="s">
        <v>1292</v>
      </c>
      <c r="F41" s="29" t="s">
        <v>200</v>
      </c>
      <c r="G41" s="40" t="s">
        <v>93</v>
      </c>
      <c r="H41" s="38" t="s">
        <v>93</v>
      </c>
      <c r="I41" s="39"/>
      <c r="J41" s="39"/>
      <c r="K41" s="38" t="s">
        <v>18</v>
      </c>
      <c r="L41" s="38" t="s">
        <v>80</v>
      </c>
      <c r="M41" s="39"/>
      <c r="N41" s="39"/>
      <c r="O41" s="38" t="s">
        <v>17</v>
      </c>
      <c r="P41" s="38" t="s">
        <v>152</v>
      </c>
      <c r="Q41" s="38" t="s">
        <v>153</v>
      </c>
      <c r="R41" s="39"/>
      <c r="S41" s="43" t="str">
        <f>"700,0"</f>
        <v>700,0</v>
      </c>
      <c r="T41" s="31" t="str">
        <f>"412,8600"</f>
        <v>412,8600</v>
      </c>
      <c r="U41" s="29"/>
    </row>
    <row r="42" spans="1:21">
      <c r="A42" s="37" t="s">
        <v>220</v>
      </c>
      <c r="B42" s="26" t="s">
        <v>201</v>
      </c>
      <c r="C42" s="26" t="s">
        <v>202</v>
      </c>
      <c r="D42" s="26" t="s">
        <v>203</v>
      </c>
      <c r="E42" s="27" t="s">
        <v>1292</v>
      </c>
      <c r="F42" s="26" t="s">
        <v>204</v>
      </c>
      <c r="G42" s="35" t="s">
        <v>109</v>
      </c>
      <c r="H42" s="35" t="s">
        <v>112</v>
      </c>
      <c r="I42" s="35" t="s">
        <v>15</v>
      </c>
      <c r="J42" s="37"/>
      <c r="K42" s="36" t="s">
        <v>83</v>
      </c>
      <c r="L42" s="35" t="s">
        <v>83</v>
      </c>
      <c r="M42" s="35" t="s">
        <v>80</v>
      </c>
      <c r="N42" s="37"/>
      <c r="O42" s="35" t="s">
        <v>93</v>
      </c>
      <c r="P42" s="35" t="s">
        <v>16</v>
      </c>
      <c r="Q42" s="36" t="s">
        <v>103</v>
      </c>
      <c r="R42" s="37"/>
      <c r="S42" s="44" t="str">
        <f>"665,0"</f>
        <v>665,0</v>
      </c>
      <c r="T42" s="28" t="str">
        <f>"391,8180"</f>
        <v>391,8180</v>
      </c>
      <c r="U42" s="26" t="s">
        <v>171</v>
      </c>
    </row>
    <row r="44" spans="1:21" ht="16">
      <c r="A44" s="81" t="s">
        <v>22</v>
      </c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5" spans="1:21">
      <c r="A45" s="22" t="s">
        <v>39</v>
      </c>
      <c r="B45" s="7" t="s">
        <v>205</v>
      </c>
      <c r="C45" s="7" t="s">
        <v>206</v>
      </c>
      <c r="D45" s="7" t="s">
        <v>207</v>
      </c>
      <c r="E45" s="8" t="s">
        <v>1292</v>
      </c>
      <c r="F45" s="7" t="s">
        <v>208</v>
      </c>
      <c r="G45" s="21" t="s">
        <v>126</v>
      </c>
      <c r="H45" s="20" t="s">
        <v>209</v>
      </c>
      <c r="I45" s="21" t="s">
        <v>28</v>
      </c>
      <c r="J45" s="22"/>
      <c r="K45" s="20" t="s">
        <v>85</v>
      </c>
      <c r="L45" s="20" t="s">
        <v>210</v>
      </c>
      <c r="M45" s="21" t="s">
        <v>90</v>
      </c>
      <c r="N45" s="22"/>
      <c r="O45" s="20" t="s">
        <v>132</v>
      </c>
      <c r="P45" s="21" t="s">
        <v>211</v>
      </c>
      <c r="Q45" s="21" t="s">
        <v>119</v>
      </c>
      <c r="R45" s="22"/>
      <c r="S45" s="41" t="str">
        <f>"822,5"</f>
        <v>822,5</v>
      </c>
      <c r="T45" s="9" t="str">
        <f>"473,9245"</f>
        <v>473,9245</v>
      </c>
      <c r="U45" s="7" t="s">
        <v>212</v>
      </c>
    </row>
    <row r="46" spans="1:21">
      <c r="A46" s="18"/>
      <c r="G46" s="45"/>
      <c r="I46" s="45"/>
      <c r="M46" s="45"/>
      <c r="P46" s="45"/>
      <c r="Q46" s="45"/>
    </row>
    <row r="49" spans="2:7" ht="18">
      <c r="B49" s="11" t="s">
        <v>30</v>
      </c>
      <c r="C49" s="11"/>
      <c r="E49" s="5"/>
      <c r="F49" s="3"/>
      <c r="G49" s="5"/>
    </row>
    <row r="50" spans="2:7" ht="16">
      <c r="B50" s="12" t="s">
        <v>31</v>
      </c>
      <c r="C50" s="12"/>
      <c r="E50" s="5"/>
      <c r="F50" s="3"/>
      <c r="G50" s="5"/>
    </row>
    <row r="51" spans="2:7" ht="14">
      <c r="B51" s="13"/>
      <c r="C51" s="14" t="s">
        <v>32</v>
      </c>
      <c r="E51" s="5"/>
      <c r="F51" s="3"/>
      <c r="G51" s="5"/>
    </row>
    <row r="52" spans="2:7" ht="14">
      <c r="B52" s="15" t="s">
        <v>33</v>
      </c>
      <c r="C52" s="15" t="s">
        <v>34</v>
      </c>
      <c r="D52" s="15" t="s">
        <v>1139</v>
      </c>
      <c r="E52" s="15" t="s">
        <v>37</v>
      </c>
      <c r="F52" s="16" t="s">
        <v>36</v>
      </c>
      <c r="G52" s="3"/>
    </row>
    <row r="53" spans="2:7">
      <c r="B53" s="5" t="s">
        <v>141</v>
      </c>
      <c r="C53" s="5" t="s">
        <v>32</v>
      </c>
      <c r="D53" s="18" t="s">
        <v>217</v>
      </c>
      <c r="E53" s="17">
        <v>560.095994472504</v>
      </c>
      <c r="F53" s="19">
        <v>920</v>
      </c>
      <c r="G53" s="3"/>
    </row>
    <row r="54" spans="2:7">
      <c r="B54" s="5" t="s">
        <v>114</v>
      </c>
      <c r="C54" s="5" t="s">
        <v>32</v>
      </c>
      <c r="D54" s="18" t="s">
        <v>218</v>
      </c>
      <c r="E54" s="17">
        <v>494.76001411676401</v>
      </c>
      <c r="F54" s="19">
        <v>775</v>
      </c>
      <c r="G54" s="3"/>
    </row>
    <row r="55" spans="2:7">
      <c r="B55" s="5" t="s">
        <v>121</v>
      </c>
      <c r="C55" s="5" t="s">
        <v>32</v>
      </c>
      <c r="D55" s="18" t="s">
        <v>218</v>
      </c>
      <c r="E55" s="17">
        <v>494.55451458692602</v>
      </c>
      <c r="F55" s="19">
        <v>772.5</v>
      </c>
      <c r="G55" s="3"/>
    </row>
    <row r="56" spans="2:7">
      <c r="E56" s="5"/>
      <c r="F56" s="10"/>
      <c r="G56" s="5"/>
    </row>
  </sheetData>
  <mergeCells count="21">
    <mergeCell ref="A44:R44"/>
    <mergeCell ref="B3:B4"/>
    <mergeCell ref="A9:R9"/>
    <mergeCell ref="A12:R12"/>
    <mergeCell ref="A15:R15"/>
    <mergeCell ref="A21:R21"/>
    <mergeCell ref="A27:R27"/>
    <mergeCell ref="A39:R39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D6A3-45C1-4017-9780-8A7A3956A0A7}">
  <dimension ref="A1:M11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0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12.33203125" style="6" customWidth="1"/>
    <col min="13" max="13" width="21.33203125" style="5" customWidth="1"/>
    <col min="14" max="16384" width="9.1640625" style="3"/>
  </cols>
  <sheetData>
    <row r="1" spans="1:13" s="2" customFormat="1" ht="29" customHeight="1">
      <c r="A1" s="68" t="s">
        <v>1266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41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3" t="s">
        <v>39</v>
      </c>
      <c r="B6" s="23" t="s">
        <v>1097</v>
      </c>
      <c r="C6" s="23" t="s">
        <v>1098</v>
      </c>
      <c r="D6" s="23" t="s">
        <v>733</v>
      </c>
      <c r="E6" s="24" t="s">
        <v>1292</v>
      </c>
      <c r="F6" s="23" t="s">
        <v>71</v>
      </c>
      <c r="G6" s="32" t="s">
        <v>313</v>
      </c>
      <c r="H6" s="32" t="s">
        <v>187</v>
      </c>
      <c r="I6" s="34" t="s">
        <v>98</v>
      </c>
      <c r="J6" s="33"/>
      <c r="K6" s="25" t="str">
        <f>"145,0"</f>
        <v>145,0</v>
      </c>
      <c r="L6" s="25" t="str">
        <f>"131,8268"</f>
        <v>131,8268</v>
      </c>
      <c r="M6" s="23" t="s">
        <v>546</v>
      </c>
    </row>
    <row r="7" spans="1:13">
      <c r="A7" s="37" t="s">
        <v>39</v>
      </c>
      <c r="B7" s="26" t="s">
        <v>1097</v>
      </c>
      <c r="C7" s="26" t="s">
        <v>1207</v>
      </c>
      <c r="D7" s="26" t="s">
        <v>733</v>
      </c>
      <c r="E7" s="27" t="s">
        <v>1294</v>
      </c>
      <c r="F7" s="26" t="s">
        <v>71</v>
      </c>
      <c r="G7" s="35" t="s">
        <v>313</v>
      </c>
      <c r="H7" s="35" t="s">
        <v>187</v>
      </c>
      <c r="I7" s="36" t="s">
        <v>98</v>
      </c>
      <c r="J7" s="37"/>
      <c r="K7" s="28" t="str">
        <f>"145,0"</f>
        <v>145,0</v>
      </c>
      <c r="L7" s="28" t="str">
        <f>"164,2561"</f>
        <v>164,2561</v>
      </c>
      <c r="M7" s="26" t="s">
        <v>546</v>
      </c>
    </row>
    <row r="9" spans="1:13" ht="16">
      <c r="A9" s="81" t="s">
        <v>190</v>
      </c>
      <c r="B9" s="81"/>
      <c r="C9" s="82"/>
      <c r="D9" s="82"/>
      <c r="E9" s="82"/>
      <c r="F9" s="82"/>
      <c r="G9" s="82"/>
      <c r="H9" s="82"/>
      <c r="I9" s="82"/>
      <c r="J9" s="82"/>
    </row>
    <row r="10" spans="1:13">
      <c r="A10" s="33" t="s">
        <v>39</v>
      </c>
      <c r="B10" s="23" t="s">
        <v>1134</v>
      </c>
      <c r="C10" s="23" t="s">
        <v>1135</v>
      </c>
      <c r="D10" s="23" t="s">
        <v>199</v>
      </c>
      <c r="E10" s="24" t="s">
        <v>1292</v>
      </c>
      <c r="F10" s="23" t="s">
        <v>347</v>
      </c>
      <c r="G10" s="32" t="s">
        <v>119</v>
      </c>
      <c r="H10" s="32" t="s">
        <v>948</v>
      </c>
      <c r="I10" s="34" t="s">
        <v>1132</v>
      </c>
      <c r="J10" s="33"/>
      <c r="K10" s="25" t="str">
        <f>"335,0"</f>
        <v>335,0</v>
      </c>
      <c r="L10" s="25" t="str">
        <f>"188,8228"</f>
        <v>188,8228</v>
      </c>
      <c r="M10" s="23" t="s">
        <v>721</v>
      </c>
    </row>
    <row r="11" spans="1:13">
      <c r="A11" s="37" t="s">
        <v>219</v>
      </c>
      <c r="B11" s="26" t="s">
        <v>1136</v>
      </c>
      <c r="C11" s="26" t="s">
        <v>1137</v>
      </c>
      <c r="D11" s="26" t="s">
        <v>642</v>
      </c>
      <c r="E11" s="27" t="s">
        <v>1292</v>
      </c>
      <c r="F11" s="26" t="s">
        <v>1285</v>
      </c>
      <c r="G11" s="35" t="s">
        <v>411</v>
      </c>
      <c r="H11" s="35" t="s">
        <v>153</v>
      </c>
      <c r="I11" s="35" t="s">
        <v>496</v>
      </c>
      <c r="J11" s="37"/>
      <c r="K11" s="28" t="str">
        <f>"285,0"</f>
        <v>285,0</v>
      </c>
      <c r="L11" s="28" t="str">
        <f>"161,1675"</f>
        <v>161,1675</v>
      </c>
      <c r="M11" s="26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4BBF-68F0-4D01-A9DA-AD4B5A8FEA4F}">
  <dimension ref="A1:M20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1" width="10.5" style="19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68" t="s">
        <v>1267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0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113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3" t="s">
        <v>39</v>
      </c>
      <c r="B6" s="23" t="s">
        <v>1111</v>
      </c>
      <c r="C6" s="23" t="s">
        <v>1112</v>
      </c>
      <c r="D6" s="23" t="s">
        <v>597</v>
      </c>
      <c r="E6" s="24" t="s">
        <v>1292</v>
      </c>
      <c r="F6" s="23" t="s">
        <v>332</v>
      </c>
      <c r="G6" s="32" t="s">
        <v>28</v>
      </c>
      <c r="H6" s="34" t="s">
        <v>492</v>
      </c>
      <c r="I6" s="34" t="s">
        <v>492</v>
      </c>
      <c r="J6" s="33"/>
      <c r="K6" s="42" t="str">
        <f>"310,0"</f>
        <v>310,0</v>
      </c>
      <c r="L6" s="25" t="str">
        <f>"190,5105"</f>
        <v>190,5105</v>
      </c>
      <c r="M6" s="23"/>
    </row>
    <row r="7" spans="1:13">
      <c r="A7" s="37" t="s">
        <v>39</v>
      </c>
      <c r="B7" s="26" t="s">
        <v>1111</v>
      </c>
      <c r="C7" s="26" t="s">
        <v>1217</v>
      </c>
      <c r="D7" s="26" t="s">
        <v>597</v>
      </c>
      <c r="E7" s="27" t="s">
        <v>1295</v>
      </c>
      <c r="F7" s="26" t="s">
        <v>332</v>
      </c>
      <c r="G7" s="35" t="s">
        <v>28</v>
      </c>
      <c r="H7" s="36" t="s">
        <v>492</v>
      </c>
      <c r="I7" s="36" t="s">
        <v>492</v>
      </c>
      <c r="J7" s="37"/>
      <c r="K7" s="44" t="str">
        <f>"310,0"</f>
        <v>310,0</v>
      </c>
      <c r="L7" s="28" t="str">
        <f>"194,3207"</f>
        <v>194,3207</v>
      </c>
      <c r="M7" s="26"/>
    </row>
    <row r="9" spans="1:13" ht="16">
      <c r="A9" s="81" t="s">
        <v>137</v>
      </c>
      <c r="B9" s="81"/>
      <c r="C9" s="82"/>
      <c r="D9" s="82"/>
      <c r="E9" s="82"/>
      <c r="F9" s="82"/>
      <c r="G9" s="82"/>
      <c r="H9" s="82"/>
      <c r="I9" s="82"/>
      <c r="J9" s="82"/>
    </row>
    <row r="10" spans="1:13">
      <c r="A10" s="22" t="s">
        <v>39</v>
      </c>
      <c r="B10" s="7" t="s">
        <v>1113</v>
      </c>
      <c r="C10" s="7" t="s">
        <v>1218</v>
      </c>
      <c r="D10" s="7" t="s">
        <v>174</v>
      </c>
      <c r="E10" s="8" t="s">
        <v>1295</v>
      </c>
      <c r="F10" s="7" t="s">
        <v>1114</v>
      </c>
      <c r="G10" s="20" t="s">
        <v>126</v>
      </c>
      <c r="H10" s="21" t="s">
        <v>209</v>
      </c>
      <c r="I10" s="20" t="s">
        <v>132</v>
      </c>
      <c r="J10" s="22"/>
      <c r="K10" s="41" t="str">
        <f>"305,0"</f>
        <v>305,0</v>
      </c>
      <c r="L10" s="9" t="str">
        <f>"189,5155"</f>
        <v>189,5155</v>
      </c>
      <c r="M10" s="7"/>
    </row>
    <row r="12" spans="1:13" ht="16">
      <c r="A12" s="81" t="s">
        <v>190</v>
      </c>
      <c r="B12" s="81"/>
      <c r="C12" s="82"/>
      <c r="D12" s="82"/>
      <c r="E12" s="82"/>
      <c r="F12" s="82"/>
      <c r="G12" s="82"/>
      <c r="H12" s="82"/>
      <c r="I12" s="82"/>
      <c r="J12" s="82"/>
    </row>
    <row r="13" spans="1:13">
      <c r="A13" s="22" t="s">
        <v>40</v>
      </c>
      <c r="B13" s="7" t="s">
        <v>1115</v>
      </c>
      <c r="C13" s="7" t="s">
        <v>1219</v>
      </c>
      <c r="D13" s="7" t="s">
        <v>1116</v>
      </c>
      <c r="E13" s="8" t="s">
        <v>1295</v>
      </c>
      <c r="F13" s="7" t="s">
        <v>835</v>
      </c>
      <c r="G13" s="21" t="s">
        <v>211</v>
      </c>
      <c r="H13" s="21" t="s">
        <v>492</v>
      </c>
      <c r="I13" s="21" t="s">
        <v>492</v>
      </c>
      <c r="J13" s="22"/>
      <c r="K13" s="41">
        <v>0</v>
      </c>
      <c r="L13" s="9" t="str">
        <f>"0,0000"</f>
        <v>0,0000</v>
      </c>
      <c r="M13" s="7" t="s">
        <v>1117</v>
      </c>
    </row>
    <row r="15" spans="1:13" ht="16">
      <c r="A15" s="81" t="s">
        <v>22</v>
      </c>
      <c r="B15" s="81"/>
      <c r="C15" s="82"/>
      <c r="D15" s="82"/>
      <c r="E15" s="82"/>
      <c r="F15" s="82"/>
      <c r="G15" s="82"/>
      <c r="H15" s="82"/>
      <c r="I15" s="82"/>
      <c r="J15" s="82"/>
    </row>
    <row r="16" spans="1:13">
      <c r="A16" s="33" t="s">
        <v>39</v>
      </c>
      <c r="B16" s="23" t="s">
        <v>1118</v>
      </c>
      <c r="C16" s="23" t="s">
        <v>963</v>
      </c>
      <c r="D16" s="23" t="s">
        <v>1119</v>
      </c>
      <c r="E16" s="24" t="s">
        <v>1292</v>
      </c>
      <c r="F16" s="23" t="s">
        <v>71</v>
      </c>
      <c r="G16" s="32" t="s">
        <v>1120</v>
      </c>
      <c r="H16" s="32" t="s">
        <v>1121</v>
      </c>
      <c r="I16" s="34" t="s">
        <v>1122</v>
      </c>
      <c r="J16" s="33"/>
      <c r="K16" s="42" t="str">
        <f>"410,0"</f>
        <v>410,0</v>
      </c>
      <c r="L16" s="25" t="str">
        <f>"227,9600"</f>
        <v>227,9600</v>
      </c>
      <c r="M16" s="23" t="s">
        <v>1123</v>
      </c>
    </row>
    <row r="17" spans="1:13">
      <c r="A17" s="37" t="s">
        <v>219</v>
      </c>
      <c r="B17" s="26" t="s">
        <v>1124</v>
      </c>
      <c r="C17" s="26" t="s">
        <v>1125</v>
      </c>
      <c r="D17" s="26" t="s">
        <v>1126</v>
      </c>
      <c r="E17" s="27" t="s">
        <v>1292</v>
      </c>
      <c r="F17" s="26" t="s">
        <v>1127</v>
      </c>
      <c r="G17" s="35" t="s">
        <v>1120</v>
      </c>
      <c r="H17" s="36" t="s">
        <v>1128</v>
      </c>
      <c r="I17" s="36" t="s">
        <v>1128</v>
      </c>
      <c r="J17" s="37"/>
      <c r="K17" s="44" t="str">
        <f>"380,0"</f>
        <v>380,0</v>
      </c>
      <c r="L17" s="28" t="str">
        <f>"209,0950"</f>
        <v>209,0950</v>
      </c>
      <c r="M17" s="26" t="s">
        <v>294</v>
      </c>
    </row>
    <row r="19" spans="1:13" ht="16">
      <c r="A19" s="81" t="s">
        <v>661</v>
      </c>
      <c r="B19" s="81"/>
      <c r="C19" s="82"/>
      <c r="D19" s="82"/>
      <c r="E19" s="82"/>
      <c r="F19" s="82"/>
      <c r="G19" s="82"/>
      <c r="H19" s="82"/>
      <c r="I19" s="82"/>
      <c r="J19" s="82"/>
    </row>
    <row r="20" spans="1:13">
      <c r="A20" s="22" t="s">
        <v>39</v>
      </c>
      <c r="B20" s="7" t="s">
        <v>1129</v>
      </c>
      <c r="C20" s="7" t="s">
        <v>1130</v>
      </c>
      <c r="D20" s="7" t="s">
        <v>1131</v>
      </c>
      <c r="E20" s="8" t="s">
        <v>1292</v>
      </c>
      <c r="F20" s="7" t="s">
        <v>117</v>
      </c>
      <c r="G20" s="20" t="s">
        <v>492</v>
      </c>
      <c r="H20" s="20" t="s">
        <v>1132</v>
      </c>
      <c r="I20" s="21" t="s">
        <v>1133</v>
      </c>
      <c r="J20" s="22"/>
      <c r="K20" s="41" t="str">
        <f>"350,0"</f>
        <v>350,0</v>
      </c>
      <c r="L20" s="9" t="str">
        <f>"186,4852"</f>
        <v>186,4852</v>
      </c>
      <c r="M20" s="7"/>
    </row>
  </sheetData>
  <mergeCells count="16">
    <mergeCell ref="A9:J9"/>
    <mergeCell ref="A12:J12"/>
    <mergeCell ref="A15:J15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3A61-A8EE-43B8-A371-8EB263A226C9}">
  <dimension ref="A1:M40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29" style="5" bestFit="1" customWidth="1"/>
    <col min="7" max="10" width="5.5" style="18" customWidth="1"/>
    <col min="11" max="11" width="10.5" style="6" bestFit="1" customWidth="1"/>
    <col min="12" max="12" width="8.664062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68" t="s">
        <v>1268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67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1041</v>
      </c>
      <c r="C6" s="7" t="s">
        <v>1042</v>
      </c>
      <c r="D6" s="7" t="s">
        <v>1043</v>
      </c>
      <c r="E6" s="8" t="s">
        <v>1294</v>
      </c>
      <c r="F6" s="7" t="s">
        <v>1044</v>
      </c>
      <c r="G6" s="20" t="s">
        <v>229</v>
      </c>
      <c r="H6" s="20" t="s">
        <v>240</v>
      </c>
      <c r="I6" s="21" t="s">
        <v>230</v>
      </c>
      <c r="J6" s="22"/>
      <c r="K6" s="9" t="str">
        <f>"65,0"</f>
        <v>65,0</v>
      </c>
      <c r="L6" s="9" t="str">
        <f>"72,0227"</f>
        <v>72,0227</v>
      </c>
      <c r="M6" s="7" t="s">
        <v>1045</v>
      </c>
    </row>
    <row r="8" spans="1:13" ht="16">
      <c r="A8" s="81" t="s">
        <v>10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22" t="s">
        <v>39</v>
      </c>
      <c r="B9" s="7" t="s">
        <v>1046</v>
      </c>
      <c r="C9" s="7" t="s">
        <v>1047</v>
      </c>
      <c r="D9" s="7" t="s">
        <v>1048</v>
      </c>
      <c r="E9" s="8" t="s">
        <v>1298</v>
      </c>
      <c r="F9" s="7" t="s">
        <v>1049</v>
      </c>
      <c r="G9" s="20" t="s">
        <v>50</v>
      </c>
      <c r="H9" s="20" t="s">
        <v>62</v>
      </c>
      <c r="I9" s="20" t="s">
        <v>252</v>
      </c>
      <c r="J9" s="22"/>
      <c r="K9" s="9" t="str">
        <f>"52,5"</f>
        <v>52,5</v>
      </c>
      <c r="L9" s="9" t="str">
        <f>"77,9014"</f>
        <v>77,9014</v>
      </c>
      <c r="M9" s="7" t="s">
        <v>1045</v>
      </c>
    </row>
    <row r="11" spans="1:13" ht="16">
      <c r="A11" s="81" t="s">
        <v>41</v>
      </c>
      <c r="B11" s="81"/>
      <c r="C11" s="82"/>
      <c r="D11" s="82"/>
      <c r="E11" s="82"/>
      <c r="F11" s="82"/>
      <c r="G11" s="82"/>
      <c r="H11" s="82"/>
      <c r="I11" s="82"/>
      <c r="J11" s="82"/>
    </row>
    <row r="12" spans="1:13">
      <c r="A12" s="22" t="s">
        <v>39</v>
      </c>
      <c r="B12" s="7" t="s">
        <v>1050</v>
      </c>
      <c r="C12" s="7" t="s">
        <v>1051</v>
      </c>
      <c r="D12" s="7" t="s">
        <v>1052</v>
      </c>
      <c r="E12" s="8" t="s">
        <v>1297</v>
      </c>
      <c r="F12" s="7" t="s">
        <v>97</v>
      </c>
      <c r="G12" s="20" t="s">
        <v>82</v>
      </c>
      <c r="H12" s="20" t="s">
        <v>52</v>
      </c>
      <c r="I12" s="20" t="s">
        <v>189</v>
      </c>
      <c r="J12" s="22"/>
      <c r="K12" s="9" t="str">
        <f>"107,5"</f>
        <v>107,5</v>
      </c>
      <c r="L12" s="9" t="str">
        <f>"113,7021"</f>
        <v>113,7021</v>
      </c>
      <c r="M12" s="7" t="s">
        <v>1006</v>
      </c>
    </row>
    <row r="14" spans="1:13" ht="16">
      <c r="A14" s="81" t="s">
        <v>67</v>
      </c>
      <c r="B14" s="81"/>
      <c r="C14" s="82"/>
      <c r="D14" s="82"/>
      <c r="E14" s="82"/>
      <c r="F14" s="82"/>
      <c r="G14" s="82"/>
      <c r="H14" s="82"/>
      <c r="I14" s="82"/>
      <c r="J14" s="82"/>
    </row>
    <row r="15" spans="1:13">
      <c r="A15" s="33" t="s">
        <v>39</v>
      </c>
      <c r="B15" s="23" t="s">
        <v>1053</v>
      </c>
      <c r="C15" s="23" t="s">
        <v>1220</v>
      </c>
      <c r="D15" s="23" t="s">
        <v>866</v>
      </c>
      <c r="E15" s="24" t="s">
        <v>1291</v>
      </c>
      <c r="F15" s="23" t="s">
        <v>618</v>
      </c>
      <c r="G15" s="32" t="s">
        <v>72</v>
      </c>
      <c r="H15" s="34" t="s">
        <v>313</v>
      </c>
      <c r="I15" s="32" t="s">
        <v>313</v>
      </c>
      <c r="J15" s="33"/>
      <c r="K15" s="25" t="str">
        <f>"137,5"</f>
        <v>137,5</v>
      </c>
      <c r="L15" s="25" t="str">
        <f>"94,6756"</f>
        <v>94,6756</v>
      </c>
      <c r="M15" s="23" t="s">
        <v>1054</v>
      </c>
    </row>
    <row r="16" spans="1:13">
      <c r="A16" s="39" t="s">
        <v>39</v>
      </c>
      <c r="B16" s="29" t="s">
        <v>1055</v>
      </c>
      <c r="C16" s="29" t="s">
        <v>1056</v>
      </c>
      <c r="D16" s="29" t="s">
        <v>1057</v>
      </c>
      <c r="E16" s="30" t="s">
        <v>1295</v>
      </c>
      <c r="F16" s="29" t="s">
        <v>1049</v>
      </c>
      <c r="G16" s="40" t="s">
        <v>61</v>
      </c>
      <c r="H16" s="38" t="s">
        <v>234</v>
      </c>
      <c r="I16" s="40" t="s">
        <v>73</v>
      </c>
      <c r="J16" s="39"/>
      <c r="K16" s="31" t="str">
        <f>"77,5"</f>
        <v>77,5</v>
      </c>
      <c r="L16" s="31" t="str">
        <f>"59,3556"</f>
        <v>59,3556</v>
      </c>
      <c r="M16" s="29" t="s">
        <v>1045</v>
      </c>
    </row>
    <row r="17" spans="1:13">
      <c r="A17" s="37" t="s">
        <v>39</v>
      </c>
      <c r="B17" s="26" t="s">
        <v>1058</v>
      </c>
      <c r="C17" s="26" t="s">
        <v>1059</v>
      </c>
      <c r="D17" s="26" t="s">
        <v>1060</v>
      </c>
      <c r="E17" s="27" t="s">
        <v>1298</v>
      </c>
      <c r="F17" s="26" t="s">
        <v>387</v>
      </c>
      <c r="G17" s="35" t="s">
        <v>241</v>
      </c>
      <c r="H17" s="35" t="s">
        <v>61</v>
      </c>
      <c r="I17" s="35" t="s">
        <v>234</v>
      </c>
      <c r="J17" s="35" t="s">
        <v>1061</v>
      </c>
      <c r="K17" s="28" t="str">
        <f>"77,5"</f>
        <v>77,5</v>
      </c>
      <c r="L17" s="28" t="str">
        <f>"98,3076"</f>
        <v>98,3076</v>
      </c>
      <c r="M17" s="26"/>
    </row>
    <row r="19" spans="1:13" ht="16">
      <c r="A19" s="81" t="s">
        <v>10</v>
      </c>
      <c r="B19" s="81"/>
      <c r="C19" s="82"/>
      <c r="D19" s="82"/>
      <c r="E19" s="82"/>
      <c r="F19" s="82"/>
      <c r="G19" s="82"/>
      <c r="H19" s="82"/>
      <c r="I19" s="82"/>
      <c r="J19" s="82"/>
    </row>
    <row r="20" spans="1:13">
      <c r="A20" s="22" t="s">
        <v>39</v>
      </c>
      <c r="B20" s="7" t="s">
        <v>1062</v>
      </c>
      <c r="C20" s="7" t="s">
        <v>1063</v>
      </c>
      <c r="D20" s="7" t="s">
        <v>570</v>
      </c>
      <c r="E20" s="8" t="s">
        <v>1297</v>
      </c>
      <c r="F20" s="7" t="s">
        <v>1049</v>
      </c>
      <c r="G20" s="20" t="s">
        <v>246</v>
      </c>
      <c r="H20" s="20" t="s">
        <v>256</v>
      </c>
      <c r="I20" s="21" t="s">
        <v>52</v>
      </c>
      <c r="J20" s="22"/>
      <c r="K20" s="9" t="str">
        <f>"102,5"</f>
        <v>102,5</v>
      </c>
      <c r="L20" s="9" t="str">
        <f>"103,2610"</f>
        <v>103,2610</v>
      </c>
      <c r="M20" s="7" t="s">
        <v>1006</v>
      </c>
    </row>
    <row r="22" spans="1:13" ht="16">
      <c r="A22" s="81" t="s">
        <v>113</v>
      </c>
      <c r="B22" s="81"/>
      <c r="C22" s="82"/>
      <c r="D22" s="82"/>
      <c r="E22" s="82"/>
      <c r="F22" s="82"/>
      <c r="G22" s="82"/>
      <c r="H22" s="82"/>
      <c r="I22" s="82"/>
      <c r="J22" s="82"/>
    </row>
    <row r="23" spans="1:13">
      <c r="A23" s="22" t="s">
        <v>39</v>
      </c>
      <c r="B23" s="7" t="s">
        <v>1064</v>
      </c>
      <c r="C23" s="7" t="s">
        <v>1065</v>
      </c>
      <c r="D23" s="7" t="s">
        <v>1040</v>
      </c>
      <c r="E23" s="8" t="s">
        <v>1295</v>
      </c>
      <c r="F23" s="7" t="s">
        <v>1049</v>
      </c>
      <c r="G23" s="20" t="s">
        <v>48</v>
      </c>
      <c r="H23" s="21" t="s">
        <v>82</v>
      </c>
      <c r="I23" s="21" t="s">
        <v>256</v>
      </c>
      <c r="J23" s="22"/>
      <c r="K23" s="9" t="str">
        <f>"90,0"</f>
        <v>90,0</v>
      </c>
      <c r="L23" s="9" t="str">
        <f>"63,3225"</f>
        <v>63,3225</v>
      </c>
      <c r="M23" s="7" t="s">
        <v>1045</v>
      </c>
    </row>
    <row r="25" spans="1:13" ht="16">
      <c r="A25" s="81" t="s">
        <v>137</v>
      </c>
      <c r="B25" s="81"/>
      <c r="C25" s="82"/>
      <c r="D25" s="82"/>
      <c r="E25" s="82"/>
      <c r="F25" s="82"/>
      <c r="G25" s="82"/>
      <c r="H25" s="82"/>
      <c r="I25" s="82"/>
      <c r="J25" s="82"/>
    </row>
    <row r="26" spans="1:13">
      <c r="A26" s="33" t="s">
        <v>39</v>
      </c>
      <c r="B26" s="23" t="s">
        <v>1066</v>
      </c>
      <c r="C26" s="23" t="s">
        <v>1067</v>
      </c>
      <c r="D26" s="23" t="s">
        <v>957</v>
      </c>
      <c r="E26" s="24" t="s">
        <v>1295</v>
      </c>
      <c r="F26" s="23" t="s">
        <v>1049</v>
      </c>
      <c r="G26" s="32" t="s">
        <v>246</v>
      </c>
      <c r="H26" s="32" t="s">
        <v>256</v>
      </c>
      <c r="I26" s="32" t="s">
        <v>52</v>
      </c>
      <c r="J26" s="33"/>
      <c r="K26" s="25" t="str">
        <f>"105,0"</f>
        <v>105,0</v>
      </c>
      <c r="L26" s="25" t="str">
        <f>"62,8623"</f>
        <v>62,8623</v>
      </c>
      <c r="M26" s="23" t="s">
        <v>1045</v>
      </c>
    </row>
    <row r="27" spans="1:13">
      <c r="A27" s="37" t="s">
        <v>39</v>
      </c>
      <c r="B27" s="26" t="s">
        <v>1068</v>
      </c>
      <c r="C27" s="26" t="s">
        <v>1069</v>
      </c>
      <c r="D27" s="26" t="s">
        <v>1070</v>
      </c>
      <c r="E27" s="27" t="s">
        <v>1298</v>
      </c>
      <c r="F27" s="26" t="s">
        <v>1049</v>
      </c>
      <c r="G27" s="35" t="s">
        <v>230</v>
      </c>
      <c r="H27" s="36" t="s">
        <v>241</v>
      </c>
      <c r="I27" s="36" t="s">
        <v>241</v>
      </c>
      <c r="J27" s="37"/>
      <c r="K27" s="28" t="str">
        <f>"67,5"</f>
        <v>67,5</v>
      </c>
      <c r="L27" s="28" t="str">
        <f>"78,0221"</f>
        <v>78,0221</v>
      </c>
      <c r="M27" s="26" t="s">
        <v>1045</v>
      </c>
    </row>
    <row r="29" spans="1:13" ht="16">
      <c r="A29" s="81" t="s">
        <v>190</v>
      </c>
      <c r="B29" s="81"/>
      <c r="C29" s="82"/>
      <c r="D29" s="82"/>
      <c r="E29" s="82"/>
      <c r="F29" s="82"/>
      <c r="G29" s="82"/>
      <c r="H29" s="82"/>
      <c r="I29" s="82"/>
      <c r="J29" s="82"/>
    </row>
    <row r="30" spans="1:13">
      <c r="A30" s="22" t="s">
        <v>39</v>
      </c>
      <c r="B30" s="7" t="s">
        <v>1071</v>
      </c>
      <c r="C30" s="7" t="s">
        <v>1072</v>
      </c>
      <c r="D30" s="7" t="s">
        <v>1073</v>
      </c>
      <c r="E30" s="8" t="s">
        <v>1294</v>
      </c>
      <c r="F30" s="7" t="s">
        <v>1049</v>
      </c>
      <c r="G30" s="20" t="s">
        <v>372</v>
      </c>
      <c r="H30" s="20" t="s">
        <v>373</v>
      </c>
      <c r="I30" s="20" t="s">
        <v>98</v>
      </c>
      <c r="J30" s="22"/>
      <c r="K30" s="9" t="str">
        <f>"150,0"</f>
        <v>150,0</v>
      </c>
      <c r="L30" s="9" t="str">
        <f>"102,5462"</f>
        <v>102,5462</v>
      </c>
      <c r="M30" s="7"/>
    </row>
    <row r="32" spans="1:13">
      <c r="K32" s="18"/>
      <c r="M32" s="6"/>
    </row>
    <row r="33" spans="2:13">
      <c r="K33" s="18"/>
      <c r="M33" s="6"/>
    </row>
    <row r="34" spans="2:13" ht="18">
      <c r="B34" s="11" t="s">
        <v>30</v>
      </c>
      <c r="C34" s="11"/>
      <c r="K34" s="18"/>
      <c r="M34" s="6"/>
    </row>
    <row r="35" spans="2:13" ht="16">
      <c r="B35" s="12" t="s">
        <v>31</v>
      </c>
      <c r="C35" s="12"/>
      <c r="K35" s="18"/>
      <c r="M35" s="6"/>
    </row>
    <row r="36" spans="2:13" ht="14">
      <c r="B36" s="13"/>
      <c r="C36" s="14" t="s">
        <v>216</v>
      </c>
      <c r="K36" s="18"/>
      <c r="M36" s="6"/>
    </row>
    <row r="37" spans="2:13" ht="14">
      <c r="B37" s="15" t="s">
        <v>33</v>
      </c>
      <c r="C37" s="15" t="s">
        <v>34</v>
      </c>
      <c r="D37" s="15" t="s">
        <v>1139</v>
      </c>
      <c r="E37" s="16" t="s">
        <v>665</v>
      </c>
      <c r="F37" s="15" t="s">
        <v>1000</v>
      </c>
      <c r="K37" s="18"/>
      <c r="M37" s="6"/>
    </row>
    <row r="38" spans="2:13">
      <c r="B38" s="5" t="s">
        <v>1050</v>
      </c>
      <c r="C38" s="5" t="s">
        <v>1007</v>
      </c>
      <c r="D38" s="18" t="s">
        <v>215</v>
      </c>
      <c r="E38" s="19">
        <v>107.5</v>
      </c>
      <c r="F38" s="17">
        <v>113.702080447078</v>
      </c>
      <c r="K38" s="18"/>
      <c r="M38" s="6"/>
    </row>
    <row r="39" spans="2:13">
      <c r="B39" s="5" t="s">
        <v>1062</v>
      </c>
      <c r="C39" s="5" t="s">
        <v>1007</v>
      </c>
      <c r="D39" s="18" t="s">
        <v>38</v>
      </c>
      <c r="E39" s="19">
        <v>102.5</v>
      </c>
      <c r="F39" s="17">
        <v>103.261028673053</v>
      </c>
      <c r="G39" s="5"/>
      <c r="K39" s="18"/>
      <c r="M39" s="6"/>
    </row>
    <row r="40" spans="2:13">
      <c r="B40" s="5" t="s">
        <v>1071</v>
      </c>
      <c r="C40" s="5" t="s">
        <v>1074</v>
      </c>
      <c r="D40" s="18" t="s">
        <v>482</v>
      </c>
      <c r="E40" s="19">
        <v>150</v>
      </c>
      <c r="F40" s="17">
        <v>102.546245098114</v>
      </c>
    </row>
  </sheetData>
  <mergeCells count="19">
    <mergeCell ref="A29:J29"/>
    <mergeCell ref="B3:B4"/>
    <mergeCell ref="A8:J8"/>
    <mergeCell ref="A11:J11"/>
    <mergeCell ref="A14:J14"/>
    <mergeCell ref="A19:J19"/>
    <mergeCell ref="A22:J22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C33B-9FDA-4701-8671-111058CAA09F}">
  <dimension ref="A1:M76"/>
  <sheetViews>
    <sheetView topLeftCell="A26" workbookViewId="0">
      <selection activeCell="E60" sqref="E60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10" width="5.5" style="18" customWidth="1"/>
    <col min="11" max="11" width="10.5" style="19" bestFit="1" customWidth="1"/>
    <col min="12" max="12" width="8.5" style="6" bestFit="1" customWidth="1"/>
    <col min="13" max="13" width="27.1640625" style="5" bestFit="1" customWidth="1"/>
    <col min="14" max="16384" width="9.1640625" style="3"/>
  </cols>
  <sheetData>
    <row r="1" spans="1:13" s="2" customFormat="1" ht="29" customHeight="1">
      <c r="A1" s="68" t="s">
        <v>1269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9</v>
      </c>
      <c r="H3" s="80"/>
      <c r="I3" s="80"/>
      <c r="J3" s="80"/>
      <c r="K3" s="60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224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891</v>
      </c>
      <c r="C6" s="7" t="s">
        <v>892</v>
      </c>
      <c r="D6" s="7" t="s">
        <v>893</v>
      </c>
      <c r="E6" s="8" t="s">
        <v>1291</v>
      </c>
      <c r="F6" s="7" t="s">
        <v>117</v>
      </c>
      <c r="G6" s="20" t="s">
        <v>229</v>
      </c>
      <c r="H6" s="21" t="s">
        <v>60</v>
      </c>
      <c r="I6" s="21" t="s">
        <v>60</v>
      </c>
      <c r="J6" s="22"/>
      <c r="K6" s="41" t="str">
        <f>"60,0"</f>
        <v>60,0</v>
      </c>
      <c r="L6" s="9" t="str">
        <f>"86,1540"</f>
        <v>86,1540</v>
      </c>
      <c r="M6" s="7" t="s">
        <v>305</v>
      </c>
    </row>
    <row r="8" spans="1:13" ht="16">
      <c r="A8" s="81" t="s">
        <v>236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22" t="s">
        <v>39</v>
      </c>
      <c r="B9" s="7" t="s">
        <v>894</v>
      </c>
      <c r="C9" s="7" t="s">
        <v>895</v>
      </c>
      <c r="D9" s="7" t="s">
        <v>896</v>
      </c>
      <c r="E9" s="8" t="s">
        <v>1291</v>
      </c>
      <c r="F9" s="7" t="s">
        <v>877</v>
      </c>
      <c r="G9" s="20" t="s">
        <v>48</v>
      </c>
      <c r="H9" s="20" t="s">
        <v>246</v>
      </c>
      <c r="I9" s="21" t="s">
        <v>82</v>
      </c>
      <c r="J9" s="22"/>
      <c r="K9" s="41" t="str">
        <f>"97,5"</f>
        <v>97,5</v>
      </c>
      <c r="L9" s="9" t="str">
        <f>"129,7238"</f>
        <v>129,7238</v>
      </c>
      <c r="M9" s="7" t="s">
        <v>897</v>
      </c>
    </row>
    <row r="11" spans="1:13" ht="16">
      <c r="A11" s="81" t="s">
        <v>262</v>
      </c>
      <c r="B11" s="81"/>
      <c r="C11" s="82"/>
      <c r="D11" s="82"/>
      <c r="E11" s="82"/>
      <c r="F11" s="82"/>
      <c r="G11" s="82"/>
      <c r="H11" s="82"/>
      <c r="I11" s="82"/>
      <c r="J11" s="82"/>
    </row>
    <row r="12" spans="1:13">
      <c r="A12" s="33" t="s">
        <v>39</v>
      </c>
      <c r="B12" s="23" t="s">
        <v>265</v>
      </c>
      <c r="C12" s="23" t="s">
        <v>266</v>
      </c>
      <c r="D12" s="23" t="s">
        <v>267</v>
      </c>
      <c r="E12" s="24" t="s">
        <v>1292</v>
      </c>
      <c r="F12" s="23" t="s">
        <v>268</v>
      </c>
      <c r="G12" s="32" t="s">
        <v>111</v>
      </c>
      <c r="H12" s="34" t="s">
        <v>91</v>
      </c>
      <c r="I12" s="32" t="s">
        <v>158</v>
      </c>
      <c r="J12" s="32" t="s">
        <v>80</v>
      </c>
      <c r="K12" s="42" t="str">
        <f>"177,5"</f>
        <v>177,5</v>
      </c>
      <c r="L12" s="25" t="str">
        <f>"208,8465"</f>
        <v>208,8465</v>
      </c>
      <c r="M12" s="23" t="s">
        <v>898</v>
      </c>
    </row>
    <row r="13" spans="1:13">
      <c r="A13" s="39" t="s">
        <v>219</v>
      </c>
      <c r="B13" s="29" t="s">
        <v>899</v>
      </c>
      <c r="C13" s="29" t="s">
        <v>900</v>
      </c>
      <c r="D13" s="29" t="s">
        <v>901</v>
      </c>
      <c r="E13" s="30" t="s">
        <v>1292</v>
      </c>
      <c r="F13" s="29" t="s">
        <v>71</v>
      </c>
      <c r="G13" s="38" t="s">
        <v>74</v>
      </c>
      <c r="H13" s="38" t="s">
        <v>75</v>
      </c>
      <c r="I13" s="38" t="s">
        <v>187</v>
      </c>
      <c r="J13" s="39"/>
      <c r="K13" s="43" t="str">
        <f>"145,0"</f>
        <v>145,0</v>
      </c>
      <c r="L13" s="31" t="str">
        <f>"172,5500"</f>
        <v>172,5500</v>
      </c>
      <c r="M13" s="29" t="s">
        <v>902</v>
      </c>
    </row>
    <row r="14" spans="1:13">
      <c r="A14" s="39" t="s">
        <v>220</v>
      </c>
      <c r="B14" s="29" t="s">
        <v>903</v>
      </c>
      <c r="C14" s="29" t="s">
        <v>904</v>
      </c>
      <c r="D14" s="29" t="s">
        <v>681</v>
      </c>
      <c r="E14" s="30" t="s">
        <v>1292</v>
      </c>
      <c r="F14" s="29" t="s">
        <v>71</v>
      </c>
      <c r="G14" s="38" t="s">
        <v>74</v>
      </c>
      <c r="H14" s="38" t="s">
        <v>287</v>
      </c>
      <c r="I14" s="40" t="s">
        <v>75</v>
      </c>
      <c r="J14" s="39"/>
      <c r="K14" s="43" t="str">
        <f>"135,0"</f>
        <v>135,0</v>
      </c>
      <c r="L14" s="31" t="str">
        <f>"159,7320"</f>
        <v>159,7320</v>
      </c>
      <c r="M14" s="29" t="s">
        <v>905</v>
      </c>
    </row>
    <row r="15" spans="1:13">
      <c r="A15" s="39" t="s">
        <v>221</v>
      </c>
      <c r="B15" s="29" t="s">
        <v>906</v>
      </c>
      <c r="C15" s="29" t="s">
        <v>907</v>
      </c>
      <c r="D15" s="29" t="s">
        <v>908</v>
      </c>
      <c r="E15" s="30" t="s">
        <v>1292</v>
      </c>
      <c r="F15" s="29" t="s">
        <v>71</v>
      </c>
      <c r="G15" s="38" t="s">
        <v>54</v>
      </c>
      <c r="H15" s="38" t="s">
        <v>102</v>
      </c>
      <c r="I15" s="38" t="s">
        <v>292</v>
      </c>
      <c r="J15" s="39"/>
      <c r="K15" s="43" t="str">
        <f>"132,5"</f>
        <v>132,5</v>
      </c>
      <c r="L15" s="31" t="str">
        <f>"156,1248"</f>
        <v>156,1248</v>
      </c>
      <c r="M15" s="29"/>
    </row>
    <row r="16" spans="1:13">
      <c r="A16" s="37" t="s">
        <v>222</v>
      </c>
      <c r="B16" s="26" t="s">
        <v>909</v>
      </c>
      <c r="C16" s="26" t="s">
        <v>910</v>
      </c>
      <c r="D16" s="26" t="s">
        <v>686</v>
      </c>
      <c r="E16" s="27" t="s">
        <v>1292</v>
      </c>
      <c r="F16" s="26" t="s">
        <v>911</v>
      </c>
      <c r="G16" s="35" t="s">
        <v>82</v>
      </c>
      <c r="H16" s="35" t="s">
        <v>189</v>
      </c>
      <c r="I16" s="36" t="s">
        <v>54</v>
      </c>
      <c r="J16" s="37"/>
      <c r="K16" s="44" t="str">
        <f>"107,5"</f>
        <v>107,5</v>
      </c>
      <c r="L16" s="28" t="str">
        <f>"127,3768"</f>
        <v>127,3768</v>
      </c>
      <c r="M16" s="26" t="s">
        <v>890</v>
      </c>
    </row>
    <row r="18" spans="1:13" ht="16">
      <c r="A18" s="81" t="s">
        <v>278</v>
      </c>
      <c r="B18" s="81"/>
      <c r="C18" s="82"/>
      <c r="D18" s="82"/>
      <c r="E18" s="82"/>
      <c r="F18" s="82"/>
      <c r="G18" s="82"/>
      <c r="H18" s="82"/>
      <c r="I18" s="82"/>
      <c r="J18" s="82"/>
    </row>
    <row r="19" spans="1:13">
      <c r="A19" s="33" t="s">
        <v>39</v>
      </c>
      <c r="B19" s="23" t="s">
        <v>912</v>
      </c>
      <c r="C19" s="23" t="s">
        <v>1221</v>
      </c>
      <c r="D19" s="23" t="s">
        <v>913</v>
      </c>
      <c r="E19" s="24" t="s">
        <v>1293</v>
      </c>
      <c r="F19" s="23" t="s">
        <v>157</v>
      </c>
      <c r="G19" s="32" t="s">
        <v>48</v>
      </c>
      <c r="H19" s="32" t="s">
        <v>246</v>
      </c>
      <c r="I19" s="32" t="s">
        <v>256</v>
      </c>
      <c r="J19" s="33"/>
      <c r="K19" s="42" t="str">
        <f>"102,5"</f>
        <v>102,5</v>
      </c>
      <c r="L19" s="25" t="str">
        <f>"115,9275"</f>
        <v>115,9275</v>
      </c>
      <c r="M19" s="23" t="s">
        <v>914</v>
      </c>
    </row>
    <row r="20" spans="1:13">
      <c r="A20" s="39" t="s">
        <v>39</v>
      </c>
      <c r="B20" s="29" t="s">
        <v>279</v>
      </c>
      <c r="C20" s="29" t="s">
        <v>280</v>
      </c>
      <c r="D20" s="29" t="s">
        <v>281</v>
      </c>
      <c r="E20" s="30" t="s">
        <v>1292</v>
      </c>
      <c r="F20" s="29" t="s">
        <v>71</v>
      </c>
      <c r="G20" s="38" t="s">
        <v>98</v>
      </c>
      <c r="H20" s="38" t="s">
        <v>170</v>
      </c>
      <c r="I20" s="38" t="s">
        <v>176</v>
      </c>
      <c r="J20" s="40" t="s">
        <v>91</v>
      </c>
      <c r="K20" s="43" t="str">
        <f>"162,5"</f>
        <v>162,5</v>
      </c>
      <c r="L20" s="31" t="str">
        <f>"184,0313"</f>
        <v>184,0313</v>
      </c>
      <c r="M20" s="29" t="s">
        <v>282</v>
      </c>
    </row>
    <row r="21" spans="1:13">
      <c r="A21" s="39" t="s">
        <v>219</v>
      </c>
      <c r="B21" s="29" t="s">
        <v>915</v>
      </c>
      <c r="C21" s="29" t="s">
        <v>916</v>
      </c>
      <c r="D21" s="29" t="s">
        <v>917</v>
      </c>
      <c r="E21" s="30" t="s">
        <v>1292</v>
      </c>
      <c r="F21" s="29" t="s">
        <v>918</v>
      </c>
      <c r="G21" s="38" t="s">
        <v>74</v>
      </c>
      <c r="H21" s="38" t="s">
        <v>75</v>
      </c>
      <c r="I21" s="40" t="s">
        <v>372</v>
      </c>
      <c r="J21" s="39"/>
      <c r="K21" s="43" t="str">
        <f>"140,0"</f>
        <v>140,0</v>
      </c>
      <c r="L21" s="31" t="str">
        <f>"157,9340"</f>
        <v>157,9340</v>
      </c>
      <c r="M21" s="29" t="s">
        <v>924</v>
      </c>
    </row>
    <row r="22" spans="1:13">
      <c r="A22" s="39" t="s">
        <v>220</v>
      </c>
      <c r="B22" s="29" t="s">
        <v>919</v>
      </c>
      <c r="C22" s="29" t="s">
        <v>920</v>
      </c>
      <c r="D22" s="29" t="s">
        <v>297</v>
      </c>
      <c r="E22" s="30" t="s">
        <v>1292</v>
      </c>
      <c r="F22" s="29" t="s">
        <v>117</v>
      </c>
      <c r="G22" s="38" t="s">
        <v>53</v>
      </c>
      <c r="H22" s="38" t="s">
        <v>293</v>
      </c>
      <c r="I22" s="40" t="s">
        <v>286</v>
      </c>
      <c r="J22" s="39"/>
      <c r="K22" s="43" t="str">
        <f>"122,5"</f>
        <v>122,5</v>
      </c>
      <c r="L22" s="31" t="str">
        <f>"138,0085"</f>
        <v>138,0085</v>
      </c>
      <c r="M22" s="29" t="s">
        <v>921</v>
      </c>
    </row>
    <row r="23" spans="1:13">
      <c r="A23" s="37" t="s">
        <v>221</v>
      </c>
      <c r="B23" s="26" t="s">
        <v>513</v>
      </c>
      <c r="C23" s="26" t="s">
        <v>514</v>
      </c>
      <c r="D23" s="26" t="s">
        <v>515</v>
      </c>
      <c r="E23" s="27" t="s">
        <v>1292</v>
      </c>
      <c r="F23" s="26" t="s">
        <v>332</v>
      </c>
      <c r="G23" s="35" t="s">
        <v>64</v>
      </c>
      <c r="H23" s="35" t="s">
        <v>65</v>
      </c>
      <c r="I23" s="35" t="s">
        <v>188</v>
      </c>
      <c r="J23" s="37"/>
      <c r="K23" s="44" t="str">
        <f>"95,0"</f>
        <v>95,0</v>
      </c>
      <c r="L23" s="28" t="str">
        <f>"106,0485"</f>
        <v>106,0485</v>
      </c>
      <c r="M23" s="26" t="s">
        <v>1243</v>
      </c>
    </row>
    <row r="25" spans="1:13" ht="16">
      <c r="A25" s="81" t="s">
        <v>41</v>
      </c>
      <c r="B25" s="81"/>
      <c r="C25" s="82"/>
      <c r="D25" s="82"/>
      <c r="E25" s="82"/>
      <c r="F25" s="82"/>
      <c r="G25" s="82"/>
      <c r="H25" s="82"/>
      <c r="I25" s="82"/>
      <c r="J25" s="82"/>
    </row>
    <row r="26" spans="1:13">
      <c r="A26" s="33" t="s">
        <v>39</v>
      </c>
      <c r="B26" s="23" t="s">
        <v>922</v>
      </c>
      <c r="C26" s="23" t="s">
        <v>923</v>
      </c>
      <c r="D26" s="23" t="s">
        <v>308</v>
      </c>
      <c r="E26" s="24" t="s">
        <v>1292</v>
      </c>
      <c r="F26" s="23" t="s">
        <v>918</v>
      </c>
      <c r="G26" s="32" t="s">
        <v>102</v>
      </c>
      <c r="H26" s="32" t="s">
        <v>287</v>
      </c>
      <c r="I26" s="34" t="s">
        <v>372</v>
      </c>
      <c r="J26" s="33"/>
      <c r="K26" s="42" t="str">
        <f>"135,0"</f>
        <v>135,0</v>
      </c>
      <c r="L26" s="25" t="str">
        <f>"138,5235"</f>
        <v>138,5235</v>
      </c>
      <c r="M26" s="23" t="s">
        <v>924</v>
      </c>
    </row>
    <row r="27" spans="1:13">
      <c r="A27" s="39" t="s">
        <v>219</v>
      </c>
      <c r="B27" s="29" t="s">
        <v>925</v>
      </c>
      <c r="C27" s="29" t="s">
        <v>926</v>
      </c>
      <c r="D27" s="29" t="s">
        <v>927</v>
      </c>
      <c r="E27" s="30" t="s">
        <v>1292</v>
      </c>
      <c r="F27" s="29" t="s">
        <v>117</v>
      </c>
      <c r="G27" s="38" t="s">
        <v>102</v>
      </c>
      <c r="H27" s="38" t="s">
        <v>292</v>
      </c>
      <c r="I27" s="40" t="s">
        <v>75</v>
      </c>
      <c r="J27" s="39"/>
      <c r="K27" s="43" t="str">
        <f>"132,5"</f>
        <v>132,5</v>
      </c>
      <c r="L27" s="31" t="str">
        <f>"142,3050"</f>
        <v>142,3050</v>
      </c>
      <c r="M27" s="29" t="s">
        <v>928</v>
      </c>
    </row>
    <row r="28" spans="1:13">
      <c r="A28" s="39" t="s">
        <v>220</v>
      </c>
      <c r="B28" s="29" t="s">
        <v>929</v>
      </c>
      <c r="C28" s="29" t="s">
        <v>930</v>
      </c>
      <c r="D28" s="29" t="s">
        <v>931</v>
      </c>
      <c r="E28" s="30" t="s">
        <v>1292</v>
      </c>
      <c r="F28" s="29" t="s">
        <v>589</v>
      </c>
      <c r="G28" s="40" t="s">
        <v>82</v>
      </c>
      <c r="H28" s="40" t="s">
        <v>82</v>
      </c>
      <c r="I28" s="38" t="s">
        <v>72</v>
      </c>
      <c r="J28" s="39"/>
      <c r="K28" s="43" t="str">
        <f>"120,0"</f>
        <v>120,0</v>
      </c>
      <c r="L28" s="31" t="str">
        <f>"124,3440"</f>
        <v>124,3440</v>
      </c>
      <c r="M28" s="29" t="s">
        <v>703</v>
      </c>
    </row>
    <row r="29" spans="1:13">
      <c r="A29" s="39" t="s">
        <v>221</v>
      </c>
      <c r="B29" s="29" t="s">
        <v>329</v>
      </c>
      <c r="C29" s="29" t="s">
        <v>330</v>
      </c>
      <c r="D29" s="29" t="s">
        <v>331</v>
      </c>
      <c r="E29" s="30" t="s">
        <v>1292</v>
      </c>
      <c r="F29" s="29" t="s">
        <v>332</v>
      </c>
      <c r="G29" s="38" t="s">
        <v>73</v>
      </c>
      <c r="H29" s="40" t="s">
        <v>48</v>
      </c>
      <c r="I29" s="38" t="s">
        <v>188</v>
      </c>
      <c r="J29" s="39"/>
      <c r="K29" s="43" t="str">
        <f>"95,0"</f>
        <v>95,0</v>
      </c>
      <c r="L29" s="31" t="str">
        <f>"102,6475"</f>
        <v>102,6475</v>
      </c>
      <c r="M29" s="29" t="s">
        <v>474</v>
      </c>
    </row>
    <row r="30" spans="1:13">
      <c r="A30" s="39" t="s">
        <v>40</v>
      </c>
      <c r="B30" s="29" t="s">
        <v>932</v>
      </c>
      <c r="C30" s="29" t="s">
        <v>933</v>
      </c>
      <c r="D30" s="29" t="s">
        <v>934</v>
      </c>
      <c r="E30" s="30" t="s">
        <v>1292</v>
      </c>
      <c r="F30" s="29" t="s">
        <v>589</v>
      </c>
      <c r="G30" s="40" t="s">
        <v>48</v>
      </c>
      <c r="H30" s="40" t="s">
        <v>48</v>
      </c>
      <c r="I30" s="40" t="s">
        <v>48</v>
      </c>
      <c r="J30" s="39"/>
      <c r="K30" s="43">
        <v>0</v>
      </c>
      <c r="L30" s="31" t="str">
        <f>"0,0000"</f>
        <v>0,0000</v>
      </c>
      <c r="M30" s="29" t="s">
        <v>703</v>
      </c>
    </row>
    <row r="31" spans="1:13">
      <c r="A31" s="37" t="s">
        <v>39</v>
      </c>
      <c r="B31" s="26" t="s">
        <v>935</v>
      </c>
      <c r="C31" s="26" t="s">
        <v>1222</v>
      </c>
      <c r="D31" s="26" t="s">
        <v>931</v>
      </c>
      <c r="E31" s="27" t="s">
        <v>1294</v>
      </c>
      <c r="F31" s="26" t="s">
        <v>519</v>
      </c>
      <c r="G31" s="35" t="s">
        <v>46</v>
      </c>
      <c r="H31" s="36" t="s">
        <v>48</v>
      </c>
      <c r="I31" s="36" t="s">
        <v>48</v>
      </c>
      <c r="J31" s="37"/>
      <c r="K31" s="44" t="str">
        <f>"80,0"</f>
        <v>80,0</v>
      </c>
      <c r="L31" s="28" t="str">
        <f>"90,8540"</f>
        <v>90,8540</v>
      </c>
      <c r="M31" s="26" t="s">
        <v>531</v>
      </c>
    </row>
    <row r="33" spans="1:13" ht="16">
      <c r="A33" s="81" t="s">
        <v>76</v>
      </c>
      <c r="B33" s="81"/>
      <c r="C33" s="82"/>
      <c r="D33" s="82"/>
      <c r="E33" s="82"/>
      <c r="F33" s="82"/>
      <c r="G33" s="82"/>
      <c r="H33" s="82"/>
      <c r="I33" s="82"/>
      <c r="J33" s="82"/>
    </row>
    <row r="34" spans="1:13">
      <c r="A34" s="22" t="s">
        <v>39</v>
      </c>
      <c r="B34" s="7" t="s">
        <v>936</v>
      </c>
      <c r="C34" s="7" t="s">
        <v>1141</v>
      </c>
      <c r="D34" s="7" t="s">
        <v>454</v>
      </c>
      <c r="E34" s="8" t="s">
        <v>1293</v>
      </c>
      <c r="F34" s="7" t="s">
        <v>71</v>
      </c>
      <c r="G34" s="20" t="s">
        <v>74</v>
      </c>
      <c r="H34" s="20" t="s">
        <v>187</v>
      </c>
      <c r="I34" s="20" t="s">
        <v>176</v>
      </c>
      <c r="J34" s="22"/>
      <c r="K34" s="41" t="str">
        <f>"162,5"</f>
        <v>162,5</v>
      </c>
      <c r="L34" s="9" t="str">
        <f>"135,4600"</f>
        <v>135,4600</v>
      </c>
      <c r="M34" s="7" t="s">
        <v>955</v>
      </c>
    </row>
    <row r="36" spans="1:13" ht="16">
      <c r="A36" s="81" t="s">
        <v>262</v>
      </c>
      <c r="B36" s="81"/>
      <c r="C36" s="82"/>
      <c r="D36" s="82"/>
      <c r="E36" s="82"/>
      <c r="F36" s="82"/>
      <c r="G36" s="82"/>
      <c r="H36" s="82"/>
      <c r="I36" s="82"/>
      <c r="J36" s="82"/>
    </row>
    <row r="37" spans="1:13">
      <c r="A37" s="22" t="s">
        <v>39</v>
      </c>
      <c r="B37" s="7" t="s">
        <v>937</v>
      </c>
      <c r="C37" s="7" t="s">
        <v>938</v>
      </c>
      <c r="D37" s="7" t="s">
        <v>939</v>
      </c>
      <c r="E37" s="8" t="s">
        <v>1291</v>
      </c>
      <c r="F37" s="7" t="s">
        <v>519</v>
      </c>
      <c r="G37" s="20" t="s">
        <v>46</v>
      </c>
      <c r="H37" s="20" t="s">
        <v>48</v>
      </c>
      <c r="I37" s="20" t="s">
        <v>82</v>
      </c>
      <c r="J37" s="22"/>
      <c r="K37" s="41" t="str">
        <f>"100,0"</f>
        <v>100,0</v>
      </c>
      <c r="L37" s="9" t="str">
        <f>"94,5700"</f>
        <v>94,5700</v>
      </c>
      <c r="M37" s="7" t="s">
        <v>531</v>
      </c>
    </row>
    <row r="39" spans="1:13" ht="16">
      <c r="A39" s="81" t="s">
        <v>10</v>
      </c>
      <c r="B39" s="81"/>
      <c r="C39" s="82"/>
      <c r="D39" s="82"/>
      <c r="E39" s="82"/>
      <c r="F39" s="82"/>
      <c r="G39" s="82"/>
      <c r="H39" s="82"/>
      <c r="I39" s="82"/>
      <c r="J39" s="82"/>
    </row>
    <row r="40" spans="1:13">
      <c r="A40" s="33" t="s">
        <v>39</v>
      </c>
      <c r="B40" s="23" t="s">
        <v>385</v>
      </c>
      <c r="C40" s="23" t="s">
        <v>1145</v>
      </c>
      <c r="D40" s="23" t="s">
        <v>386</v>
      </c>
      <c r="E40" s="24" t="s">
        <v>1293</v>
      </c>
      <c r="F40" s="23" t="s">
        <v>387</v>
      </c>
      <c r="G40" s="32" t="s">
        <v>103</v>
      </c>
      <c r="H40" s="32" t="s">
        <v>388</v>
      </c>
      <c r="I40" s="32" t="s">
        <v>209</v>
      </c>
      <c r="J40" s="33"/>
      <c r="K40" s="42" t="str">
        <f>"300,0"</f>
        <v>300,0</v>
      </c>
      <c r="L40" s="25" t="str">
        <f>"202,7700"</f>
        <v>202,7700</v>
      </c>
      <c r="M40" s="23"/>
    </row>
    <row r="41" spans="1:13">
      <c r="A41" s="37" t="s">
        <v>39</v>
      </c>
      <c r="B41" s="26" t="s">
        <v>940</v>
      </c>
      <c r="C41" s="26" t="s">
        <v>941</v>
      </c>
      <c r="D41" s="26" t="s">
        <v>556</v>
      </c>
      <c r="E41" s="27" t="s">
        <v>1292</v>
      </c>
      <c r="F41" s="26" t="s">
        <v>268</v>
      </c>
      <c r="G41" s="35" t="s">
        <v>80</v>
      </c>
      <c r="H41" s="35" t="s">
        <v>84</v>
      </c>
      <c r="I41" s="36" t="s">
        <v>85</v>
      </c>
      <c r="J41" s="37"/>
      <c r="K41" s="44" t="str">
        <f>"200,0"</f>
        <v>200,0</v>
      </c>
      <c r="L41" s="28" t="str">
        <f>"134,5800"</f>
        <v>134,5800</v>
      </c>
      <c r="M41" s="26" t="s">
        <v>434</v>
      </c>
    </row>
    <row r="43" spans="1:13" ht="16">
      <c r="A43" s="81" t="s">
        <v>113</v>
      </c>
      <c r="B43" s="81"/>
      <c r="C43" s="82"/>
      <c r="D43" s="82"/>
      <c r="E43" s="82"/>
      <c r="F43" s="82"/>
      <c r="G43" s="82"/>
      <c r="H43" s="82"/>
      <c r="I43" s="82"/>
      <c r="J43" s="82"/>
    </row>
    <row r="44" spans="1:13">
      <c r="A44" s="33" t="s">
        <v>39</v>
      </c>
      <c r="B44" s="23" t="s">
        <v>407</v>
      </c>
      <c r="C44" s="23" t="s">
        <v>408</v>
      </c>
      <c r="D44" s="23" t="s">
        <v>409</v>
      </c>
      <c r="E44" s="24" t="s">
        <v>1292</v>
      </c>
      <c r="F44" s="23" t="s">
        <v>410</v>
      </c>
      <c r="G44" s="32" t="s">
        <v>16</v>
      </c>
      <c r="H44" s="32" t="s">
        <v>411</v>
      </c>
      <c r="I44" s="34" t="s">
        <v>389</v>
      </c>
      <c r="J44" s="33"/>
      <c r="K44" s="42" t="str">
        <f>"270,0"</f>
        <v>270,0</v>
      </c>
      <c r="L44" s="25" t="str">
        <f>"173,1510"</f>
        <v>173,1510</v>
      </c>
      <c r="M44" s="23" t="s">
        <v>257</v>
      </c>
    </row>
    <row r="45" spans="1:13">
      <c r="A45" s="39" t="s">
        <v>219</v>
      </c>
      <c r="B45" s="29" t="s">
        <v>942</v>
      </c>
      <c r="C45" s="29" t="s">
        <v>943</v>
      </c>
      <c r="D45" s="29" t="s">
        <v>944</v>
      </c>
      <c r="E45" s="30" t="s">
        <v>1292</v>
      </c>
      <c r="F45" s="29" t="s">
        <v>398</v>
      </c>
      <c r="G45" s="38" t="s">
        <v>112</v>
      </c>
      <c r="H45" s="38" t="s">
        <v>16</v>
      </c>
      <c r="I45" s="40" t="s">
        <v>508</v>
      </c>
      <c r="J45" s="39"/>
      <c r="K45" s="43" t="str">
        <f>"250,0"</f>
        <v>250,0</v>
      </c>
      <c r="L45" s="31" t="str">
        <f>"163,2000"</f>
        <v>163,2000</v>
      </c>
      <c r="M45" s="29" t="s">
        <v>898</v>
      </c>
    </row>
    <row r="46" spans="1:13">
      <c r="A46" s="39" t="s">
        <v>220</v>
      </c>
      <c r="B46" s="29" t="s">
        <v>427</v>
      </c>
      <c r="C46" s="29" t="s">
        <v>428</v>
      </c>
      <c r="D46" s="29" t="s">
        <v>429</v>
      </c>
      <c r="E46" s="30" t="s">
        <v>1292</v>
      </c>
      <c r="F46" s="29" t="s">
        <v>332</v>
      </c>
      <c r="G46" s="38" t="s">
        <v>85</v>
      </c>
      <c r="H46" s="38" t="s">
        <v>109</v>
      </c>
      <c r="I46" s="38" t="s">
        <v>112</v>
      </c>
      <c r="J46" s="39"/>
      <c r="K46" s="43" t="str">
        <f>"230,0"</f>
        <v>230,0</v>
      </c>
      <c r="L46" s="31" t="str">
        <f>"151,7310"</f>
        <v>151,7310</v>
      </c>
      <c r="M46" s="29"/>
    </row>
    <row r="47" spans="1:13">
      <c r="A47" s="37" t="s">
        <v>221</v>
      </c>
      <c r="B47" s="26" t="s">
        <v>424</v>
      </c>
      <c r="C47" s="26" t="s">
        <v>425</v>
      </c>
      <c r="D47" s="26" t="s">
        <v>426</v>
      </c>
      <c r="E47" s="27" t="s">
        <v>1292</v>
      </c>
      <c r="F47" s="26" t="s">
        <v>268</v>
      </c>
      <c r="G47" s="35" t="s">
        <v>85</v>
      </c>
      <c r="H47" s="35" t="s">
        <v>125</v>
      </c>
      <c r="I47" s="36" t="s">
        <v>112</v>
      </c>
      <c r="J47" s="37"/>
      <c r="K47" s="44" t="str">
        <f>"220,0"</f>
        <v>220,0</v>
      </c>
      <c r="L47" s="28" t="str">
        <f>"141,4160"</f>
        <v>141,4160</v>
      </c>
      <c r="M47" s="26"/>
    </row>
    <row r="49" spans="1:13" ht="16">
      <c r="A49" s="81" t="s">
        <v>137</v>
      </c>
      <c r="B49" s="81"/>
      <c r="C49" s="82"/>
      <c r="D49" s="82"/>
      <c r="E49" s="82"/>
      <c r="F49" s="82"/>
      <c r="G49" s="82"/>
      <c r="H49" s="82"/>
      <c r="I49" s="82"/>
      <c r="J49" s="82"/>
    </row>
    <row r="50" spans="1:13">
      <c r="A50" s="33" t="s">
        <v>39</v>
      </c>
      <c r="B50" s="23" t="s">
        <v>945</v>
      </c>
      <c r="C50" s="23" t="s">
        <v>946</v>
      </c>
      <c r="D50" s="23" t="s">
        <v>947</v>
      </c>
      <c r="E50" s="24" t="s">
        <v>1292</v>
      </c>
      <c r="F50" s="23" t="s">
        <v>71</v>
      </c>
      <c r="G50" s="32" t="s">
        <v>28</v>
      </c>
      <c r="H50" s="32" t="s">
        <v>119</v>
      </c>
      <c r="I50" s="34" t="s">
        <v>948</v>
      </c>
      <c r="J50" s="33"/>
      <c r="K50" s="42" t="str">
        <f>"325,0"</f>
        <v>325,0</v>
      </c>
      <c r="L50" s="25" t="str">
        <f>"198,6725"</f>
        <v>198,6725</v>
      </c>
      <c r="M50" s="23" t="s">
        <v>288</v>
      </c>
    </row>
    <row r="51" spans="1:13">
      <c r="A51" s="39" t="s">
        <v>219</v>
      </c>
      <c r="B51" s="29" t="s">
        <v>949</v>
      </c>
      <c r="C51" s="29" t="s">
        <v>950</v>
      </c>
      <c r="D51" s="29" t="s">
        <v>951</v>
      </c>
      <c r="E51" s="30" t="s">
        <v>1292</v>
      </c>
      <c r="F51" s="29" t="s">
        <v>268</v>
      </c>
      <c r="G51" s="38" t="s">
        <v>80</v>
      </c>
      <c r="H51" s="38" t="s">
        <v>84</v>
      </c>
      <c r="I51" s="40" t="s">
        <v>380</v>
      </c>
      <c r="J51" s="39"/>
      <c r="K51" s="43" t="str">
        <f>"200,0"</f>
        <v>200,0</v>
      </c>
      <c r="L51" s="31" t="str">
        <f>"123,1000"</f>
        <v>123,1000</v>
      </c>
      <c r="M51" s="29" t="s">
        <v>434</v>
      </c>
    </row>
    <row r="52" spans="1:13">
      <c r="A52" s="39" t="s">
        <v>220</v>
      </c>
      <c r="B52" s="29" t="s">
        <v>952</v>
      </c>
      <c r="C52" s="29" t="s">
        <v>953</v>
      </c>
      <c r="D52" s="29" t="s">
        <v>954</v>
      </c>
      <c r="E52" s="30" t="s">
        <v>1292</v>
      </c>
      <c r="F52" s="29" t="s">
        <v>71</v>
      </c>
      <c r="G52" s="38" t="s">
        <v>83</v>
      </c>
      <c r="H52" s="38" t="s">
        <v>92</v>
      </c>
      <c r="I52" s="40" t="s">
        <v>85</v>
      </c>
      <c r="J52" s="39"/>
      <c r="K52" s="43" t="str">
        <f>"185,0"</f>
        <v>185,0</v>
      </c>
      <c r="L52" s="31" t="str">
        <f>"116,5685"</f>
        <v>116,5685</v>
      </c>
      <c r="M52" s="29" t="s">
        <v>955</v>
      </c>
    </row>
    <row r="53" spans="1:13">
      <c r="A53" s="37" t="s">
        <v>39</v>
      </c>
      <c r="B53" s="26" t="s">
        <v>956</v>
      </c>
      <c r="C53" s="26" t="s">
        <v>1223</v>
      </c>
      <c r="D53" s="26" t="s">
        <v>957</v>
      </c>
      <c r="E53" s="27" t="s">
        <v>1299</v>
      </c>
      <c r="F53" s="26" t="s">
        <v>519</v>
      </c>
      <c r="G53" s="35" t="s">
        <v>112</v>
      </c>
      <c r="H53" s="36" t="s">
        <v>93</v>
      </c>
      <c r="I53" s="36" t="s">
        <v>93</v>
      </c>
      <c r="J53" s="37"/>
      <c r="K53" s="44" t="str">
        <f>"230,0"</f>
        <v>230,0</v>
      </c>
      <c r="L53" s="28" t="str">
        <f>"199,1851"</f>
        <v>199,1851</v>
      </c>
      <c r="M53" s="26" t="s">
        <v>531</v>
      </c>
    </row>
    <row r="55" spans="1:13" ht="16">
      <c r="A55" s="81" t="s">
        <v>22</v>
      </c>
      <c r="B55" s="81"/>
      <c r="C55" s="82"/>
      <c r="D55" s="82"/>
      <c r="E55" s="82"/>
      <c r="F55" s="82"/>
      <c r="G55" s="82"/>
      <c r="H55" s="82"/>
      <c r="I55" s="82"/>
      <c r="J55" s="82"/>
    </row>
    <row r="56" spans="1:13">
      <c r="A56" s="33" t="s">
        <v>39</v>
      </c>
      <c r="B56" s="23" t="s">
        <v>803</v>
      </c>
      <c r="C56" s="23" t="s">
        <v>958</v>
      </c>
      <c r="D56" s="23" t="s">
        <v>804</v>
      </c>
      <c r="E56" s="24" t="s">
        <v>1292</v>
      </c>
      <c r="F56" s="23" t="s">
        <v>117</v>
      </c>
      <c r="G56" s="32" t="s">
        <v>153</v>
      </c>
      <c r="H56" s="32" t="s">
        <v>209</v>
      </c>
      <c r="I56" s="34" t="s">
        <v>132</v>
      </c>
      <c r="J56" s="33"/>
      <c r="K56" s="42" t="str">
        <f>"300,0"</f>
        <v>300,0</v>
      </c>
      <c r="L56" s="25" t="str">
        <f>"171,5400"</f>
        <v>171,5400</v>
      </c>
      <c r="M56" s="23"/>
    </row>
    <row r="57" spans="1:13">
      <c r="A57" s="39" t="s">
        <v>219</v>
      </c>
      <c r="B57" s="29" t="s">
        <v>959</v>
      </c>
      <c r="C57" s="29" t="s">
        <v>960</v>
      </c>
      <c r="D57" s="29" t="s">
        <v>961</v>
      </c>
      <c r="E57" s="30" t="s">
        <v>1292</v>
      </c>
      <c r="F57" s="29" t="s">
        <v>835</v>
      </c>
      <c r="G57" s="38" t="s">
        <v>20</v>
      </c>
      <c r="H57" s="38" t="s">
        <v>103</v>
      </c>
      <c r="I57" s="38" t="s">
        <v>411</v>
      </c>
      <c r="J57" s="39"/>
      <c r="K57" s="43" t="str">
        <f>"270,0"</f>
        <v>270,0</v>
      </c>
      <c r="L57" s="31" t="str">
        <f>"153,8460"</f>
        <v>153,8460</v>
      </c>
      <c r="M57" s="29"/>
    </row>
    <row r="58" spans="1:13">
      <c r="A58" s="39" t="s">
        <v>220</v>
      </c>
      <c r="B58" s="29" t="s">
        <v>962</v>
      </c>
      <c r="C58" s="29" t="s">
        <v>963</v>
      </c>
      <c r="D58" s="29" t="s">
        <v>964</v>
      </c>
      <c r="E58" s="30" t="s">
        <v>1292</v>
      </c>
      <c r="F58" s="29" t="s">
        <v>175</v>
      </c>
      <c r="G58" s="38" t="s">
        <v>84</v>
      </c>
      <c r="H58" s="38" t="s">
        <v>125</v>
      </c>
      <c r="I58" s="38" t="s">
        <v>93</v>
      </c>
      <c r="J58" s="39"/>
      <c r="K58" s="43" t="str">
        <f>"240,0"</f>
        <v>240,0</v>
      </c>
      <c r="L58" s="31" t="str">
        <f>"139,2240"</f>
        <v>139,2240</v>
      </c>
      <c r="M58" s="29" t="s">
        <v>567</v>
      </c>
    </row>
    <row r="59" spans="1:13">
      <c r="A59" s="37" t="s">
        <v>221</v>
      </c>
      <c r="B59" s="26" t="s">
        <v>965</v>
      </c>
      <c r="C59" s="26" t="s">
        <v>966</v>
      </c>
      <c r="D59" s="26" t="s">
        <v>889</v>
      </c>
      <c r="E59" s="27" t="s">
        <v>1292</v>
      </c>
      <c r="F59" s="26" t="s">
        <v>519</v>
      </c>
      <c r="G59" s="35" t="s">
        <v>83</v>
      </c>
      <c r="H59" s="35" t="s">
        <v>81</v>
      </c>
      <c r="I59" s="36" t="s">
        <v>84</v>
      </c>
      <c r="J59" s="37"/>
      <c r="K59" s="44" t="str">
        <f>"190,0"</f>
        <v>190,0</v>
      </c>
      <c r="L59" s="28" t="str">
        <f>"109,5920"</f>
        <v>109,5920</v>
      </c>
      <c r="M59" s="26" t="s">
        <v>531</v>
      </c>
    </row>
    <row r="61" spans="1:13">
      <c r="G61" s="3"/>
      <c r="M61" s="6"/>
    </row>
    <row r="62" spans="1:13">
      <c r="G62" s="3"/>
      <c r="M62" s="6"/>
    </row>
    <row r="63" spans="1:13" ht="18">
      <c r="B63" s="11" t="s">
        <v>30</v>
      </c>
      <c r="C63" s="11"/>
      <c r="E63" s="5"/>
      <c r="G63" s="3"/>
      <c r="M63" s="6"/>
    </row>
    <row r="64" spans="1:13" ht="16">
      <c r="B64" s="12" t="s">
        <v>213</v>
      </c>
      <c r="C64" s="12"/>
      <c r="E64" s="5"/>
      <c r="G64" s="3"/>
      <c r="M64" s="6"/>
    </row>
    <row r="65" spans="2:13" ht="14">
      <c r="B65" s="13"/>
      <c r="C65" s="14" t="s">
        <v>32</v>
      </c>
      <c r="E65" s="5"/>
      <c r="G65" s="3"/>
      <c r="M65" s="6"/>
    </row>
    <row r="66" spans="2:13" ht="14">
      <c r="B66" s="15" t="s">
        <v>33</v>
      </c>
      <c r="C66" s="15" t="s">
        <v>34</v>
      </c>
      <c r="D66" s="15" t="s">
        <v>1139</v>
      </c>
      <c r="E66" s="15" t="s">
        <v>37</v>
      </c>
      <c r="F66" s="16" t="s">
        <v>665</v>
      </c>
      <c r="G66" s="3"/>
      <c r="M66" s="6"/>
    </row>
    <row r="67" spans="2:13">
      <c r="B67" s="5" t="s">
        <v>265</v>
      </c>
      <c r="C67" s="5" t="s">
        <v>32</v>
      </c>
      <c r="D67" s="18" t="s">
        <v>479</v>
      </c>
      <c r="E67" s="17">
        <v>208.84649634361301</v>
      </c>
      <c r="F67" s="19">
        <v>177.5</v>
      </c>
      <c r="G67" s="3"/>
      <c r="M67" s="6"/>
    </row>
    <row r="68" spans="2:13">
      <c r="B68" s="5" t="s">
        <v>279</v>
      </c>
      <c r="C68" s="5" t="s">
        <v>32</v>
      </c>
      <c r="D68" s="18" t="s">
        <v>481</v>
      </c>
      <c r="E68" s="17">
        <v>184.031258523464</v>
      </c>
      <c r="F68" s="19">
        <v>162.5</v>
      </c>
      <c r="G68" s="3"/>
      <c r="M68" s="6"/>
    </row>
    <row r="69" spans="2:13">
      <c r="B69" s="5" t="s">
        <v>899</v>
      </c>
      <c r="C69" s="5" t="s">
        <v>32</v>
      </c>
      <c r="D69" s="18" t="s">
        <v>479</v>
      </c>
      <c r="E69" s="17">
        <v>172.55000829696701</v>
      </c>
      <c r="F69" s="19">
        <v>145</v>
      </c>
      <c r="G69" s="3"/>
      <c r="M69" s="6"/>
    </row>
    <row r="70" spans="2:13">
      <c r="E70" s="5"/>
      <c r="F70" s="10"/>
      <c r="G70" s="3"/>
      <c r="M70" s="6"/>
    </row>
    <row r="71" spans="2:13" ht="16">
      <c r="B71" s="12" t="s">
        <v>31</v>
      </c>
      <c r="C71" s="12"/>
      <c r="E71" s="5"/>
      <c r="F71" s="10"/>
      <c r="G71" s="3"/>
      <c r="M71" s="6"/>
    </row>
    <row r="72" spans="2:13" ht="14">
      <c r="B72" s="13"/>
      <c r="C72" s="14" t="s">
        <v>32</v>
      </c>
      <c r="E72" s="5"/>
      <c r="F72" s="10"/>
      <c r="G72" s="3"/>
      <c r="M72" s="6"/>
    </row>
    <row r="73" spans="2:13" ht="14">
      <c r="B73" s="15" t="s">
        <v>33</v>
      </c>
      <c r="C73" s="15" t="s">
        <v>34</v>
      </c>
      <c r="D73" s="15" t="s">
        <v>1139</v>
      </c>
      <c r="E73" s="15" t="s">
        <v>37</v>
      </c>
      <c r="F73" s="16" t="s">
        <v>665</v>
      </c>
      <c r="G73" s="3"/>
      <c r="M73" s="6"/>
    </row>
    <row r="74" spans="2:13">
      <c r="B74" s="5" t="s">
        <v>945</v>
      </c>
      <c r="C74" s="5" t="s">
        <v>32</v>
      </c>
      <c r="D74" s="18" t="s">
        <v>217</v>
      </c>
      <c r="E74" s="17">
        <v>198.672497272491</v>
      </c>
      <c r="F74" s="19">
        <v>325</v>
      </c>
      <c r="G74" s="3"/>
      <c r="M74" s="6"/>
    </row>
    <row r="75" spans="2:13">
      <c r="B75" s="5" t="s">
        <v>407</v>
      </c>
      <c r="C75" s="5" t="s">
        <v>32</v>
      </c>
      <c r="D75" s="18" t="s">
        <v>218</v>
      </c>
      <c r="E75" s="17">
        <v>173.15100610256201</v>
      </c>
      <c r="F75" s="19">
        <v>270</v>
      </c>
    </row>
    <row r="76" spans="2:13">
      <c r="B76" s="5" t="s">
        <v>803</v>
      </c>
      <c r="C76" s="5" t="s">
        <v>32</v>
      </c>
      <c r="D76" s="18" t="s">
        <v>816</v>
      </c>
      <c r="E76" s="17">
        <v>171.539998054504</v>
      </c>
      <c r="F76" s="19">
        <v>300</v>
      </c>
    </row>
  </sheetData>
  <mergeCells count="22">
    <mergeCell ref="A39:J39"/>
    <mergeCell ref="A43:J43"/>
    <mergeCell ref="A49:J49"/>
    <mergeCell ref="A55:J55"/>
    <mergeCell ref="B3:B4"/>
    <mergeCell ref="A8:J8"/>
    <mergeCell ref="A11:J11"/>
    <mergeCell ref="A18:J18"/>
    <mergeCell ref="A25:J25"/>
    <mergeCell ref="A33:J33"/>
    <mergeCell ref="A36:J3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22DE-4C16-41FF-BB33-7A79D468CBB6}">
  <dimension ref="A1:M40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1" width="10.5" style="19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68" t="s">
        <v>1270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9</v>
      </c>
      <c r="H3" s="80"/>
      <c r="I3" s="80"/>
      <c r="J3" s="80"/>
      <c r="K3" s="60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67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3" t="s">
        <v>39</v>
      </c>
      <c r="B6" s="23" t="s">
        <v>861</v>
      </c>
      <c r="C6" s="23" t="s">
        <v>862</v>
      </c>
      <c r="D6" s="23" t="s">
        <v>863</v>
      </c>
      <c r="E6" s="24" t="s">
        <v>1292</v>
      </c>
      <c r="F6" s="23" t="s">
        <v>860</v>
      </c>
      <c r="G6" s="32" t="s">
        <v>48</v>
      </c>
      <c r="H6" s="32" t="s">
        <v>82</v>
      </c>
      <c r="I6" s="32" t="s">
        <v>53</v>
      </c>
      <c r="J6" s="33"/>
      <c r="K6" s="42" t="str">
        <f>"110,0"</f>
        <v>110,0</v>
      </c>
      <c r="L6" s="25" t="str">
        <f>"109,8680"</f>
        <v>109,8680</v>
      </c>
      <c r="M6" s="23" t="s">
        <v>825</v>
      </c>
    </row>
    <row r="7" spans="1:13">
      <c r="A7" s="39" t="s">
        <v>219</v>
      </c>
      <c r="B7" s="29" t="s">
        <v>864</v>
      </c>
      <c r="C7" s="29" t="s">
        <v>865</v>
      </c>
      <c r="D7" s="29" t="s">
        <v>866</v>
      </c>
      <c r="E7" s="30" t="s">
        <v>1292</v>
      </c>
      <c r="F7" s="29" t="s">
        <v>71</v>
      </c>
      <c r="G7" s="38" t="s">
        <v>60</v>
      </c>
      <c r="H7" s="38" t="s">
        <v>46</v>
      </c>
      <c r="I7" s="38" t="s">
        <v>47</v>
      </c>
      <c r="J7" s="39"/>
      <c r="K7" s="43" t="str">
        <f>"85,0"</f>
        <v>85,0</v>
      </c>
      <c r="L7" s="31" t="str">
        <f>"80,8010"</f>
        <v>80,8010</v>
      </c>
      <c r="M7" s="29" t="s">
        <v>825</v>
      </c>
    </row>
    <row r="8" spans="1:13">
      <c r="A8" s="37" t="s">
        <v>39</v>
      </c>
      <c r="B8" s="26" t="s">
        <v>867</v>
      </c>
      <c r="C8" s="26" t="s">
        <v>1224</v>
      </c>
      <c r="D8" s="26" t="s">
        <v>868</v>
      </c>
      <c r="E8" s="27" t="s">
        <v>1294</v>
      </c>
      <c r="F8" s="26" t="s">
        <v>835</v>
      </c>
      <c r="G8" s="35" t="s">
        <v>72</v>
      </c>
      <c r="H8" s="35" t="s">
        <v>286</v>
      </c>
      <c r="I8" s="36" t="s">
        <v>292</v>
      </c>
      <c r="J8" s="37"/>
      <c r="K8" s="44" t="str">
        <f>"127,5"</f>
        <v>127,5</v>
      </c>
      <c r="L8" s="28" t="str">
        <f>"138,0228"</f>
        <v>138,0228</v>
      </c>
      <c r="M8" s="26" t="s">
        <v>869</v>
      </c>
    </row>
    <row r="10" spans="1:13" ht="16">
      <c r="A10" s="81" t="s">
        <v>10</v>
      </c>
      <c r="B10" s="81"/>
      <c r="C10" s="82"/>
      <c r="D10" s="82"/>
      <c r="E10" s="82"/>
      <c r="F10" s="82"/>
      <c r="G10" s="82"/>
      <c r="H10" s="82"/>
      <c r="I10" s="82"/>
      <c r="J10" s="82"/>
    </row>
    <row r="11" spans="1:13">
      <c r="A11" s="22" t="s">
        <v>39</v>
      </c>
      <c r="B11" s="7" t="s">
        <v>870</v>
      </c>
      <c r="C11" s="7" t="s">
        <v>871</v>
      </c>
      <c r="D11" s="7" t="s">
        <v>96</v>
      </c>
      <c r="E11" s="8" t="s">
        <v>1292</v>
      </c>
      <c r="F11" s="7" t="s">
        <v>71</v>
      </c>
      <c r="G11" s="20" t="s">
        <v>85</v>
      </c>
      <c r="H11" s="21" t="s">
        <v>125</v>
      </c>
      <c r="I11" s="21" t="s">
        <v>125</v>
      </c>
      <c r="J11" s="22"/>
      <c r="K11" s="41" t="str">
        <f>"210,0"</f>
        <v>210,0</v>
      </c>
      <c r="L11" s="9" t="str">
        <f>"141,5190"</f>
        <v>141,5190</v>
      </c>
      <c r="M11" s="7" t="s">
        <v>282</v>
      </c>
    </row>
    <row r="13" spans="1:13" ht="16">
      <c r="A13" s="81" t="s">
        <v>113</v>
      </c>
      <c r="B13" s="81"/>
      <c r="C13" s="82"/>
      <c r="D13" s="82"/>
      <c r="E13" s="82"/>
      <c r="F13" s="82"/>
      <c r="G13" s="82"/>
      <c r="H13" s="82"/>
      <c r="I13" s="82"/>
      <c r="J13" s="82"/>
    </row>
    <row r="14" spans="1:13">
      <c r="A14" s="22" t="s">
        <v>40</v>
      </c>
      <c r="B14" s="7" t="s">
        <v>490</v>
      </c>
      <c r="C14" s="7" t="s">
        <v>491</v>
      </c>
      <c r="D14" s="7" t="s">
        <v>414</v>
      </c>
      <c r="E14" s="8" t="s">
        <v>1292</v>
      </c>
      <c r="F14" s="7" t="s">
        <v>1244</v>
      </c>
      <c r="G14" s="21" t="s">
        <v>872</v>
      </c>
      <c r="H14" s="21" t="s">
        <v>872</v>
      </c>
      <c r="I14" s="21" t="s">
        <v>872</v>
      </c>
      <c r="J14" s="22"/>
      <c r="K14" s="41">
        <v>0</v>
      </c>
      <c r="L14" s="9" t="str">
        <f>"0,0000"</f>
        <v>0,0000</v>
      </c>
      <c r="M14" s="7"/>
    </row>
    <row r="16" spans="1:13" ht="16">
      <c r="A16" s="81" t="s">
        <v>137</v>
      </c>
      <c r="B16" s="81"/>
      <c r="C16" s="82"/>
      <c r="D16" s="82"/>
      <c r="E16" s="82"/>
      <c r="F16" s="82"/>
      <c r="G16" s="82"/>
      <c r="H16" s="82"/>
      <c r="I16" s="82"/>
      <c r="J16" s="82"/>
    </row>
    <row r="17" spans="1:13">
      <c r="A17" s="33" t="s">
        <v>39</v>
      </c>
      <c r="B17" s="23" t="s">
        <v>873</v>
      </c>
      <c r="C17" s="23" t="s">
        <v>874</v>
      </c>
      <c r="D17" s="23" t="s">
        <v>875</v>
      </c>
      <c r="E17" s="24" t="s">
        <v>1292</v>
      </c>
      <c r="F17" s="23" t="s">
        <v>455</v>
      </c>
      <c r="G17" s="32" t="s">
        <v>132</v>
      </c>
      <c r="H17" s="34" t="s">
        <v>119</v>
      </c>
      <c r="I17" s="34" t="s">
        <v>119</v>
      </c>
      <c r="J17" s="33"/>
      <c r="K17" s="42" t="str">
        <f>"305,0"</f>
        <v>305,0</v>
      </c>
      <c r="L17" s="25" t="str">
        <f>"188,1545"</f>
        <v>188,1545</v>
      </c>
      <c r="M17" s="23"/>
    </row>
    <row r="18" spans="1:13">
      <c r="A18" s="39" t="s">
        <v>219</v>
      </c>
      <c r="B18" s="29" t="s">
        <v>172</v>
      </c>
      <c r="C18" s="29" t="s">
        <v>173</v>
      </c>
      <c r="D18" s="29" t="s">
        <v>174</v>
      </c>
      <c r="E18" s="30" t="s">
        <v>1292</v>
      </c>
      <c r="F18" s="29" t="s">
        <v>175</v>
      </c>
      <c r="G18" s="38" t="s">
        <v>85</v>
      </c>
      <c r="H18" s="40" t="s">
        <v>125</v>
      </c>
      <c r="I18" s="40" t="s">
        <v>177</v>
      </c>
      <c r="J18" s="39"/>
      <c r="K18" s="43" t="str">
        <f>"210,0"</f>
        <v>210,0</v>
      </c>
      <c r="L18" s="31" t="str">
        <f>"127,9110"</f>
        <v>127,9110</v>
      </c>
      <c r="M18" s="29" t="s">
        <v>282</v>
      </c>
    </row>
    <row r="19" spans="1:13">
      <c r="A19" s="37" t="s">
        <v>39</v>
      </c>
      <c r="B19" s="26" t="s">
        <v>876</v>
      </c>
      <c r="C19" s="26" t="s">
        <v>1225</v>
      </c>
      <c r="D19" s="26" t="s">
        <v>609</v>
      </c>
      <c r="E19" s="27" t="s">
        <v>1299</v>
      </c>
      <c r="F19" s="26" t="s">
        <v>877</v>
      </c>
      <c r="G19" s="35" t="s">
        <v>98</v>
      </c>
      <c r="H19" s="36" t="s">
        <v>79</v>
      </c>
      <c r="I19" s="36" t="s">
        <v>79</v>
      </c>
      <c r="J19" s="37"/>
      <c r="K19" s="44" t="str">
        <f>"150,0"</f>
        <v>150,0</v>
      </c>
      <c r="L19" s="28" t="str">
        <f>"145,5813"</f>
        <v>145,5813</v>
      </c>
      <c r="M19" s="26"/>
    </row>
    <row r="21" spans="1:13" ht="16">
      <c r="A21" s="81" t="s">
        <v>190</v>
      </c>
      <c r="B21" s="81"/>
      <c r="C21" s="82"/>
      <c r="D21" s="82"/>
      <c r="E21" s="82"/>
      <c r="F21" s="82"/>
      <c r="G21" s="82"/>
      <c r="H21" s="82"/>
      <c r="I21" s="82"/>
      <c r="J21" s="82"/>
    </row>
    <row r="22" spans="1:13">
      <c r="A22" s="33" t="s">
        <v>39</v>
      </c>
      <c r="B22" s="23" t="s">
        <v>191</v>
      </c>
      <c r="C22" s="23" t="s">
        <v>192</v>
      </c>
      <c r="D22" s="23" t="s">
        <v>193</v>
      </c>
      <c r="E22" s="24" t="s">
        <v>1292</v>
      </c>
      <c r="F22" s="23" t="s">
        <v>71</v>
      </c>
      <c r="G22" s="32" t="s">
        <v>28</v>
      </c>
      <c r="H22" s="32" t="s">
        <v>196</v>
      </c>
      <c r="I22" s="34" t="s">
        <v>120</v>
      </c>
      <c r="J22" s="33"/>
      <c r="K22" s="42" t="str">
        <f>"322,5"</f>
        <v>322,5</v>
      </c>
      <c r="L22" s="25" t="str">
        <f>"190,3395"</f>
        <v>190,3395</v>
      </c>
      <c r="M22" s="23"/>
    </row>
    <row r="23" spans="1:13">
      <c r="A23" s="39" t="s">
        <v>219</v>
      </c>
      <c r="B23" s="29" t="s">
        <v>878</v>
      </c>
      <c r="C23" s="29" t="s">
        <v>879</v>
      </c>
      <c r="D23" s="29" t="s">
        <v>880</v>
      </c>
      <c r="E23" s="30" t="s">
        <v>1292</v>
      </c>
      <c r="F23" s="29" t="s">
        <v>97</v>
      </c>
      <c r="G23" s="38" t="s">
        <v>103</v>
      </c>
      <c r="H23" s="40" t="s">
        <v>153</v>
      </c>
      <c r="I23" s="38" t="s">
        <v>153</v>
      </c>
      <c r="J23" s="39"/>
      <c r="K23" s="43" t="str">
        <f>"280,0"</f>
        <v>280,0</v>
      </c>
      <c r="L23" s="31" t="str">
        <f>"164,7800"</f>
        <v>164,7800</v>
      </c>
      <c r="M23" s="29" t="s">
        <v>881</v>
      </c>
    </row>
    <row r="24" spans="1:13">
      <c r="A24" s="37" t="s">
        <v>39</v>
      </c>
      <c r="B24" s="26" t="s">
        <v>646</v>
      </c>
      <c r="C24" s="26" t="s">
        <v>1170</v>
      </c>
      <c r="D24" s="26" t="s">
        <v>647</v>
      </c>
      <c r="E24" s="27" t="s">
        <v>1295</v>
      </c>
      <c r="F24" s="26" t="s">
        <v>648</v>
      </c>
      <c r="G24" s="36" t="s">
        <v>90</v>
      </c>
      <c r="H24" s="35" t="s">
        <v>15</v>
      </c>
      <c r="I24" s="36" t="s">
        <v>131</v>
      </c>
      <c r="J24" s="37"/>
      <c r="K24" s="44" t="str">
        <f>"235,0"</f>
        <v>235,0</v>
      </c>
      <c r="L24" s="28" t="str">
        <f>"140,9020"</f>
        <v>140,9020</v>
      </c>
      <c r="M24" s="26" t="s">
        <v>649</v>
      </c>
    </row>
    <row r="26" spans="1:13" ht="16">
      <c r="A26" s="81" t="s">
        <v>22</v>
      </c>
      <c r="B26" s="81"/>
      <c r="C26" s="82"/>
      <c r="D26" s="82"/>
      <c r="E26" s="82"/>
      <c r="F26" s="82"/>
      <c r="G26" s="82"/>
      <c r="H26" s="82"/>
      <c r="I26" s="82"/>
      <c r="J26" s="82"/>
    </row>
    <row r="27" spans="1:13">
      <c r="A27" s="33" t="s">
        <v>39</v>
      </c>
      <c r="B27" s="23" t="s">
        <v>882</v>
      </c>
      <c r="C27" s="23" t="s">
        <v>883</v>
      </c>
      <c r="D27" s="23" t="s">
        <v>25</v>
      </c>
      <c r="E27" s="24" t="s">
        <v>1292</v>
      </c>
      <c r="F27" s="23" t="s">
        <v>71</v>
      </c>
      <c r="G27" s="32" t="s">
        <v>153</v>
      </c>
      <c r="H27" s="32" t="s">
        <v>194</v>
      </c>
      <c r="I27" s="32" t="s">
        <v>132</v>
      </c>
      <c r="J27" s="33"/>
      <c r="K27" s="42" t="str">
        <f>"305,0"</f>
        <v>305,0</v>
      </c>
      <c r="L27" s="25" t="str">
        <f>"174,1245"</f>
        <v>174,1245</v>
      </c>
      <c r="M27" s="23"/>
    </row>
    <row r="28" spans="1:13">
      <c r="A28" s="39" t="s">
        <v>219</v>
      </c>
      <c r="B28" s="29" t="s">
        <v>884</v>
      </c>
      <c r="C28" s="29" t="s">
        <v>885</v>
      </c>
      <c r="D28" s="29" t="s">
        <v>886</v>
      </c>
      <c r="E28" s="30" t="s">
        <v>1292</v>
      </c>
      <c r="F28" s="29" t="s">
        <v>117</v>
      </c>
      <c r="G28" s="38" t="s">
        <v>153</v>
      </c>
      <c r="H28" s="40" t="s">
        <v>209</v>
      </c>
      <c r="I28" s="38" t="s">
        <v>209</v>
      </c>
      <c r="J28" s="39"/>
      <c r="K28" s="43" t="str">
        <f>"300,0"</f>
        <v>300,0</v>
      </c>
      <c r="L28" s="31" t="str">
        <f>"173,5800"</f>
        <v>173,5800</v>
      </c>
      <c r="M28" s="29"/>
    </row>
    <row r="29" spans="1:13">
      <c r="A29" s="39" t="s">
        <v>220</v>
      </c>
      <c r="B29" s="29" t="s">
        <v>887</v>
      </c>
      <c r="C29" s="29" t="s">
        <v>888</v>
      </c>
      <c r="D29" s="29" t="s">
        <v>889</v>
      </c>
      <c r="E29" s="30" t="s">
        <v>1292</v>
      </c>
      <c r="F29" s="29" t="s">
        <v>71</v>
      </c>
      <c r="G29" s="38" t="s">
        <v>496</v>
      </c>
      <c r="H29" s="40" t="s">
        <v>489</v>
      </c>
      <c r="I29" s="40" t="s">
        <v>489</v>
      </c>
      <c r="J29" s="39"/>
      <c r="K29" s="43" t="str">
        <f>"285,0"</f>
        <v>285,0</v>
      </c>
      <c r="L29" s="31" t="str">
        <f>"164,3880"</f>
        <v>164,3880</v>
      </c>
      <c r="M29" s="29" t="s">
        <v>890</v>
      </c>
    </row>
    <row r="30" spans="1:13">
      <c r="A30" s="37" t="s">
        <v>39</v>
      </c>
      <c r="B30" s="26" t="s">
        <v>884</v>
      </c>
      <c r="C30" s="26" t="s">
        <v>1226</v>
      </c>
      <c r="D30" s="26" t="s">
        <v>886</v>
      </c>
      <c r="E30" s="27" t="s">
        <v>1295</v>
      </c>
      <c r="F30" s="26" t="s">
        <v>117</v>
      </c>
      <c r="G30" s="35" t="s">
        <v>153</v>
      </c>
      <c r="H30" s="36" t="s">
        <v>209</v>
      </c>
      <c r="I30" s="35" t="s">
        <v>209</v>
      </c>
      <c r="J30" s="37"/>
      <c r="K30" s="44" t="str">
        <f>"300,0"</f>
        <v>300,0</v>
      </c>
      <c r="L30" s="28" t="str">
        <f>"178,4402"</f>
        <v>178,4402</v>
      </c>
      <c r="M30" s="26"/>
    </row>
    <row r="32" spans="1:13">
      <c r="G32" s="5"/>
      <c r="M32" s="6"/>
    </row>
    <row r="33" spans="2:13">
      <c r="G33" s="5"/>
      <c r="M33" s="6"/>
    </row>
    <row r="34" spans="2:13" ht="18">
      <c r="B34" s="11" t="s">
        <v>30</v>
      </c>
      <c r="C34" s="11"/>
      <c r="E34" s="5"/>
      <c r="F34" s="3"/>
      <c r="G34" s="5"/>
      <c r="M34" s="6"/>
    </row>
    <row r="35" spans="2:13" ht="16">
      <c r="B35" s="12" t="s">
        <v>31</v>
      </c>
      <c r="C35" s="12"/>
      <c r="E35" s="5"/>
      <c r="F35" s="3"/>
      <c r="G35" s="3"/>
      <c r="M35" s="6"/>
    </row>
    <row r="36" spans="2:13" ht="14">
      <c r="B36" s="13"/>
      <c r="C36" s="14" t="s">
        <v>32</v>
      </c>
      <c r="E36" s="5"/>
      <c r="F36" s="3"/>
      <c r="G36" s="3"/>
      <c r="M36" s="6"/>
    </row>
    <row r="37" spans="2:13" ht="14">
      <c r="B37" s="15" t="s">
        <v>33</v>
      </c>
      <c r="C37" s="15" t="s">
        <v>34</v>
      </c>
      <c r="D37" s="15" t="s">
        <v>1139</v>
      </c>
      <c r="E37" s="15" t="s">
        <v>37</v>
      </c>
      <c r="F37" s="16" t="s">
        <v>665</v>
      </c>
      <c r="G37" s="3"/>
      <c r="M37" s="6"/>
    </row>
    <row r="38" spans="2:13">
      <c r="B38" s="5" t="s">
        <v>191</v>
      </c>
      <c r="C38" s="5" t="s">
        <v>32</v>
      </c>
      <c r="D38" s="18" t="s">
        <v>482</v>
      </c>
      <c r="E38" s="17">
        <v>190.33950224518799</v>
      </c>
      <c r="F38" s="19">
        <v>322.5</v>
      </c>
      <c r="G38" s="3"/>
      <c r="M38" s="6"/>
    </row>
    <row r="39" spans="2:13">
      <c r="B39" s="5" t="s">
        <v>873</v>
      </c>
      <c r="C39" s="5" t="s">
        <v>32</v>
      </c>
      <c r="D39" s="18" t="s">
        <v>217</v>
      </c>
      <c r="E39" s="17">
        <v>188.15450817346601</v>
      </c>
      <c r="F39" s="19">
        <v>305</v>
      </c>
    </row>
    <row r="40" spans="2:13">
      <c r="B40" s="5" t="s">
        <v>882</v>
      </c>
      <c r="C40" s="5" t="s">
        <v>32</v>
      </c>
      <c r="D40" s="18" t="s">
        <v>816</v>
      </c>
      <c r="E40" s="17">
        <v>174.12450700998301</v>
      </c>
      <c r="F40" s="19">
        <v>305</v>
      </c>
    </row>
  </sheetData>
  <mergeCells count="17">
    <mergeCell ref="A26:J26"/>
    <mergeCell ref="A5:J5"/>
    <mergeCell ref="A10:J10"/>
    <mergeCell ref="A13:J13"/>
    <mergeCell ref="A16:J16"/>
    <mergeCell ref="A21:J21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9F3B-756C-4AA4-BC38-58FA471442D7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0.1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11.33203125" style="6" customWidth="1"/>
    <col min="13" max="13" width="19.5" style="5" customWidth="1"/>
    <col min="14" max="16384" width="9.1640625" style="3"/>
  </cols>
  <sheetData>
    <row r="1" spans="1:13" s="2" customFormat="1" ht="29" customHeight="1">
      <c r="A1" s="68" t="s">
        <v>1271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9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190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967</v>
      </c>
      <c r="C6" s="7" t="s">
        <v>1227</v>
      </c>
      <c r="D6" s="7" t="s">
        <v>968</v>
      </c>
      <c r="E6" s="8" t="s">
        <v>1294</v>
      </c>
      <c r="F6" s="7" t="s">
        <v>228</v>
      </c>
      <c r="G6" s="20" t="s">
        <v>112</v>
      </c>
      <c r="H6" s="20" t="s">
        <v>20</v>
      </c>
      <c r="I6" s="20" t="s">
        <v>503</v>
      </c>
      <c r="J6" s="22"/>
      <c r="K6" s="9" t="str">
        <f>"255,0"</f>
        <v>255,0</v>
      </c>
      <c r="L6" s="9" t="str">
        <f>"164,5578"</f>
        <v>164,5578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BAAA-4A3D-48AB-9C75-CA32AF3D5338}">
  <dimension ref="A1:Q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0.5" style="5" bestFit="1" customWidth="1"/>
    <col min="7" max="14" width="5.5" style="18" customWidth="1"/>
    <col min="15" max="15" width="7.83203125" style="6" bestFit="1" customWidth="1"/>
    <col min="16" max="16" width="7.5" style="6" bestFit="1" customWidth="1"/>
    <col min="17" max="17" width="19.6640625" style="5" customWidth="1"/>
    <col min="18" max="16384" width="9.1640625" style="3"/>
  </cols>
  <sheetData>
    <row r="1" spans="1:17" s="2" customFormat="1" ht="29" customHeight="1">
      <c r="A1" s="68" t="s">
        <v>1272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7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1288</v>
      </c>
      <c r="H3" s="80"/>
      <c r="I3" s="80"/>
      <c r="J3" s="80"/>
      <c r="K3" s="80" t="s">
        <v>999</v>
      </c>
      <c r="L3" s="80"/>
      <c r="M3" s="80"/>
      <c r="N3" s="80"/>
      <c r="O3" s="62" t="s">
        <v>1</v>
      </c>
      <c r="P3" s="62" t="s">
        <v>3</v>
      </c>
      <c r="Q3" s="64" t="s">
        <v>2</v>
      </c>
    </row>
    <row r="4" spans="1:17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3"/>
      <c r="P4" s="63"/>
      <c r="Q4" s="65"/>
    </row>
    <row r="5" spans="1:17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22" t="s">
        <v>39</v>
      </c>
      <c r="B6" s="7" t="s">
        <v>1037</v>
      </c>
      <c r="C6" s="7" t="s">
        <v>1038</v>
      </c>
      <c r="D6" s="7" t="s">
        <v>559</v>
      </c>
      <c r="E6" s="8" t="s">
        <v>1292</v>
      </c>
      <c r="F6" s="7" t="s">
        <v>157</v>
      </c>
      <c r="G6" s="20" t="s">
        <v>240</v>
      </c>
      <c r="H6" s="21" t="s">
        <v>60</v>
      </c>
      <c r="I6" s="21" t="s">
        <v>60</v>
      </c>
      <c r="J6" s="22"/>
      <c r="K6" s="20" t="s">
        <v>245</v>
      </c>
      <c r="L6" s="20" t="s">
        <v>50</v>
      </c>
      <c r="M6" s="21" t="s">
        <v>62</v>
      </c>
      <c r="N6" s="22"/>
      <c r="O6" s="9" t="str">
        <f>"110,0"</f>
        <v>110,0</v>
      </c>
      <c r="P6" s="9" t="str">
        <f>"71,7585"</f>
        <v>71,7585</v>
      </c>
      <c r="Q6" s="7" t="s">
        <v>381</v>
      </c>
    </row>
    <row r="8" spans="1:17" ht="16">
      <c r="A8" s="81" t="s">
        <v>137</v>
      </c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7">
      <c r="A9" s="33" t="s">
        <v>39</v>
      </c>
      <c r="B9" s="23" t="s">
        <v>785</v>
      </c>
      <c r="C9" s="23" t="s">
        <v>1039</v>
      </c>
      <c r="D9" s="23" t="s">
        <v>786</v>
      </c>
      <c r="E9" s="24" t="s">
        <v>1292</v>
      </c>
      <c r="F9" s="23" t="s">
        <v>787</v>
      </c>
      <c r="G9" s="34" t="s">
        <v>64</v>
      </c>
      <c r="H9" s="32" t="s">
        <v>64</v>
      </c>
      <c r="I9" s="32" t="s">
        <v>48</v>
      </c>
      <c r="J9" s="33"/>
      <c r="K9" s="32" t="s">
        <v>229</v>
      </c>
      <c r="L9" s="34" t="s">
        <v>240</v>
      </c>
      <c r="M9" s="32" t="s">
        <v>240</v>
      </c>
      <c r="N9" s="33"/>
      <c r="O9" s="25" t="str">
        <f>"155,0"</f>
        <v>155,0</v>
      </c>
      <c r="P9" s="25" t="str">
        <f>"91,8918"</f>
        <v>91,8918</v>
      </c>
      <c r="Q9" s="23"/>
    </row>
    <row r="10" spans="1:17">
      <c r="A10" s="37" t="s">
        <v>39</v>
      </c>
      <c r="B10" s="26" t="s">
        <v>785</v>
      </c>
      <c r="C10" s="26" t="s">
        <v>1228</v>
      </c>
      <c r="D10" s="26" t="s">
        <v>786</v>
      </c>
      <c r="E10" s="27" t="s">
        <v>1295</v>
      </c>
      <c r="F10" s="26" t="s">
        <v>787</v>
      </c>
      <c r="G10" s="36" t="s">
        <v>64</v>
      </c>
      <c r="H10" s="35" t="s">
        <v>64</v>
      </c>
      <c r="I10" s="35" t="s">
        <v>48</v>
      </c>
      <c r="J10" s="37"/>
      <c r="K10" s="35" t="s">
        <v>229</v>
      </c>
      <c r="L10" s="36" t="s">
        <v>240</v>
      </c>
      <c r="M10" s="35" t="s">
        <v>240</v>
      </c>
      <c r="N10" s="37"/>
      <c r="O10" s="28" t="str">
        <f>"155,0"</f>
        <v>155,0</v>
      </c>
      <c r="P10" s="28" t="str">
        <f>"98,1404"</f>
        <v>98,1404</v>
      </c>
      <c r="Q10" s="26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85A7-2F9F-4A09-919D-F4A75EA9EE7F}">
  <dimension ref="A1:Q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17.33203125" style="5" bestFit="1" customWidth="1"/>
    <col min="7" max="14" width="5.5" style="18" customWidth="1"/>
    <col min="15" max="15" width="7.83203125" style="6" bestFit="1" customWidth="1"/>
    <col min="16" max="16" width="8.5" style="6" bestFit="1" customWidth="1"/>
    <col min="17" max="17" width="18.33203125" style="5" customWidth="1"/>
    <col min="18" max="16384" width="9.1640625" style="3"/>
  </cols>
  <sheetData>
    <row r="1" spans="1:17" s="2" customFormat="1" ht="29" customHeight="1">
      <c r="A1" s="68" t="s">
        <v>1273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7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1288</v>
      </c>
      <c r="H3" s="80"/>
      <c r="I3" s="80"/>
      <c r="J3" s="80"/>
      <c r="K3" s="80" t="s">
        <v>999</v>
      </c>
      <c r="L3" s="80"/>
      <c r="M3" s="80"/>
      <c r="N3" s="80"/>
      <c r="O3" s="62" t="s">
        <v>1</v>
      </c>
      <c r="P3" s="62" t="s">
        <v>3</v>
      </c>
      <c r="Q3" s="64" t="s">
        <v>2</v>
      </c>
    </row>
    <row r="4" spans="1:17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3"/>
      <c r="P4" s="63"/>
      <c r="Q4" s="65"/>
    </row>
    <row r="5" spans="1:17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33" t="s">
        <v>39</v>
      </c>
      <c r="B6" s="23" t="s">
        <v>1012</v>
      </c>
      <c r="C6" s="23" t="s">
        <v>1013</v>
      </c>
      <c r="D6" s="23" t="s">
        <v>96</v>
      </c>
      <c r="E6" s="24" t="s">
        <v>1294</v>
      </c>
      <c r="F6" s="23" t="s">
        <v>71</v>
      </c>
      <c r="G6" s="32" t="s">
        <v>234</v>
      </c>
      <c r="H6" s="32" t="s">
        <v>73</v>
      </c>
      <c r="I6" s="32" t="s">
        <v>64</v>
      </c>
      <c r="J6" s="33"/>
      <c r="K6" s="32" t="s">
        <v>229</v>
      </c>
      <c r="L6" s="32" t="s">
        <v>240</v>
      </c>
      <c r="M6" s="32" t="s">
        <v>1014</v>
      </c>
      <c r="N6" s="32" t="s">
        <v>60</v>
      </c>
      <c r="O6" s="25" t="str">
        <f>"155,5"</f>
        <v>155,5</v>
      </c>
      <c r="P6" s="25" t="str">
        <f>"100,8728"</f>
        <v>100,8728</v>
      </c>
      <c r="Q6" s="23"/>
    </row>
    <row r="7" spans="1:17">
      <c r="A7" s="37" t="s">
        <v>39</v>
      </c>
      <c r="B7" s="26" t="s">
        <v>1012</v>
      </c>
      <c r="C7" s="26" t="s">
        <v>1229</v>
      </c>
      <c r="D7" s="26" t="s">
        <v>96</v>
      </c>
      <c r="E7" s="27" t="s">
        <v>1294</v>
      </c>
      <c r="F7" s="26" t="s">
        <v>71</v>
      </c>
      <c r="G7" s="35" t="s">
        <v>234</v>
      </c>
      <c r="H7" s="35" t="s">
        <v>73</v>
      </c>
      <c r="I7" s="35" t="s">
        <v>64</v>
      </c>
      <c r="J7" s="37"/>
      <c r="K7" s="35" t="s">
        <v>229</v>
      </c>
      <c r="L7" s="35" t="s">
        <v>240</v>
      </c>
      <c r="M7" s="35" t="s">
        <v>1014</v>
      </c>
      <c r="N7" s="35" t="s">
        <v>60</v>
      </c>
      <c r="O7" s="28" t="str">
        <f>"155,5"</f>
        <v>155,5</v>
      </c>
      <c r="P7" s="28" t="str">
        <f>"113,9863"</f>
        <v>113,9863</v>
      </c>
      <c r="Q7" s="26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84F0-F09A-4C20-B4BA-8900069A2EA6}"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2.6640625" style="5" customWidth="1"/>
    <col min="7" max="9" width="5.5" style="18" customWidth="1"/>
    <col min="10" max="10" width="4.83203125" style="18" customWidth="1"/>
    <col min="11" max="11" width="10.5" style="6" bestFit="1" customWidth="1"/>
    <col min="12" max="12" width="7.6640625" style="6" bestFit="1" customWidth="1"/>
    <col min="13" max="13" width="16.83203125" style="5" customWidth="1"/>
    <col min="14" max="16384" width="9.1640625" style="3"/>
  </cols>
  <sheetData>
    <row r="1" spans="1:13" s="2" customFormat="1" ht="29" customHeight="1">
      <c r="A1" s="68" t="s">
        <v>1274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1288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3" t="s">
        <v>39</v>
      </c>
      <c r="B6" s="23" t="s">
        <v>1012</v>
      </c>
      <c r="C6" s="23" t="s">
        <v>1013</v>
      </c>
      <c r="D6" s="23" t="s">
        <v>96</v>
      </c>
      <c r="E6" s="24" t="s">
        <v>1292</v>
      </c>
      <c r="F6" s="23" t="s">
        <v>71</v>
      </c>
      <c r="G6" s="32" t="s">
        <v>234</v>
      </c>
      <c r="H6" s="32" t="s">
        <v>73</v>
      </c>
      <c r="I6" s="32" t="s">
        <v>64</v>
      </c>
      <c r="J6" s="33"/>
      <c r="K6" s="25" t="str">
        <f>"87,5"</f>
        <v>87,5</v>
      </c>
      <c r="L6" s="25" t="str">
        <f>"56,7612"</f>
        <v>56,7612</v>
      </c>
      <c r="M6" s="23"/>
    </row>
    <row r="7" spans="1:13">
      <c r="A7" s="37" t="s">
        <v>39</v>
      </c>
      <c r="B7" s="26" t="s">
        <v>1012</v>
      </c>
      <c r="C7" s="26" t="s">
        <v>1229</v>
      </c>
      <c r="D7" s="26" t="s">
        <v>96</v>
      </c>
      <c r="E7" s="27" t="s">
        <v>1294</v>
      </c>
      <c r="F7" s="26" t="s">
        <v>71</v>
      </c>
      <c r="G7" s="35" t="s">
        <v>234</v>
      </c>
      <c r="H7" s="35" t="s">
        <v>73</v>
      </c>
      <c r="I7" s="35" t="s">
        <v>64</v>
      </c>
      <c r="J7" s="37"/>
      <c r="K7" s="28" t="str">
        <f>"87,5"</f>
        <v>87,5</v>
      </c>
      <c r="L7" s="28" t="str">
        <f>"64,1402"</f>
        <v>64,1402</v>
      </c>
      <c r="M7" s="2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488F-847B-4A47-A6D0-E17862EE601F}">
  <dimension ref="A1:M33"/>
  <sheetViews>
    <sheetView workbookViewId="0">
      <selection activeCell="E34" sqref="E34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9.83203125" style="6" customWidth="1"/>
    <col min="13" max="13" width="23.1640625" style="5" customWidth="1"/>
    <col min="14" max="16384" width="9.1640625" style="3"/>
  </cols>
  <sheetData>
    <row r="1" spans="1:13" s="2" customFormat="1" ht="29" customHeight="1">
      <c r="A1" s="68" t="s">
        <v>1275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1288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236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1018</v>
      </c>
      <c r="C6" s="7" t="s">
        <v>1019</v>
      </c>
      <c r="D6" s="7" t="s">
        <v>1020</v>
      </c>
      <c r="E6" s="8" t="s">
        <v>1292</v>
      </c>
      <c r="F6" s="7" t="s">
        <v>1011</v>
      </c>
      <c r="G6" s="20" t="s">
        <v>1021</v>
      </c>
      <c r="H6" s="20" t="s">
        <v>231</v>
      </c>
      <c r="I6" s="21" t="s">
        <v>232</v>
      </c>
      <c r="J6" s="22"/>
      <c r="K6" s="9" t="str">
        <f>"25,0"</f>
        <v>25,0</v>
      </c>
      <c r="L6" s="9" t="str">
        <f>"29,7600"</f>
        <v>29,7600</v>
      </c>
      <c r="M6" s="7" t="s">
        <v>1286</v>
      </c>
    </row>
    <row r="8" spans="1:13" ht="16">
      <c r="A8" s="81" t="s">
        <v>262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22" t="s">
        <v>39</v>
      </c>
      <c r="B9" s="7" t="s">
        <v>1022</v>
      </c>
      <c r="C9" s="7" t="s">
        <v>1230</v>
      </c>
      <c r="D9" s="7" t="s">
        <v>681</v>
      </c>
      <c r="E9" s="8" t="s">
        <v>1295</v>
      </c>
      <c r="F9" s="7" t="s">
        <v>1001</v>
      </c>
      <c r="G9" s="20" t="s">
        <v>720</v>
      </c>
      <c r="H9" s="20" t="s">
        <v>1005</v>
      </c>
      <c r="I9" s="21" t="s">
        <v>1010</v>
      </c>
      <c r="J9" s="22"/>
      <c r="K9" s="9" t="str">
        <f>"35,0"</f>
        <v>35,0</v>
      </c>
      <c r="L9" s="9" t="str">
        <f>"38,3302"</f>
        <v>38,3302</v>
      </c>
      <c r="M9" s="7"/>
    </row>
    <row r="11" spans="1:13" ht="16">
      <c r="A11" s="81" t="s">
        <v>41</v>
      </c>
      <c r="B11" s="81"/>
      <c r="C11" s="82"/>
      <c r="D11" s="82"/>
      <c r="E11" s="82"/>
      <c r="F11" s="82"/>
      <c r="G11" s="82"/>
      <c r="H11" s="82"/>
      <c r="I11" s="82"/>
      <c r="J11" s="82"/>
    </row>
    <row r="12" spans="1:13">
      <c r="A12" s="33" t="s">
        <v>39</v>
      </c>
      <c r="B12" s="23" t="s">
        <v>1009</v>
      </c>
      <c r="C12" s="23" t="s">
        <v>1231</v>
      </c>
      <c r="D12" s="23" t="s">
        <v>58</v>
      </c>
      <c r="E12" s="24" t="s">
        <v>1291</v>
      </c>
      <c r="F12" s="23" t="s">
        <v>117</v>
      </c>
      <c r="G12" s="32" t="s">
        <v>245</v>
      </c>
      <c r="H12" s="32" t="s">
        <v>49</v>
      </c>
      <c r="I12" s="34" t="s">
        <v>50</v>
      </c>
      <c r="J12" s="33"/>
      <c r="K12" s="25" t="str">
        <f>"42,5"</f>
        <v>42,5</v>
      </c>
      <c r="L12" s="25" t="str">
        <f>"39,8671"</f>
        <v>39,8671</v>
      </c>
      <c r="M12" s="23"/>
    </row>
    <row r="13" spans="1:13">
      <c r="A13" s="37" t="s">
        <v>39</v>
      </c>
      <c r="B13" s="26" t="s">
        <v>1009</v>
      </c>
      <c r="C13" s="26" t="s">
        <v>1023</v>
      </c>
      <c r="D13" s="26" t="s">
        <v>58</v>
      </c>
      <c r="E13" s="27" t="s">
        <v>1292</v>
      </c>
      <c r="F13" s="26" t="s">
        <v>117</v>
      </c>
      <c r="G13" s="35" t="s">
        <v>245</v>
      </c>
      <c r="H13" s="35" t="s">
        <v>49</v>
      </c>
      <c r="I13" s="36" t="s">
        <v>50</v>
      </c>
      <c r="J13" s="37"/>
      <c r="K13" s="28" t="str">
        <f>"42,5"</f>
        <v>42,5</v>
      </c>
      <c r="L13" s="28" t="str">
        <f>"39,8671"</f>
        <v>39,8671</v>
      </c>
      <c r="M13" s="26"/>
    </row>
    <row r="15" spans="1:13" ht="16">
      <c r="A15" s="81" t="s">
        <v>67</v>
      </c>
      <c r="B15" s="81"/>
      <c r="C15" s="82"/>
      <c r="D15" s="82"/>
      <c r="E15" s="82"/>
      <c r="F15" s="82"/>
      <c r="G15" s="82"/>
      <c r="H15" s="82"/>
      <c r="I15" s="82"/>
      <c r="J15" s="82"/>
    </row>
    <row r="16" spans="1:13">
      <c r="A16" s="33" t="s">
        <v>39</v>
      </c>
      <c r="B16" s="23" t="s">
        <v>704</v>
      </c>
      <c r="C16" s="23" t="s">
        <v>705</v>
      </c>
      <c r="D16" s="23" t="s">
        <v>706</v>
      </c>
      <c r="E16" s="24" t="s">
        <v>1292</v>
      </c>
      <c r="F16" s="23" t="s">
        <v>71</v>
      </c>
      <c r="G16" s="32" t="s">
        <v>245</v>
      </c>
      <c r="H16" s="34" t="s">
        <v>51</v>
      </c>
      <c r="I16" s="32" t="s">
        <v>51</v>
      </c>
      <c r="J16" s="33"/>
      <c r="K16" s="25" t="str">
        <f>"47,5"</f>
        <v>47,5</v>
      </c>
      <c r="L16" s="25" t="str">
        <f>"41,4271"</f>
        <v>41,4271</v>
      </c>
      <c r="M16" s="23" t="s">
        <v>707</v>
      </c>
    </row>
    <row r="17" spans="1:13">
      <c r="A17" s="37" t="s">
        <v>39</v>
      </c>
      <c r="B17" s="26" t="s">
        <v>704</v>
      </c>
      <c r="C17" s="26" t="s">
        <v>1208</v>
      </c>
      <c r="D17" s="26" t="s">
        <v>706</v>
      </c>
      <c r="E17" s="27" t="s">
        <v>1294</v>
      </c>
      <c r="F17" s="26" t="s">
        <v>71</v>
      </c>
      <c r="G17" s="35" t="s">
        <v>245</v>
      </c>
      <c r="H17" s="36" t="s">
        <v>51</v>
      </c>
      <c r="I17" s="35" t="s">
        <v>51</v>
      </c>
      <c r="J17" s="37"/>
      <c r="K17" s="28" t="str">
        <f>"47,5"</f>
        <v>47,5</v>
      </c>
      <c r="L17" s="28" t="str">
        <f>"51,6182"</f>
        <v>51,6182</v>
      </c>
      <c r="M17" s="26" t="s">
        <v>707</v>
      </c>
    </row>
    <row r="19" spans="1:13" ht="16">
      <c r="A19" s="81" t="s">
        <v>67</v>
      </c>
      <c r="B19" s="81"/>
      <c r="C19" s="82"/>
      <c r="D19" s="82"/>
      <c r="E19" s="82"/>
      <c r="F19" s="82"/>
      <c r="G19" s="82"/>
      <c r="H19" s="82"/>
      <c r="I19" s="82"/>
      <c r="J19" s="82"/>
    </row>
    <row r="20" spans="1:13">
      <c r="A20" s="22" t="s">
        <v>39</v>
      </c>
      <c r="B20" s="7" t="s">
        <v>1024</v>
      </c>
      <c r="C20" s="7" t="s">
        <v>1025</v>
      </c>
      <c r="D20" s="7" t="s">
        <v>868</v>
      </c>
      <c r="E20" s="8" t="s">
        <v>1292</v>
      </c>
      <c r="F20" s="7" t="s">
        <v>268</v>
      </c>
      <c r="G20" s="21" t="s">
        <v>63</v>
      </c>
      <c r="H20" s="21" t="s">
        <v>63</v>
      </c>
      <c r="I20" s="20" t="s">
        <v>63</v>
      </c>
      <c r="J20" s="22"/>
      <c r="K20" s="9" t="str">
        <f>"55,0"</f>
        <v>55,0</v>
      </c>
      <c r="L20" s="9" t="str">
        <f>"38,1343"</f>
        <v>38,1343</v>
      </c>
      <c r="M20" s="7" t="s">
        <v>434</v>
      </c>
    </row>
    <row r="22" spans="1:13" ht="16">
      <c r="A22" s="81" t="s">
        <v>10</v>
      </c>
      <c r="B22" s="81"/>
      <c r="C22" s="82"/>
      <c r="D22" s="82"/>
      <c r="E22" s="82"/>
      <c r="F22" s="82"/>
      <c r="G22" s="82"/>
      <c r="H22" s="82"/>
      <c r="I22" s="82"/>
      <c r="J22" s="82"/>
    </row>
    <row r="23" spans="1:13">
      <c r="A23" s="33" t="s">
        <v>39</v>
      </c>
      <c r="B23" s="23" t="s">
        <v>1026</v>
      </c>
      <c r="C23" s="23" t="s">
        <v>1232</v>
      </c>
      <c r="D23" s="23" t="s">
        <v>1027</v>
      </c>
      <c r="E23" s="24" t="s">
        <v>1293</v>
      </c>
      <c r="F23" s="23" t="s">
        <v>1028</v>
      </c>
      <c r="G23" s="34" t="s">
        <v>245</v>
      </c>
      <c r="H23" s="32" t="s">
        <v>51</v>
      </c>
      <c r="I23" s="32" t="s">
        <v>63</v>
      </c>
      <c r="J23" s="33"/>
      <c r="K23" s="25" t="str">
        <f>"55,0"</f>
        <v>55,0</v>
      </c>
      <c r="L23" s="25" t="str">
        <f>"37,4302"</f>
        <v>37,4302</v>
      </c>
      <c r="M23" s="23"/>
    </row>
    <row r="24" spans="1:13">
      <c r="A24" s="37" t="s">
        <v>39</v>
      </c>
      <c r="B24" s="26" t="s">
        <v>1029</v>
      </c>
      <c r="C24" s="26" t="s">
        <v>1030</v>
      </c>
      <c r="D24" s="26" t="s">
        <v>1031</v>
      </c>
      <c r="E24" s="27" t="s">
        <v>1292</v>
      </c>
      <c r="F24" s="26" t="s">
        <v>358</v>
      </c>
      <c r="G24" s="35" t="s">
        <v>229</v>
      </c>
      <c r="H24" s="36" t="s">
        <v>240</v>
      </c>
      <c r="I24" s="35" t="s">
        <v>240</v>
      </c>
      <c r="J24" s="37"/>
      <c r="K24" s="28" t="str">
        <f>"65,0"</f>
        <v>65,0</v>
      </c>
      <c r="L24" s="28" t="str">
        <f>"43,5468"</f>
        <v>43,5468</v>
      </c>
      <c r="M24" s="26"/>
    </row>
    <row r="26" spans="1:13" ht="16">
      <c r="A26" s="81" t="s">
        <v>113</v>
      </c>
      <c r="B26" s="81"/>
      <c r="C26" s="82"/>
      <c r="D26" s="82"/>
      <c r="E26" s="82"/>
      <c r="F26" s="82"/>
      <c r="G26" s="82"/>
      <c r="H26" s="82"/>
      <c r="I26" s="82"/>
      <c r="J26" s="82"/>
    </row>
    <row r="27" spans="1:13">
      <c r="A27" s="22" t="s">
        <v>39</v>
      </c>
      <c r="B27" s="7" t="s">
        <v>427</v>
      </c>
      <c r="C27" s="7" t="s">
        <v>428</v>
      </c>
      <c r="D27" s="7" t="s">
        <v>429</v>
      </c>
      <c r="E27" s="8" t="s">
        <v>1292</v>
      </c>
      <c r="F27" s="7" t="s">
        <v>332</v>
      </c>
      <c r="G27" s="20" t="s">
        <v>63</v>
      </c>
      <c r="H27" s="20" t="s">
        <v>229</v>
      </c>
      <c r="I27" s="20" t="s">
        <v>240</v>
      </c>
      <c r="J27" s="22"/>
      <c r="K27" s="9" t="str">
        <f>"65,0"</f>
        <v>65,0</v>
      </c>
      <c r="L27" s="9" t="str">
        <f>"41,2100"</f>
        <v>41,2100</v>
      </c>
      <c r="M27" s="7"/>
    </row>
    <row r="29" spans="1:13" ht="16">
      <c r="A29" s="81" t="s">
        <v>137</v>
      </c>
      <c r="B29" s="81"/>
      <c r="C29" s="82"/>
      <c r="D29" s="82"/>
      <c r="E29" s="82"/>
      <c r="F29" s="82"/>
      <c r="G29" s="82"/>
      <c r="H29" s="82"/>
      <c r="I29" s="82"/>
      <c r="J29" s="82"/>
    </row>
    <row r="30" spans="1:13">
      <c r="A30" s="22" t="s">
        <v>39</v>
      </c>
      <c r="B30" s="7" t="s">
        <v>1032</v>
      </c>
      <c r="C30" s="7" t="s">
        <v>1233</v>
      </c>
      <c r="D30" s="7" t="s">
        <v>954</v>
      </c>
      <c r="E30" s="8" t="s">
        <v>1294</v>
      </c>
      <c r="F30" s="7" t="s">
        <v>398</v>
      </c>
      <c r="G30" s="20" t="s">
        <v>229</v>
      </c>
      <c r="H30" s="20" t="s">
        <v>1033</v>
      </c>
      <c r="I30" s="21" t="s">
        <v>230</v>
      </c>
      <c r="J30" s="22"/>
      <c r="K30" s="9" t="str">
        <f>"66,0"</f>
        <v>66,0</v>
      </c>
      <c r="L30" s="9" t="str">
        <f>"50,4890"</f>
        <v>50,4890</v>
      </c>
      <c r="M30" s="7"/>
    </row>
    <row r="32" spans="1:13" ht="16">
      <c r="A32" s="81" t="s">
        <v>190</v>
      </c>
      <c r="B32" s="81"/>
      <c r="C32" s="82"/>
      <c r="D32" s="82"/>
      <c r="E32" s="82"/>
      <c r="F32" s="82"/>
      <c r="G32" s="82"/>
      <c r="H32" s="82"/>
      <c r="I32" s="82"/>
      <c r="J32" s="82"/>
    </row>
    <row r="33" spans="1:13">
      <c r="A33" s="22" t="s">
        <v>39</v>
      </c>
      <c r="B33" s="7" t="s">
        <v>1034</v>
      </c>
      <c r="C33" s="7" t="s">
        <v>1234</v>
      </c>
      <c r="D33" s="7" t="s">
        <v>1035</v>
      </c>
      <c r="E33" s="8" t="s">
        <v>1295</v>
      </c>
      <c r="F33" s="7" t="s">
        <v>606</v>
      </c>
      <c r="G33" s="20" t="s">
        <v>240</v>
      </c>
      <c r="H33" s="21" t="s">
        <v>1036</v>
      </c>
      <c r="I33" s="21" t="s">
        <v>1036</v>
      </c>
      <c r="J33" s="22"/>
      <c r="K33" s="9" t="str">
        <f>"65,0"</f>
        <v>65,0</v>
      </c>
      <c r="L33" s="9" t="str">
        <f>"40,3800"</f>
        <v>40,3800</v>
      </c>
      <c r="M33" s="7" t="s">
        <v>1008</v>
      </c>
    </row>
  </sheetData>
  <mergeCells count="20">
    <mergeCell ref="A29:J29"/>
    <mergeCell ref="A32:J32"/>
    <mergeCell ref="B3:B4"/>
    <mergeCell ref="A8:J8"/>
    <mergeCell ref="A11:J11"/>
    <mergeCell ref="A15:J15"/>
    <mergeCell ref="A19:J19"/>
    <mergeCell ref="A22:J22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40C87-0A13-4203-96B5-01DE548931D8}">
  <dimension ref="A1:U27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8.5" style="5" bestFit="1" customWidth="1"/>
    <col min="7" max="13" width="5.5" style="18" customWidth="1"/>
    <col min="14" max="14" width="4.83203125" style="18" customWidth="1"/>
    <col min="15" max="18" width="5.5" style="18" customWidth="1"/>
    <col min="19" max="19" width="7.83203125" style="19" bestFit="1" customWidth="1"/>
    <col min="20" max="20" width="8.5" style="6" bestFit="1" customWidth="1"/>
    <col min="21" max="21" width="19.5" style="5" customWidth="1"/>
    <col min="22" max="16384" width="9.1640625" style="3"/>
  </cols>
  <sheetData>
    <row r="1" spans="1:21" s="2" customFormat="1" ht="29" customHeight="1">
      <c r="A1" s="68" t="s">
        <v>1249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7</v>
      </c>
      <c r="H3" s="80"/>
      <c r="I3" s="80"/>
      <c r="J3" s="80"/>
      <c r="K3" s="80" t="s">
        <v>8</v>
      </c>
      <c r="L3" s="80"/>
      <c r="M3" s="80"/>
      <c r="N3" s="80"/>
      <c r="O3" s="80" t="s">
        <v>9</v>
      </c>
      <c r="P3" s="80"/>
      <c r="Q3" s="80"/>
      <c r="R3" s="80"/>
      <c r="S3" s="60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3"/>
      <c r="U4" s="65"/>
    </row>
    <row r="5" spans="1:21" ht="16">
      <c r="A5" s="66" t="s">
        <v>262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39</v>
      </c>
      <c r="B6" s="7" t="s">
        <v>509</v>
      </c>
      <c r="C6" s="7" t="s">
        <v>1164</v>
      </c>
      <c r="D6" s="7" t="s">
        <v>510</v>
      </c>
      <c r="E6" s="8" t="s">
        <v>1293</v>
      </c>
      <c r="F6" s="7" t="s">
        <v>14</v>
      </c>
      <c r="G6" s="20" t="s">
        <v>52</v>
      </c>
      <c r="H6" s="21" t="s">
        <v>54</v>
      </c>
      <c r="I6" s="20" t="s">
        <v>54</v>
      </c>
      <c r="J6" s="21" t="s">
        <v>72</v>
      </c>
      <c r="K6" s="20" t="s">
        <v>273</v>
      </c>
      <c r="L6" s="20" t="s">
        <v>230</v>
      </c>
      <c r="M6" s="21" t="s">
        <v>60</v>
      </c>
      <c r="N6" s="22"/>
      <c r="O6" s="20" t="s">
        <v>52</v>
      </c>
      <c r="P6" s="20" t="s">
        <v>54</v>
      </c>
      <c r="Q6" s="20" t="s">
        <v>299</v>
      </c>
      <c r="R6" s="20" t="s">
        <v>511</v>
      </c>
      <c r="S6" s="41" t="str">
        <f>"300,0"</f>
        <v>300,0</v>
      </c>
      <c r="T6" s="9" t="str">
        <f>"360,5700"</f>
        <v>360,5700</v>
      </c>
      <c r="U6" s="7" t="s">
        <v>512</v>
      </c>
    </row>
    <row r="8" spans="1:21" ht="16">
      <c r="A8" s="81" t="s">
        <v>278</v>
      </c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21">
      <c r="A9" s="22" t="s">
        <v>39</v>
      </c>
      <c r="B9" s="7" t="s">
        <v>513</v>
      </c>
      <c r="C9" s="7" t="s">
        <v>514</v>
      </c>
      <c r="D9" s="7" t="s">
        <v>515</v>
      </c>
      <c r="E9" s="8" t="s">
        <v>1292</v>
      </c>
      <c r="F9" s="7" t="s">
        <v>332</v>
      </c>
      <c r="G9" s="20" t="s">
        <v>48</v>
      </c>
      <c r="H9" s="20" t="s">
        <v>65</v>
      </c>
      <c r="I9" s="20" t="s">
        <v>188</v>
      </c>
      <c r="J9" s="22"/>
      <c r="K9" s="20" t="s">
        <v>245</v>
      </c>
      <c r="L9" s="20" t="s">
        <v>50</v>
      </c>
      <c r="M9" s="21" t="s">
        <v>62</v>
      </c>
      <c r="N9" s="22"/>
      <c r="O9" s="20" t="s">
        <v>64</v>
      </c>
      <c r="P9" s="20" t="s">
        <v>65</v>
      </c>
      <c r="Q9" s="20" t="s">
        <v>188</v>
      </c>
      <c r="R9" s="22"/>
      <c r="S9" s="41" t="str">
        <f>"235,0"</f>
        <v>235,0</v>
      </c>
      <c r="T9" s="9" t="str">
        <f>"262,3305"</f>
        <v>262,3305</v>
      </c>
      <c r="U9" s="7" t="s">
        <v>1243</v>
      </c>
    </row>
    <row r="11" spans="1:21" ht="16">
      <c r="A11" s="81" t="s">
        <v>10</v>
      </c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1">
      <c r="A12" s="22" t="s">
        <v>39</v>
      </c>
      <c r="B12" s="7" t="s">
        <v>516</v>
      </c>
      <c r="C12" s="7" t="s">
        <v>517</v>
      </c>
      <c r="D12" s="7" t="s">
        <v>518</v>
      </c>
      <c r="E12" s="8" t="s">
        <v>1292</v>
      </c>
      <c r="F12" s="7" t="s">
        <v>519</v>
      </c>
      <c r="G12" s="20" t="s">
        <v>54</v>
      </c>
      <c r="H12" s="20" t="s">
        <v>102</v>
      </c>
      <c r="I12" s="20" t="s">
        <v>74</v>
      </c>
      <c r="J12" s="22"/>
      <c r="K12" s="20" t="s">
        <v>240</v>
      </c>
      <c r="L12" s="20" t="s">
        <v>230</v>
      </c>
      <c r="M12" s="21" t="s">
        <v>60</v>
      </c>
      <c r="N12" s="22"/>
      <c r="O12" s="20" t="s">
        <v>82</v>
      </c>
      <c r="P12" s="20" t="s">
        <v>53</v>
      </c>
      <c r="Q12" s="21" t="s">
        <v>293</v>
      </c>
      <c r="R12" s="22"/>
      <c r="S12" s="41" t="str">
        <f>"307,5"</f>
        <v>307,5</v>
      </c>
      <c r="T12" s="9" t="str">
        <f>"280,9627"</f>
        <v>280,9627</v>
      </c>
      <c r="U12" s="7" t="s">
        <v>531</v>
      </c>
    </row>
    <row r="14" spans="1:21" ht="16">
      <c r="A14" s="81" t="s">
        <v>10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21">
      <c r="A15" s="33" t="s">
        <v>39</v>
      </c>
      <c r="B15" s="23" t="s">
        <v>94</v>
      </c>
      <c r="C15" s="23" t="s">
        <v>95</v>
      </c>
      <c r="D15" s="23" t="s">
        <v>96</v>
      </c>
      <c r="E15" s="24" t="s">
        <v>1292</v>
      </c>
      <c r="F15" s="23" t="s">
        <v>97</v>
      </c>
      <c r="G15" s="32" t="s">
        <v>20</v>
      </c>
      <c r="H15" s="32" t="s">
        <v>131</v>
      </c>
      <c r="I15" s="33"/>
      <c r="J15" s="33"/>
      <c r="K15" s="32" t="s">
        <v>187</v>
      </c>
      <c r="L15" s="32" t="s">
        <v>98</v>
      </c>
      <c r="M15" s="34" t="s">
        <v>317</v>
      </c>
      <c r="N15" s="33"/>
      <c r="O15" s="32" t="s">
        <v>17</v>
      </c>
      <c r="P15" s="34" t="s">
        <v>389</v>
      </c>
      <c r="Q15" s="33"/>
      <c r="R15" s="33"/>
      <c r="S15" s="42" t="str">
        <f>"667,5"</f>
        <v>667,5</v>
      </c>
      <c r="T15" s="25" t="str">
        <f>"449,8283"</f>
        <v>449,8283</v>
      </c>
      <c r="U15" s="23"/>
    </row>
    <row r="16" spans="1:21">
      <c r="A16" s="37" t="s">
        <v>40</v>
      </c>
      <c r="B16" s="26" t="s">
        <v>520</v>
      </c>
      <c r="C16" s="26" t="s">
        <v>521</v>
      </c>
      <c r="D16" s="26" t="s">
        <v>349</v>
      </c>
      <c r="E16" s="27" t="s">
        <v>1292</v>
      </c>
      <c r="F16" s="26" t="s">
        <v>522</v>
      </c>
      <c r="G16" s="35" t="s">
        <v>79</v>
      </c>
      <c r="H16" s="35" t="s">
        <v>83</v>
      </c>
      <c r="I16" s="35" t="s">
        <v>80</v>
      </c>
      <c r="J16" s="37"/>
      <c r="K16" s="36" t="s">
        <v>299</v>
      </c>
      <c r="L16" s="36" t="s">
        <v>72</v>
      </c>
      <c r="M16" s="36" t="s">
        <v>72</v>
      </c>
      <c r="N16" s="37"/>
      <c r="O16" s="36"/>
      <c r="P16" s="37"/>
      <c r="Q16" s="37"/>
      <c r="R16" s="37"/>
      <c r="S16" s="44">
        <v>0</v>
      </c>
      <c r="T16" s="28" t="str">
        <f>"0,0000"</f>
        <v>0,0000</v>
      </c>
      <c r="U16" s="26"/>
    </row>
    <row r="18" spans="1:21" ht="16">
      <c r="A18" s="81" t="s">
        <v>113</v>
      </c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spans="1:21">
      <c r="A19" s="22" t="s">
        <v>39</v>
      </c>
      <c r="B19" s="7" t="s">
        <v>523</v>
      </c>
      <c r="C19" s="7" t="s">
        <v>524</v>
      </c>
      <c r="D19" s="7" t="s">
        <v>525</v>
      </c>
      <c r="E19" s="8" t="s">
        <v>1292</v>
      </c>
      <c r="F19" s="7" t="s">
        <v>358</v>
      </c>
      <c r="G19" s="20" t="s">
        <v>103</v>
      </c>
      <c r="H19" s="20" t="s">
        <v>411</v>
      </c>
      <c r="I19" s="20" t="s">
        <v>153</v>
      </c>
      <c r="J19" s="22"/>
      <c r="K19" s="20" t="s">
        <v>176</v>
      </c>
      <c r="L19" s="20" t="s">
        <v>83</v>
      </c>
      <c r="M19" s="20" t="s">
        <v>18</v>
      </c>
      <c r="N19" s="22"/>
      <c r="O19" s="20" t="s">
        <v>103</v>
      </c>
      <c r="P19" s="20" t="s">
        <v>153</v>
      </c>
      <c r="Q19" s="21" t="s">
        <v>209</v>
      </c>
      <c r="R19" s="22"/>
      <c r="S19" s="41" t="str">
        <f>"735,0"</f>
        <v>735,0</v>
      </c>
      <c r="T19" s="9" t="str">
        <f>"470,2530"</f>
        <v>470,2530</v>
      </c>
      <c r="U19" s="7"/>
    </row>
    <row r="21" spans="1:21" ht="16">
      <c r="A21" s="81" t="s">
        <v>137</v>
      </c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21">
      <c r="A22" s="33" t="s">
        <v>39</v>
      </c>
      <c r="B22" s="23" t="s">
        <v>526</v>
      </c>
      <c r="C22" s="23" t="s">
        <v>527</v>
      </c>
      <c r="D22" s="23" t="s">
        <v>458</v>
      </c>
      <c r="E22" s="24" t="s">
        <v>1292</v>
      </c>
      <c r="F22" s="23" t="s">
        <v>358</v>
      </c>
      <c r="G22" s="32" t="s">
        <v>112</v>
      </c>
      <c r="H22" s="32" t="s">
        <v>93</v>
      </c>
      <c r="I22" s="34" t="s">
        <v>16</v>
      </c>
      <c r="J22" s="33"/>
      <c r="K22" s="32" t="s">
        <v>287</v>
      </c>
      <c r="L22" s="32" t="s">
        <v>75</v>
      </c>
      <c r="M22" s="34" t="s">
        <v>98</v>
      </c>
      <c r="N22" s="33"/>
      <c r="O22" s="32" t="s">
        <v>103</v>
      </c>
      <c r="P22" s="32" t="s">
        <v>411</v>
      </c>
      <c r="Q22" s="32" t="s">
        <v>153</v>
      </c>
      <c r="R22" s="33"/>
      <c r="S22" s="42" t="str">
        <f>"660,0"</f>
        <v>660,0</v>
      </c>
      <c r="T22" s="25" t="str">
        <f>"403,3260"</f>
        <v>403,3260</v>
      </c>
      <c r="U22" s="23"/>
    </row>
    <row r="23" spans="1:21">
      <c r="A23" s="39" t="s">
        <v>219</v>
      </c>
      <c r="B23" s="29" t="s">
        <v>528</v>
      </c>
      <c r="C23" s="29" t="s">
        <v>529</v>
      </c>
      <c r="D23" s="29" t="s">
        <v>530</v>
      </c>
      <c r="E23" s="30" t="s">
        <v>1292</v>
      </c>
      <c r="F23" s="29" t="s">
        <v>332</v>
      </c>
      <c r="G23" s="38" t="s">
        <v>125</v>
      </c>
      <c r="H23" s="38" t="s">
        <v>93</v>
      </c>
      <c r="I23" s="38" t="s">
        <v>16</v>
      </c>
      <c r="J23" s="39"/>
      <c r="K23" s="38" t="s">
        <v>74</v>
      </c>
      <c r="L23" s="38" t="s">
        <v>75</v>
      </c>
      <c r="M23" s="38" t="s">
        <v>98</v>
      </c>
      <c r="N23" s="39"/>
      <c r="O23" s="38" t="s">
        <v>112</v>
      </c>
      <c r="P23" s="38" t="s">
        <v>20</v>
      </c>
      <c r="Q23" s="40" t="s">
        <v>131</v>
      </c>
      <c r="R23" s="39"/>
      <c r="S23" s="43" t="str">
        <f>"645,0"</f>
        <v>645,0</v>
      </c>
      <c r="T23" s="31" t="str">
        <f>"398,6100"</f>
        <v>398,6100</v>
      </c>
      <c r="U23" s="29" t="s">
        <v>531</v>
      </c>
    </row>
    <row r="24" spans="1:21">
      <c r="A24" s="37" t="s">
        <v>39</v>
      </c>
      <c r="B24" s="26" t="s">
        <v>528</v>
      </c>
      <c r="C24" s="26" t="s">
        <v>1165</v>
      </c>
      <c r="D24" s="26" t="s">
        <v>530</v>
      </c>
      <c r="E24" s="27" t="s">
        <v>1294</v>
      </c>
      <c r="F24" s="26" t="s">
        <v>332</v>
      </c>
      <c r="G24" s="35" t="s">
        <v>125</v>
      </c>
      <c r="H24" s="35" t="s">
        <v>93</v>
      </c>
      <c r="I24" s="35" t="s">
        <v>16</v>
      </c>
      <c r="J24" s="37"/>
      <c r="K24" s="35" t="s">
        <v>74</v>
      </c>
      <c r="L24" s="35" t="s">
        <v>75</v>
      </c>
      <c r="M24" s="35" t="s">
        <v>98</v>
      </c>
      <c r="N24" s="37"/>
      <c r="O24" s="35" t="s">
        <v>112</v>
      </c>
      <c r="P24" s="35" t="s">
        <v>20</v>
      </c>
      <c r="Q24" s="36" t="s">
        <v>131</v>
      </c>
      <c r="R24" s="37"/>
      <c r="S24" s="44" t="str">
        <f>"645,0"</f>
        <v>645,0</v>
      </c>
      <c r="T24" s="28" t="str">
        <f>"422,5266"</f>
        <v>422,5266</v>
      </c>
      <c r="U24" s="26" t="s">
        <v>531</v>
      </c>
    </row>
    <row r="26" spans="1:21" ht="16">
      <c r="A26" s="81" t="s">
        <v>22</v>
      </c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</row>
    <row r="27" spans="1:21">
      <c r="A27" s="22" t="s">
        <v>39</v>
      </c>
      <c r="B27" s="7" t="s">
        <v>532</v>
      </c>
      <c r="C27" s="7" t="s">
        <v>533</v>
      </c>
      <c r="D27" s="7" t="s">
        <v>534</v>
      </c>
      <c r="E27" s="8" t="s">
        <v>1292</v>
      </c>
      <c r="F27" s="7" t="s">
        <v>519</v>
      </c>
      <c r="G27" s="20" t="s">
        <v>85</v>
      </c>
      <c r="H27" s="20" t="s">
        <v>90</v>
      </c>
      <c r="I27" s="21" t="s">
        <v>15</v>
      </c>
      <c r="J27" s="22"/>
      <c r="K27" s="20" t="s">
        <v>75</v>
      </c>
      <c r="L27" s="20" t="s">
        <v>98</v>
      </c>
      <c r="M27" s="20" t="s">
        <v>79</v>
      </c>
      <c r="N27" s="22"/>
      <c r="O27" s="20" t="s">
        <v>85</v>
      </c>
      <c r="P27" s="20" t="s">
        <v>125</v>
      </c>
      <c r="Q27" s="21" t="s">
        <v>90</v>
      </c>
      <c r="R27" s="22"/>
      <c r="S27" s="41" t="str">
        <f>"605,0"</f>
        <v>605,0</v>
      </c>
      <c r="T27" s="9" t="str">
        <f>"345,9995"</f>
        <v>345,9995</v>
      </c>
      <c r="U27" s="7" t="s">
        <v>531</v>
      </c>
    </row>
  </sheetData>
  <mergeCells count="20">
    <mergeCell ref="A26:R26"/>
    <mergeCell ref="S3:S4"/>
    <mergeCell ref="T3:T4"/>
    <mergeCell ref="U3:U4"/>
    <mergeCell ref="A5:R5"/>
    <mergeCell ref="B3:B4"/>
    <mergeCell ref="A8:R8"/>
    <mergeCell ref="A11:R11"/>
    <mergeCell ref="A14:R14"/>
    <mergeCell ref="A18:R18"/>
    <mergeCell ref="A21:R2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8CF8-FEE7-4A7C-8D11-5868D1560124}">
  <dimension ref="A1:M11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5" style="5" bestFit="1" customWidth="1"/>
    <col min="7" max="10" width="5.5" style="18" customWidth="1"/>
    <col min="11" max="11" width="10.5" style="6" bestFit="1" customWidth="1"/>
    <col min="12" max="12" width="10" style="6" customWidth="1"/>
    <col min="13" max="13" width="20.33203125" style="5" customWidth="1"/>
    <col min="14" max="16384" width="9.1640625" style="3"/>
  </cols>
  <sheetData>
    <row r="1" spans="1:13" s="2" customFormat="1" ht="29" customHeight="1">
      <c r="A1" s="68" t="s">
        <v>1276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1288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3" t="s">
        <v>39</v>
      </c>
      <c r="B6" s="23" t="s">
        <v>1012</v>
      </c>
      <c r="C6" s="23" t="s">
        <v>1013</v>
      </c>
      <c r="D6" s="23" t="s">
        <v>96</v>
      </c>
      <c r="E6" s="24" t="s">
        <v>1292</v>
      </c>
      <c r="F6" s="23" t="s">
        <v>71</v>
      </c>
      <c r="G6" s="32" t="s">
        <v>229</v>
      </c>
      <c r="H6" s="32" t="s">
        <v>240</v>
      </c>
      <c r="I6" s="32" t="s">
        <v>1014</v>
      </c>
      <c r="J6" s="32" t="s">
        <v>60</v>
      </c>
      <c r="K6" s="25" t="str">
        <f>"68,0"</f>
        <v>68,0</v>
      </c>
      <c r="L6" s="25" t="str">
        <f>"44,1116"</f>
        <v>44,1116</v>
      </c>
      <c r="M6" s="23"/>
    </row>
    <row r="7" spans="1:13">
      <c r="A7" s="39" t="s">
        <v>219</v>
      </c>
      <c r="B7" s="29" t="s">
        <v>565</v>
      </c>
      <c r="C7" s="29" t="s">
        <v>566</v>
      </c>
      <c r="D7" s="29" t="s">
        <v>96</v>
      </c>
      <c r="E7" s="30" t="s">
        <v>1292</v>
      </c>
      <c r="F7" s="29" t="s">
        <v>175</v>
      </c>
      <c r="G7" s="38" t="s">
        <v>62</v>
      </c>
      <c r="H7" s="38" t="s">
        <v>229</v>
      </c>
      <c r="I7" s="40" t="s">
        <v>60</v>
      </c>
      <c r="J7" s="39"/>
      <c r="K7" s="31" t="str">
        <f>"60,0"</f>
        <v>60,0</v>
      </c>
      <c r="L7" s="31" t="str">
        <f>"38,9220"</f>
        <v>38,9220</v>
      </c>
      <c r="M7" s="29" t="s">
        <v>567</v>
      </c>
    </row>
    <row r="8" spans="1:13">
      <c r="A8" s="37" t="s">
        <v>39</v>
      </c>
      <c r="B8" s="26" t="s">
        <v>1012</v>
      </c>
      <c r="C8" s="26" t="s">
        <v>1229</v>
      </c>
      <c r="D8" s="26" t="s">
        <v>96</v>
      </c>
      <c r="E8" s="27" t="s">
        <v>1294</v>
      </c>
      <c r="F8" s="26" t="s">
        <v>71</v>
      </c>
      <c r="G8" s="35" t="s">
        <v>229</v>
      </c>
      <c r="H8" s="35" t="s">
        <v>240</v>
      </c>
      <c r="I8" s="35" t="s">
        <v>1014</v>
      </c>
      <c r="J8" s="35" t="s">
        <v>60</v>
      </c>
      <c r="K8" s="28" t="str">
        <f>"68,0"</f>
        <v>68,0</v>
      </c>
      <c r="L8" s="28" t="str">
        <f>"49,8461"</f>
        <v>49,8461</v>
      </c>
      <c r="M8" s="26"/>
    </row>
    <row r="10" spans="1:13" ht="16">
      <c r="A10" s="81" t="s">
        <v>113</v>
      </c>
      <c r="B10" s="81"/>
      <c r="C10" s="82"/>
      <c r="D10" s="82"/>
      <c r="E10" s="82"/>
      <c r="F10" s="82"/>
      <c r="G10" s="82"/>
      <c r="H10" s="82"/>
      <c r="I10" s="82"/>
      <c r="J10" s="82"/>
    </row>
    <row r="11" spans="1:13">
      <c r="A11" s="22" t="s">
        <v>39</v>
      </c>
      <c r="B11" s="7" t="s">
        <v>1015</v>
      </c>
      <c r="C11" s="7" t="s">
        <v>1016</v>
      </c>
      <c r="D11" s="7" t="s">
        <v>763</v>
      </c>
      <c r="E11" s="8" t="s">
        <v>1292</v>
      </c>
      <c r="F11" s="7" t="s">
        <v>71</v>
      </c>
      <c r="G11" s="20" t="s">
        <v>60</v>
      </c>
      <c r="H11" s="20" t="s">
        <v>61</v>
      </c>
      <c r="I11" s="21" t="s">
        <v>46</v>
      </c>
      <c r="J11" s="22"/>
      <c r="K11" s="9" t="str">
        <f>"75,0"</f>
        <v>75,0</v>
      </c>
      <c r="L11" s="9" t="str">
        <f>"46,2038"</f>
        <v>46,2038</v>
      </c>
      <c r="M11" s="7" t="s">
        <v>1017</v>
      </c>
    </row>
  </sheetData>
  <mergeCells count="13">
    <mergeCell ref="A10:J1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90D2-0FFB-415F-B10E-97CFF53CAC78}">
  <dimension ref="A1:U19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1.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19" bestFit="1" customWidth="1"/>
    <col min="20" max="20" width="8.5" style="6" bestFit="1" customWidth="1"/>
    <col min="21" max="21" width="22" style="5" customWidth="1"/>
    <col min="22" max="16384" width="9.1640625" style="3"/>
  </cols>
  <sheetData>
    <row r="1" spans="1:21" s="2" customFormat="1" ht="29" customHeight="1">
      <c r="A1" s="68" t="s">
        <v>1250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7</v>
      </c>
      <c r="H3" s="80"/>
      <c r="I3" s="80"/>
      <c r="J3" s="80"/>
      <c r="K3" s="80" t="s">
        <v>8</v>
      </c>
      <c r="L3" s="80"/>
      <c r="M3" s="80"/>
      <c r="N3" s="80"/>
      <c r="O3" s="80" t="s">
        <v>9</v>
      </c>
      <c r="P3" s="80"/>
      <c r="Q3" s="80"/>
      <c r="R3" s="80"/>
      <c r="S3" s="60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3"/>
      <c r="U4" s="65"/>
    </row>
    <row r="5" spans="1:21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39</v>
      </c>
      <c r="B6" s="7" t="s">
        <v>94</v>
      </c>
      <c r="C6" s="7" t="s">
        <v>95</v>
      </c>
      <c r="D6" s="7" t="s">
        <v>96</v>
      </c>
      <c r="E6" s="8" t="s">
        <v>1292</v>
      </c>
      <c r="F6" s="7" t="s">
        <v>97</v>
      </c>
      <c r="G6" s="20" t="s">
        <v>20</v>
      </c>
      <c r="H6" s="20" t="s">
        <v>131</v>
      </c>
      <c r="I6" s="22"/>
      <c r="J6" s="22"/>
      <c r="K6" s="20" t="s">
        <v>187</v>
      </c>
      <c r="L6" s="20" t="s">
        <v>98</v>
      </c>
      <c r="M6" s="21" t="s">
        <v>317</v>
      </c>
      <c r="N6" s="22"/>
      <c r="O6" s="20" t="s">
        <v>17</v>
      </c>
      <c r="P6" s="21" t="s">
        <v>389</v>
      </c>
      <c r="Q6" s="22"/>
      <c r="R6" s="22"/>
      <c r="S6" s="41" t="str">
        <f>"667,5"</f>
        <v>667,5</v>
      </c>
      <c r="T6" s="9" t="str">
        <f>"449,8283"</f>
        <v>449,8283</v>
      </c>
      <c r="U6" s="7"/>
    </row>
    <row r="8" spans="1:21" ht="16">
      <c r="A8" s="81" t="s">
        <v>113</v>
      </c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21">
      <c r="A9" s="33" t="s">
        <v>39</v>
      </c>
      <c r="B9" s="23" t="s">
        <v>486</v>
      </c>
      <c r="C9" s="23" t="s">
        <v>487</v>
      </c>
      <c r="D9" s="23" t="s">
        <v>488</v>
      </c>
      <c r="E9" s="24" t="s">
        <v>1292</v>
      </c>
      <c r="F9" s="23" t="s">
        <v>268</v>
      </c>
      <c r="G9" s="32" t="s">
        <v>103</v>
      </c>
      <c r="H9" s="32" t="s">
        <v>153</v>
      </c>
      <c r="I9" s="34" t="s">
        <v>209</v>
      </c>
      <c r="J9" s="33"/>
      <c r="K9" s="32" t="s">
        <v>79</v>
      </c>
      <c r="L9" s="32" t="s">
        <v>163</v>
      </c>
      <c r="M9" s="34" t="s">
        <v>83</v>
      </c>
      <c r="N9" s="33"/>
      <c r="O9" s="32" t="s">
        <v>103</v>
      </c>
      <c r="P9" s="32" t="s">
        <v>153</v>
      </c>
      <c r="Q9" s="34" t="s">
        <v>489</v>
      </c>
      <c r="R9" s="33"/>
      <c r="S9" s="42" t="str">
        <f>"727,5"</f>
        <v>727,5</v>
      </c>
      <c r="T9" s="25" t="str">
        <f>"469,8923"</f>
        <v>469,8923</v>
      </c>
      <c r="U9" s="23"/>
    </row>
    <row r="10" spans="1:21">
      <c r="A10" s="37" t="s">
        <v>40</v>
      </c>
      <c r="B10" s="26" t="s">
        <v>490</v>
      </c>
      <c r="C10" s="26" t="s">
        <v>491</v>
      </c>
      <c r="D10" s="26" t="s">
        <v>414</v>
      </c>
      <c r="E10" s="27" t="s">
        <v>1292</v>
      </c>
      <c r="F10" s="26" t="s">
        <v>1244</v>
      </c>
      <c r="G10" s="36" t="s">
        <v>28</v>
      </c>
      <c r="H10" s="36" t="s">
        <v>28</v>
      </c>
      <c r="I10" s="36" t="s">
        <v>28</v>
      </c>
      <c r="J10" s="37"/>
      <c r="K10" s="36"/>
      <c r="L10" s="37"/>
      <c r="M10" s="37"/>
      <c r="N10" s="37"/>
      <c r="O10" s="36"/>
      <c r="P10" s="37"/>
      <c r="Q10" s="37"/>
      <c r="R10" s="37"/>
      <c r="S10" s="44">
        <v>0</v>
      </c>
      <c r="T10" s="28" t="str">
        <f>"0,0000"</f>
        <v>0,0000</v>
      </c>
      <c r="U10" s="26"/>
    </row>
    <row r="12" spans="1:21" ht="16">
      <c r="A12" s="81" t="s">
        <v>137</v>
      </c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21">
      <c r="A13" s="33" t="s">
        <v>39</v>
      </c>
      <c r="B13" s="23" t="s">
        <v>493</v>
      </c>
      <c r="C13" s="23" t="s">
        <v>494</v>
      </c>
      <c r="D13" s="23" t="s">
        <v>495</v>
      </c>
      <c r="E13" s="24" t="s">
        <v>1292</v>
      </c>
      <c r="F13" s="23" t="s">
        <v>107</v>
      </c>
      <c r="G13" s="32" t="s">
        <v>411</v>
      </c>
      <c r="H13" s="32" t="s">
        <v>496</v>
      </c>
      <c r="I13" s="32" t="s">
        <v>209</v>
      </c>
      <c r="J13" s="33"/>
      <c r="K13" s="32" t="s">
        <v>19</v>
      </c>
      <c r="L13" s="32" t="s">
        <v>195</v>
      </c>
      <c r="M13" s="34" t="s">
        <v>84</v>
      </c>
      <c r="N13" s="33"/>
      <c r="O13" s="34" t="s">
        <v>103</v>
      </c>
      <c r="P13" s="32" t="s">
        <v>103</v>
      </c>
      <c r="Q13" s="32" t="s">
        <v>153</v>
      </c>
      <c r="R13" s="33"/>
      <c r="S13" s="42" t="str">
        <f>"772,5"</f>
        <v>772,5</v>
      </c>
      <c r="T13" s="25" t="str">
        <f>"473,0017"</f>
        <v>473,0017</v>
      </c>
      <c r="U13" s="23" t="s">
        <v>1245</v>
      </c>
    </row>
    <row r="14" spans="1:21">
      <c r="A14" s="37" t="s">
        <v>219</v>
      </c>
      <c r="B14" s="26" t="s">
        <v>497</v>
      </c>
      <c r="C14" s="26" t="s">
        <v>498</v>
      </c>
      <c r="D14" s="26" t="s">
        <v>184</v>
      </c>
      <c r="E14" s="27" t="s">
        <v>1292</v>
      </c>
      <c r="F14" s="26" t="s">
        <v>268</v>
      </c>
      <c r="G14" s="36" t="s">
        <v>16</v>
      </c>
      <c r="H14" s="36" t="s">
        <v>16</v>
      </c>
      <c r="I14" s="35" t="s">
        <v>16</v>
      </c>
      <c r="J14" s="37"/>
      <c r="K14" s="36" t="s">
        <v>98</v>
      </c>
      <c r="L14" s="35" t="s">
        <v>98</v>
      </c>
      <c r="M14" s="35" t="s">
        <v>79</v>
      </c>
      <c r="N14" s="37"/>
      <c r="O14" s="35" t="s">
        <v>112</v>
      </c>
      <c r="P14" s="35" t="s">
        <v>16</v>
      </c>
      <c r="Q14" s="36" t="s">
        <v>103</v>
      </c>
      <c r="R14" s="37"/>
      <c r="S14" s="44" t="str">
        <f>"660,0"</f>
        <v>660,0</v>
      </c>
      <c r="T14" s="28" t="str">
        <f>"406,7580"</f>
        <v>406,7580</v>
      </c>
      <c r="U14" s="26" t="s">
        <v>499</v>
      </c>
    </row>
    <row r="16" spans="1:21" ht="16">
      <c r="A16" s="81" t="s">
        <v>190</v>
      </c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spans="1:21">
      <c r="A17" s="33" t="s">
        <v>39</v>
      </c>
      <c r="B17" s="23" t="s">
        <v>500</v>
      </c>
      <c r="C17" s="23" t="s">
        <v>1166</v>
      </c>
      <c r="D17" s="23" t="s">
        <v>501</v>
      </c>
      <c r="E17" s="24" t="s">
        <v>1293</v>
      </c>
      <c r="F17" s="23" t="s">
        <v>502</v>
      </c>
      <c r="G17" s="32" t="s">
        <v>17</v>
      </c>
      <c r="H17" s="32" t="s">
        <v>153</v>
      </c>
      <c r="I17" s="34" t="s">
        <v>126</v>
      </c>
      <c r="J17" s="33"/>
      <c r="K17" s="32" t="s">
        <v>372</v>
      </c>
      <c r="L17" s="32" t="s">
        <v>98</v>
      </c>
      <c r="M17" s="32" t="s">
        <v>317</v>
      </c>
      <c r="N17" s="33"/>
      <c r="O17" s="32" t="s">
        <v>93</v>
      </c>
      <c r="P17" s="32" t="s">
        <v>503</v>
      </c>
      <c r="Q17" s="32" t="s">
        <v>17</v>
      </c>
      <c r="R17" s="33"/>
      <c r="S17" s="42" t="str">
        <f>"697,5"</f>
        <v>697,5</v>
      </c>
      <c r="T17" s="25" t="str">
        <f>"422,8245"</f>
        <v>422,8245</v>
      </c>
      <c r="U17" s="23" t="s">
        <v>171</v>
      </c>
    </row>
    <row r="18" spans="1:21">
      <c r="A18" s="39" t="s">
        <v>39</v>
      </c>
      <c r="B18" s="29" t="s">
        <v>504</v>
      </c>
      <c r="C18" s="29" t="s">
        <v>505</v>
      </c>
      <c r="D18" s="29" t="s">
        <v>465</v>
      </c>
      <c r="E18" s="30" t="s">
        <v>1292</v>
      </c>
      <c r="F18" s="29" t="s">
        <v>268</v>
      </c>
      <c r="G18" s="38" t="s">
        <v>126</v>
      </c>
      <c r="H18" s="38" t="s">
        <v>209</v>
      </c>
      <c r="I18" s="40" t="s">
        <v>211</v>
      </c>
      <c r="J18" s="39"/>
      <c r="K18" s="38" t="s">
        <v>80</v>
      </c>
      <c r="L18" s="40" t="s">
        <v>81</v>
      </c>
      <c r="M18" s="38" t="s">
        <v>81</v>
      </c>
      <c r="N18" s="39"/>
      <c r="O18" s="38" t="s">
        <v>103</v>
      </c>
      <c r="P18" s="38" t="s">
        <v>153</v>
      </c>
      <c r="Q18" s="40" t="s">
        <v>209</v>
      </c>
      <c r="R18" s="39"/>
      <c r="S18" s="43" t="str">
        <f>"770,0"</f>
        <v>770,0</v>
      </c>
      <c r="T18" s="31" t="str">
        <f>"454,6850"</f>
        <v>454,6850</v>
      </c>
      <c r="U18" s="29"/>
    </row>
    <row r="19" spans="1:21">
      <c r="A19" s="37" t="s">
        <v>39</v>
      </c>
      <c r="B19" s="26" t="s">
        <v>506</v>
      </c>
      <c r="C19" s="26" t="s">
        <v>1167</v>
      </c>
      <c r="D19" s="26" t="s">
        <v>507</v>
      </c>
      <c r="E19" s="27" t="s">
        <v>1295</v>
      </c>
      <c r="F19" s="26" t="s">
        <v>347</v>
      </c>
      <c r="G19" s="35" t="s">
        <v>152</v>
      </c>
      <c r="H19" s="36" t="s">
        <v>496</v>
      </c>
      <c r="I19" s="36" t="s">
        <v>126</v>
      </c>
      <c r="J19" s="37"/>
      <c r="K19" s="35" t="s">
        <v>79</v>
      </c>
      <c r="L19" s="35" t="s">
        <v>83</v>
      </c>
      <c r="M19" s="36" t="s">
        <v>18</v>
      </c>
      <c r="N19" s="37"/>
      <c r="O19" s="35" t="s">
        <v>93</v>
      </c>
      <c r="P19" s="35" t="s">
        <v>16</v>
      </c>
      <c r="Q19" s="35" t="s">
        <v>508</v>
      </c>
      <c r="R19" s="37"/>
      <c r="S19" s="44" t="str">
        <f>"707,5"</f>
        <v>707,5</v>
      </c>
      <c r="T19" s="28" t="str">
        <f>"423,7925"</f>
        <v>423,7925</v>
      </c>
      <c r="U19" s="26"/>
    </row>
  </sheetData>
  <mergeCells count="17">
    <mergeCell ref="A8:R8"/>
    <mergeCell ref="A12:R12"/>
    <mergeCell ref="A16:R16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1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8.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6" bestFit="1" customWidth="1"/>
    <col min="20" max="20" width="8.5" style="6" bestFit="1" customWidth="1"/>
    <col min="21" max="21" width="19" style="5" customWidth="1"/>
    <col min="22" max="16384" width="9.1640625" style="3"/>
  </cols>
  <sheetData>
    <row r="1" spans="1:21" s="2" customFormat="1" ht="29" customHeight="1">
      <c r="A1" s="68" t="s">
        <v>1251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7</v>
      </c>
      <c r="H3" s="80"/>
      <c r="I3" s="80"/>
      <c r="J3" s="80"/>
      <c r="K3" s="80" t="s">
        <v>8</v>
      </c>
      <c r="L3" s="80"/>
      <c r="M3" s="80"/>
      <c r="N3" s="80"/>
      <c r="O3" s="80" t="s">
        <v>9</v>
      </c>
      <c r="P3" s="80"/>
      <c r="Q3" s="80"/>
      <c r="R3" s="80"/>
      <c r="S3" s="62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3"/>
      <c r="T4" s="63"/>
      <c r="U4" s="65"/>
    </row>
    <row r="5" spans="1:21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39</v>
      </c>
      <c r="B6" s="7" t="s">
        <v>11</v>
      </c>
      <c r="C6" s="7" t="s">
        <v>12</v>
      </c>
      <c r="D6" s="7" t="s">
        <v>13</v>
      </c>
      <c r="E6" s="8" t="s">
        <v>1292</v>
      </c>
      <c r="F6" s="7" t="s">
        <v>14</v>
      </c>
      <c r="G6" s="20" t="s">
        <v>15</v>
      </c>
      <c r="H6" s="20" t="s">
        <v>16</v>
      </c>
      <c r="I6" s="21" t="s">
        <v>17</v>
      </c>
      <c r="J6" s="22"/>
      <c r="K6" s="21" t="s">
        <v>18</v>
      </c>
      <c r="L6" s="20" t="s">
        <v>18</v>
      </c>
      <c r="M6" s="21" t="s">
        <v>19</v>
      </c>
      <c r="N6" s="22"/>
      <c r="O6" s="20" t="s">
        <v>15</v>
      </c>
      <c r="P6" s="20" t="s">
        <v>20</v>
      </c>
      <c r="Q6" s="20" t="s">
        <v>16</v>
      </c>
      <c r="R6" s="22"/>
      <c r="S6" s="9" t="str">
        <f>"675,0"</f>
        <v>675,0</v>
      </c>
      <c r="T6" s="9" t="str">
        <f>"471,2175"</f>
        <v>471,2175</v>
      </c>
      <c r="U6" s="7" t="s">
        <v>21</v>
      </c>
    </row>
    <row r="8" spans="1:21" ht="16">
      <c r="A8" s="81" t="s">
        <v>22</v>
      </c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21">
      <c r="A9" s="22" t="s">
        <v>40</v>
      </c>
      <c r="B9" s="7" t="s">
        <v>23</v>
      </c>
      <c r="C9" s="7" t="s">
        <v>24</v>
      </c>
      <c r="D9" s="7" t="s">
        <v>25</v>
      </c>
      <c r="E9" s="8" t="s">
        <v>1292</v>
      </c>
      <c r="F9" s="7" t="s">
        <v>26</v>
      </c>
      <c r="G9" s="21" t="s">
        <v>27</v>
      </c>
      <c r="H9" s="21" t="s">
        <v>27</v>
      </c>
      <c r="I9" s="21" t="s">
        <v>27</v>
      </c>
      <c r="J9" s="22"/>
      <c r="K9" s="21"/>
      <c r="L9" s="22"/>
      <c r="M9" s="22"/>
      <c r="N9" s="22"/>
      <c r="O9" s="21"/>
      <c r="P9" s="22"/>
      <c r="Q9" s="22"/>
      <c r="R9" s="22"/>
      <c r="S9" s="41">
        <v>0</v>
      </c>
      <c r="T9" s="9" t="str">
        <f>"0,0000"</f>
        <v>0,0000</v>
      </c>
      <c r="U9" s="7" t="s">
        <v>29</v>
      </c>
    </row>
    <row r="11" spans="1:21">
      <c r="E11" s="5"/>
      <c r="F11" s="10"/>
      <c r="G11" s="5"/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72A2-D1C8-4671-9966-8580326569F4}">
  <dimension ref="A1:Q46"/>
  <sheetViews>
    <sheetView topLeftCell="A6"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6" bestFit="1" customWidth="1"/>
    <col min="16" max="16" width="8.5" style="6" bestFit="1" customWidth="1"/>
    <col min="17" max="17" width="29.1640625" style="5" bestFit="1" customWidth="1"/>
    <col min="18" max="16384" width="9.1640625" style="3"/>
  </cols>
  <sheetData>
    <row r="1" spans="1:17" s="2" customFormat="1" ht="29" customHeight="1">
      <c r="A1" s="68" t="s">
        <v>1252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7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80" t="s">
        <v>9</v>
      </c>
      <c r="L3" s="80"/>
      <c r="M3" s="80"/>
      <c r="N3" s="80"/>
      <c r="O3" s="62" t="s">
        <v>1</v>
      </c>
      <c r="P3" s="62" t="s">
        <v>3</v>
      </c>
      <c r="Q3" s="64" t="s">
        <v>2</v>
      </c>
    </row>
    <row r="4" spans="1:17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3"/>
      <c r="P4" s="63"/>
      <c r="Q4" s="65"/>
    </row>
    <row r="5" spans="1:17" ht="16">
      <c r="A5" s="66" t="s">
        <v>236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22" t="s">
        <v>39</v>
      </c>
      <c r="B6" s="7" t="s">
        <v>237</v>
      </c>
      <c r="C6" s="7" t="s">
        <v>238</v>
      </c>
      <c r="D6" s="7" t="s">
        <v>239</v>
      </c>
      <c r="E6" s="8" t="s">
        <v>1292</v>
      </c>
      <c r="F6" s="7" t="s">
        <v>1235</v>
      </c>
      <c r="G6" s="20" t="s">
        <v>240</v>
      </c>
      <c r="H6" s="20" t="s">
        <v>60</v>
      </c>
      <c r="I6" s="20" t="s">
        <v>241</v>
      </c>
      <c r="J6" s="22"/>
      <c r="K6" s="20" t="s">
        <v>54</v>
      </c>
      <c r="L6" s="20" t="s">
        <v>102</v>
      </c>
      <c r="M6" s="21" t="s">
        <v>74</v>
      </c>
      <c r="N6" s="22"/>
      <c r="O6" s="9" t="str">
        <f>"197,5"</f>
        <v>197,5</v>
      </c>
      <c r="P6" s="9" t="str">
        <f>"275,1570"</f>
        <v>275,1570</v>
      </c>
      <c r="Q6" s="7"/>
    </row>
    <row r="8" spans="1:17" ht="16">
      <c r="A8" s="81" t="s">
        <v>262</v>
      </c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7">
      <c r="A9" s="33" t="s">
        <v>39</v>
      </c>
      <c r="B9" s="23" t="s">
        <v>263</v>
      </c>
      <c r="C9" s="23" t="s">
        <v>1141</v>
      </c>
      <c r="D9" s="23" t="s">
        <v>264</v>
      </c>
      <c r="E9" s="24" t="s">
        <v>1293</v>
      </c>
      <c r="F9" s="23" t="s">
        <v>14</v>
      </c>
      <c r="G9" s="32" t="s">
        <v>50</v>
      </c>
      <c r="H9" s="32" t="s">
        <v>51</v>
      </c>
      <c r="I9" s="34" t="s">
        <v>62</v>
      </c>
      <c r="J9" s="33"/>
      <c r="K9" s="32" t="s">
        <v>47</v>
      </c>
      <c r="L9" s="32" t="s">
        <v>188</v>
      </c>
      <c r="M9" s="34" t="s">
        <v>82</v>
      </c>
      <c r="N9" s="33"/>
      <c r="O9" s="25" t="str">
        <f>"142,5"</f>
        <v>142,5</v>
      </c>
      <c r="P9" s="25" t="str">
        <f>"168,1358"</f>
        <v>168,1358</v>
      </c>
      <c r="Q9" s="23" t="s">
        <v>1236</v>
      </c>
    </row>
    <row r="10" spans="1:17">
      <c r="A10" s="37" t="s">
        <v>39</v>
      </c>
      <c r="B10" s="26" t="s">
        <v>688</v>
      </c>
      <c r="C10" s="26" t="s">
        <v>689</v>
      </c>
      <c r="D10" s="26" t="s">
        <v>690</v>
      </c>
      <c r="E10" s="27" t="s">
        <v>1292</v>
      </c>
      <c r="F10" s="26" t="s">
        <v>71</v>
      </c>
      <c r="G10" s="35" t="s">
        <v>63</v>
      </c>
      <c r="H10" s="35" t="s">
        <v>272</v>
      </c>
      <c r="I10" s="36" t="s">
        <v>229</v>
      </c>
      <c r="J10" s="37"/>
      <c r="K10" s="35" t="s">
        <v>82</v>
      </c>
      <c r="L10" s="35" t="s">
        <v>52</v>
      </c>
      <c r="M10" s="35" t="s">
        <v>53</v>
      </c>
      <c r="N10" s="37"/>
      <c r="O10" s="28" t="str">
        <f>"167,5"</f>
        <v>167,5</v>
      </c>
      <c r="P10" s="28" t="str">
        <f>"199,0403"</f>
        <v>199,0403</v>
      </c>
      <c r="Q10" s="26" t="s">
        <v>691</v>
      </c>
    </row>
    <row r="12" spans="1:17" ht="16">
      <c r="A12" s="81" t="s">
        <v>278</v>
      </c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7">
      <c r="A13" s="22" t="s">
        <v>39</v>
      </c>
      <c r="B13" s="7" t="s">
        <v>976</v>
      </c>
      <c r="C13" s="7" t="s">
        <v>977</v>
      </c>
      <c r="D13" s="7" t="s">
        <v>978</v>
      </c>
      <c r="E13" s="8" t="s">
        <v>1292</v>
      </c>
      <c r="F13" s="7" t="s">
        <v>71</v>
      </c>
      <c r="G13" s="20" t="s">
        <v>62</v>
      </c>
      <c r="H13" s="20" t="s">
        <v>252</v>
      </c>
      <c r="I13" s="21" t="s">
        <v>63</v>
      </c>
      <c r="J13" s="22"/>
      <c r="K13" s="20" t="s">
        <v>52</v>
      </c>
      <c r="L13" s="20" t="s">
        <v>53</v>
      </c>
      <c r="M13" s="20" t="s">
        <v>54</v>
      </c>
      <c r="N13" s="22"/>
      <c r="O13" s="9" t="str">
        <f>"167,5"</f>
        <v>167,5</v>
      </c>
      <c r="P13" s="9" t="str">
        <f>"192,7758"</f>
        <v>192,7758</v>
      </c>
      <c r="Q13" s="7" t="s">
        <v>288</v>
      </c>
    </row>
    <row r="15" spans="1:17" ht="16">
      <c r="A15" s="81" t="s">
        <v>41</v>
      </c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7">
      <c r="A16" s="22" t="s">
        <v>39</v>
      </c>
      <c r="B16" s="7" t="s">
        <v>306</v>
      </c>
      <c r="C16" s="7" t="s">
        <v>307</v>
      </c>
      <c r="D16" s="7" t="s">
        <v>308</v>
      </c>
      <c r="E16" s="8" t="s">
        <v>1292</v>
      </c>
      <c r="F16" s="7" t="s">
        <v>97</v>
      </c>
      <c r="G16" s="20" t="s">
        <v>61</v>
      </c>
      <c r="H16" s="20" t="s">
        <v>46</v>
      </c>
      <c r="I16" s="21" t="s">
        <v>73</v>
      </c>
      <c r="J16" s="22"/>
      <c r="K16" s="20" t="s">
        <v>74</v>
      </c>
      <c r="L16" s="20" t="s">
        <v>75</v>
      </c>
      <c r="M16" s="21" t="s">
        <v>98</v>
      </c>
      <c r="N16" s="22"/>
      <c r="O16" s="9" t="str">
        <f>"220,0"</f>
        <v>220,0</v>
      </c>
      <c r="P16" s="9" t="str">
        <f>"225,7420"</f>
        <v>225,7420</v>
      </c>
      <c r="Q16" s="7" t="s">
        <v>261</v>
      </c>
    </row>
    <row r="18" spans="1:17" ht="16">
      <c r="A18" s="81" t="s">
        <v>67</v>
      </c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7">
      <c r="A19" s="33" t="s">
        <v>39</v>
      </c>
      <c r="B19" s="23" t="s">
        <v>369</v>
      </c>
      <c r="C19" s="23" t="s">
        <v>370</v>
      </c>
      <c r="D19" s="23" t="s">
        <v>371</v>
      </c>
      <c r="E19" s="24" t="s">
        <v>1292</v>
      </c>
      <c r="F19" s="23" t="s">
        <v>175</v>
      </c>
      <c r="G19" s="32" t="s">
        <v>287</v>
      </c>
      <c r="H19" s="32" t="s">
        <v>372</v>
      </c>
      <c r="I19" s="34" t="s">
        <v>373</v>
      </c>
      <c r="J19" s="33"/>
      <c r="K19" s="32" t="s">
        <v>81</v>
      </c>
      <c r="L19" s="34" t="s">
        <v>84</v>
      </c>
      <c r="M19" s="34" t="s">
        <v>108</v>
      </c>
      <c r="N19" s="33"/>
      <c r="O19" s="25" t="str">
        <f>"332,5"</f>
        <v>332,5</v>
      </c>
      <c r="P19" s="25" t="str">
        <f>"238,2695"</f>
        <v>238,2695</v>
      </c>
      <c r="Q19" s="23" t="s">
        <v>374</v>
      </c>
    </row>
    <row r="20" spans="1:17">
      <c r="A20" s="39" t="s">
        <v>219</v>
      </c>
      <c r="B20" s="29" t="s">
        <v>378</v>
      </c>
      <c r="C20" s="29" t="s">
        <v>379</v>
      </c>
      <c r="D20" s="29" t="s">
        <v>371</v>
      </c>
      <c r="E20" s="30" t="s">
        <v>1292</v>
      </c>
      <c r="F20" s="29" t="s">
        <v>157</v>
      </c>
      <c r="G20" s="38" t="s">
        <v>65</v>
      </c>
      <c r="H20" s="38" t="s">
        <v>188</v>
      </c>
      <c r="I20" s="40" t="s">
        <v>246</v>
      </c>
      <c r="J20" s="39"/>
      <c r="K20" s="38" t="s">
        <v>108</v>
      </c>
      <c r="L20" s="38" t="s">
        <v>380</v>
      </c>
      <c r="M20" s="40" t="s">
        <v>109</v>
      </c>
      <c r="N20" s="39"/>
      <c r="O20" s="31" t="str">
        <f>"307,5"</f>
        <v>307,5</v>
      </c>
      <c r="P20" s="31" t="str">
        <f>"220,3545"</f>
        <v>220,3545</v>
      </c>
      <c r="Q20" s="29" t="s">
        <v>381</v>
      </c>
    </row>
    <row r="21" spans="1:17">
      <c r="A21" s="39" t="s">
        <v>220</v>
      </c>
      <c r="B21" s="29" t="s">
        <v>979</v>
      </c>
      <c r="C21" s="29" t="s">
        <v>980</v>
      </c>
      <c r="D21" s="29" t="s">
        <v>866</v>
      </c>
      <c r="E21" s="30" t="s">
        <v>1292</v>
      </c>
      <c r="F21" s="29" t="s">
        <v>519</v>
      </c>
      <c r="G21" s="38" t="s">
        <v>82</v>
      </c>
      <c r="H21" s="38" t="s">
        <v>52</v>
      </c>
      <c r="I21" s="40" t="s">
        <v>189</v>
      </c>
      <c r="J21" s="39"/>
      <c r="K21" s="38" t="s">
        <v>83</v>
      </c>
      <c r="L21" s="40" t="s">
        <v>80</v>
      </c>
      <c r="M21" s="40" t="s">
        <v>80</v>
      </c>
      <c r="N21" s="39"/>
      <c r="O21" s="31" t="str">
        <f>"275,0"</f>
        <v>275,0</v>
      </c>
      <c r="P21" s="31" t="str">
        <f>"195,9650"</f>
        <v>195,9650</v>
      </c>
      <c r="Q21" s="29" t="s">
        <v>531</v>
      </c>
    </row>
    <row r="22" spans="1:17">
      <c r="A22" s="37" t="s">
        <v>39</v>
      </c>
      <c r="B22" s="26" t="s">
        <v>981</v>
      </c>
      <c r="C22" s="26" t="s">
        <v>1168</v>
      </c>
      <c r="D22" s="26" t="s">
        <v>982</v>
      </c>
      <c r="E22" s="27" t="s">
        <v>1297</v>
      </c>
      <c r="F22" s="26" t="s">
        <v>175</v>
      </c>
      <c r="G22" s="35" t="s">
        <v>102</v>
      </c>
      <c r="H22" s="35" t="s">
        <v>74</v>
      </c>
      <c r="I22" s="36" t="s">
        <v>287</v>
      </c>
      <c r="J22" s="37"/>
      <c r="K22" s="35" t="s">
        <v>81</v>
      </c>
      <c r="L22" s="35" t="s">
        <v>169</v>
      </c>
      <c r="M22" s="36" t="s">
        <v>109</v>
      </c>
      <c r="N22" s="37"/>
      <c r="O22" s="28" t="str">
        <f>"332,5"</f>
        <v>332,5</v>
      </c>
      <c r="P22" s="28" t="str">
        <f>"284,9397"</f>
        <v>284,9397</v>
      </c>
      <c r="Q22" s="26" t="s">
        <v>567</v>
      </c>
    </row>
    <row r="24" spans="1:17" ht="16">
      <c r="A24" s="81" t="s">
        <v>10</v>
      </c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spans="1:17">
      <c r="A25" s="22" t="s">
        <v>39</v>
      </c>
      <c r="B25" s="7" t="s">
        <v>94</v>
      </c>
      <c r="C25" s="7" t="s">
        <v>95</v>
      </c>
      <c r="D25" s="7" t="s">
        <v>96</v>
      </c>
      <c r="E25" s="8" t="s">
        <v>1292</v>
      </c>
      <c r="F25" s="7" t="s">
        <v>97</v>
      </c>
      <c r="G25" s="20" t="s">
        <v>187</v>
      </c>
      <c r="H25" s="20" t="s">
        <v>98</v>
      </c>
      <c r="I25" s="21" t="s">
        <v>317</v>
      </c>
      <c r="J25" s="22"/>
      <c r="K25" s="20" t="s">
        <v>17</v>
      </c>
      <c r="L25" s="21" t="s">
        <v>389</v>
      </c>
      <c r="M25" s="21" t="s">
        <v>389</v>
      </c>
      <c r="N25" s="22"/>
      <c r="O25" s="9" t="str">
        <f>"415,0"</f>
        <v>415,0</v>
      </c>
      <c r="P25" s="9" t="str">
        <f>"279,6685"</f>
        <v>279,6685</v>
      </c>
      <c r="Q25" s="7"/>
    </row>
    <row r="27" spans="1:17" ht="16">
      <c r="A27" s="81" t="s">
        <v>113</v>
      </c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1:17">
      <c r="A28" s="33" t="s">
        <v>39</v>
      </c>
      <c r="B28" s="23" t="s">
        <v>983</v>
      </c>
      <c r="C28" s="23" t="s">
        <v>984</v>
      </c>
      <c r="D28" s="23" t="s">
        <v>985</v>
      </c>
      <c r="E28" s="24" t="s">
        <v>1292</v>
      </c>
      <c r="F28" s="23" t="s">
        <v>117</v>
      </c>
      <c r="G28" s="32" t="s">
        <v>102</v>
      </c>
      <c r="H28" s="34" t="s">
        <v>292</v>
      </c>
      <c r="I28" s="34" t="s">
        <v>292</v>
      </c>
      <c r="J28" s="33"/>
      <c r="K28" s="32" t="s">
        <v>380</v>
      </c>
      <c r="L28" s="32" t="s">
        <v>90</v>
      </c>
      <c r="M28" s="34" t="s">
        <v>182</v>
      </c>
      <c r="N28" s="33"/>
      <c r="O28" s="25" t="str">
        <f>"350,0"</f>
        <v>350,0</v>
      </c>
      <c r="P28" s="25" t="str">
        <f>"227,1850"</f>
        <v>227,1850</v>
      </c>
      <c r="Q28" s="23" t="s">
        <v>986</v>
      </c>
    </row>
    <row r="29" spans="1:17">
      <c r="A29" s="39" t="s">
        <v>219</v>
      </c>
      <c r="B29" s="29" t="s">
        <v>987</v>
      </c>
      <c r="C29" s="29" t="s">
        <v>988</v>
      </c>
      <c r="D29" s="29" t="s">
        <v>989</v>
      </c>
      <c r="E29" s="30" t="s">
        <v>1292</v>
      </c>
      <c r="F29" s="29" t="s">
        <v>519</v>
      </c>
      <c r="G29" s="38" t="s">
        <v>82</v>
      </c>
      <c r="H29" s="40" t="s">
        <v>53</v>
      </c>
      <c r="I29" s="40" t="s">
        <v>53</v>
      </c>
      <c r="J29" s="39"/>
      <c r="K29" s="38" t="s">
        <v>83</v>
      </c>
      <c r="L29" s="38" t="s">
        <v>92</v>
      </c>
      <c r="M29" s="40" t="s">
        <v>195</v>
      </c>
      <c r="N29" s="39"/>
      <c r="O29" s="31" t="str">
        <f>"285,0"</f>
        <v>285,0</v>
      </c>
      <c r="P29" s="31" t="str">
        <f>"185,1075"</f>
        <v>185,1075</v>
      </c>
      <c r="Q29" s="29" t="s">
        <v>531</v>
      </c>
    </row>
    <row r="30" spans="1:17">
      <c r="A30" s="37" t="s">
        <v>39</v>
      </c>
      <c r="B30" s="26" t="s">
        <v>990</v>
      </c>
      <c r="C30" s="26" t="s">
        <v>1169</v>
      </c>
      <c r="D30" s="26" t="s">
        <v>991</v>
      </c>
      <c r="E30" s="27" t="s">
        <v>1295</v>
      </c>
      <c r="F30" s="26" t="s">
        <v>519</v>
      </c>
      <c r="G30" s="35" t="s">
        <v>74</v>
      </c>
      <c r="H30" s="36" t="s">
        <v>287</v>
      </c>
      <c r="I30" s="36" t="s">
        <v>287</v>
      </c>
      <c r="J30" s="37"/>
      <c r="K30" s="35" t="s">
        <v>83</v>
      </c>
      <c r="L30" s="35" t="s">
        <v>81</v>
      </c>
      <c r="M30" s="36" t="s">
        <v>108</v>
      </c>
      <c r="N30" s="37"/>
      <c r="O30" s="28" t="str">
        <f>"320,0"</f>
        <v>320,0</v>
      </c>
      <c r="P30" s="28" t="str">
        <f>"209,3220"</f>
        <v>209,3220</v>
      </c>
      <c r="Q30" s="26" t="s">
        <v>531</v>
      </c>
    </row>
    <row r="32" spans="1:17" ht="16">
      <c r="A32" s="81" t="s">
        <v>137</v>
      </c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1:17">
      <c r="A33" s="22" t="s">
        <v>39</v>
      </c>
      <c r="B33" s="7" t="s">
        <v>992</v>
      </c>
      <c r="C33" s="7" t="s">
        <v>993</v>
      </c>
      <c r="D33" s="7" t="s">
        <v>461</v>
      </c>
      <c r="E33" s="8" t="s">
        <v>1292</v>
      </c>
      <c r="F33" s="7" t="s">
        <v>1246</v>
      </c>
      <c r="G33" s="20" t="s">
        <v>176</v>
      </c>
      <c r="H33" s="21" t="s">
        <v>83</v>
      </c>
      <c r="I33" s="21" t="s">
        <v>83</v>
      </c>
      <c r="J33" s="22"/>
      <c r="K33" s="20" t="s">
        <v>84</v>
      </c>
      <c r="L33" s="21" t="s">
        <v>109</v>
      </c>
      <c r="M33" s="21" t="s">
        <v>109</v>
      </c>
      <c r="N33" s="22"/>
      <c r="O33" s="9" t="str">
        <f>"362,5"</f>
        <v>362,5</v>
      </c>
      <c r="P33" s="9" t="str">
        <f>"225,2575"</f>
        <v>225,2575</v>
      </c>
      <c r="Q33" s="7"/>
    </row>
    <row r="35" spans="1:17" ht="16">
      <c r="A35" s="81" t="s">
        <v>22</v>
      </c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</row>
    <row r="36" spans="1:17">
      <c r="A36" s="22" t="s">
        <v>39</v>
      </c>
      <c r="B36" s="7" t="s">
        <v>803</v>
      </c>
      <c r="C36" s="7" t="s">
        <v>958</v>
      </c>
      <c r="D36" s="7" t="s">
        <v>804</v>
      </c>
      <c r="E36" s="8" t="s">
        <v>1292</v>
      </c>
      <c r="F36" s="7" t="s">
        <v>117</v>
      </c>
      <c r="G36" s="20" t="s">
        <v>81</v>
      </c>
      <c r="H36" s="20" t="s">
        <v>169</v>
      </c>
      <c r="I36" s="21" t="s">
        <v>433</v>
      </c>
      <c r="J36" s="22"/>
      <c r="K36" s="20" t="s">
        <v>153</v>
      </c>
      <c r="L36" s="20" t="s">
        <v>209</v>
      </c>
      <c r="M36" s="21" t="s">
        <v>132</v>
      </c>
      <c r="N36" s="22"/>
      <c r="O36" s="9" t="str">
        <f>"502,5"</f>
        <v>502,5</v>
      </c>
      <c r="P36" s="9" t="str">
        <f>"287,3295"</f>
        <v>287,3295</v>
      </c>
      <c r="Q36" s="7"/>
    </row>
    <row r="40" spans="1:17" ht="18">
      <c r="B40" s="11" t="s">
        <v>30</v>
      </c>
      <c r="C40" s="11"/>
      <c r="E40" s="5"/>
      <c r="G40" s="3"/>
    </row>
    <row r="41" spans="1:17" ht="16">
      <c r="B41" s="12" t="s">
        <v>31</v>
      </c>
      <c r="C41" s="12"/>
      <c r="E41" s="5"/>
      <c r="G41" s="3"/>
    </row>
    <row r="42" spans="1:17" ht="14">
      <c r="B42" s="13"/>
      <c r="C42" s="14" t="s">
        <v>32</v>
      </c>
      <c r="E42" s="5"/>
      <c r="G42" s="3"/>
    </row>
    <row r="43" spans="1:17" ht="14">
      <c r="B43" s="15" t="s">
        <v>33</v>
      </c>
      <c r="C43" s="15" t="s">
        <v>34</v>
      </c>
      <c r="D43" s="15" t="s">
        <v>35</v>
      </c>
      <c r="E43" s="15" t="s">
        <v>37</v>
      </c>
      <c r="F43" s="16" t="s">
        <v>36</v>
      </c>
      <c r="G43" s="3"/>
    </row>
    <row r="44" spans="1:17">
      <c r="B44" s="5" t="s">
        <v>803</v>
      </c>
      <c r="C44" s="5" t="s">
        <v>32</v>
      </c>
      <c r="D44" s="18" t="s">
        <v>816</v>
      </c>
      <c r="E44" s="17">
        <v>287.32949674129497</v>
      </c>
      <c r="F44" s="19">
        <v>502.5</v>
      </c>
      <c r="G44" s="3"/>
    </row>
    <row r="45" spans="1:17">
      <c r="B45" s="5" t="s">
        <v>94</v>
      </c>
      <c r="C45" s="5" t="s">
        <v>32</v>
      </c>
      <c r="D45" s="18" t="s">
        <v>38</v>
      </c>
      <c r="E45" s="17">
        <v>279.66850340366398</v>
      </c>
      <c r="F45" s="19">
        <v>415</v>
      </c>
      <c r="G45" s="3"/>
    </row>
    <row r="46" spans="1:17">
      <c r="B46" s="5" t="s">
        <v>369</v>
      </c>
      <c r="C46" s="5" t="s">
        <v>32</v>
      </c>
      <c r="D46" s="18" t="s">
        <v>214</v>
      </c>
      <c r="E46" s="17">
        <v>238.26950028538701</v>
      </c>
      <c r="F46" s="19">
        <v>332.5</v>
      </c>
      <c r="G46" s="3"/>
    </row>
  </sheetData>
  <mergeCells count="21">
    <mergeCell ref="A32:N32"/>
    <mergeCell ref="A35:N35"/>
    <mergeCell ref="B3:B4"/>
    <mergeCell ref="A8:N8"/>
    <mergeCell ref="A12:N12"/>
    <mergeCell ref="A15:N15"/>
    <mergeCell ref="A18:N18"/>
    <mergeCell ref="A24:N24"/>
    <mergeCell ref="A27:N27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88EF2-A7F7-41C4-A787-63320DC443E2}">
  <dimension ref="A1:Q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9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6" bestFit="1" customWidth="1"/>
    <col min="16" max="16" width="8.5" style="6" bestFit="1" customWidth="1"/>
    <col min="17" max="17" width="21.33203125" style="5" customWidth="1"/>
    <col min="18" max="16384" width="9.1640625" style="3"/>
  </cols>
  <sheetData>
    <row r="1" spans="1:17" s="2" customFormat="1" ht="29" customHeight="1">
      <c r="A1" s="68" t="s">
        <v>1253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7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80" t="s">
        <v>9</v>
      </c>
      <c r="L3" s="80"/>
      <c r="M3" s="80"/>
      <c r="N3" s="80"/>
      <c r="O3" s="62" t="s">
        <v>1</v>
      </c>
      <c r="P3" s="62" t="s">
        <v>3</v>
      </c>
      <c r="Q3" s="64" t="s">
        <v>2</v>
      </c>
    </row>
    <row r="4" spans="1:17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3"/>
      <c r="P4" s="63"/>
      <c r="Q4" s="65"/>
    </row>
    <row r="5" spans="1:17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22" t="s">
        <v>39</v>
      </c>
      <c r="B6" s="7" t="s">
        <v>94</v>
      </c>
      <c r="C6" s="7" t="s">
        <v>95</v>
      </c>
      <c r="D6" s="7" t="s">
        <v>96</v>
      </c>
      <c r="E6" s="8" t="s">
        <v>1292</v>
      </c>
      <c r="F6" s="7" t="s">
        <v>97</v>
      </c>
      <c r="G6" s="20" t="s">
        <v>187</v>
      </c>
      <c r="H6" s="20" t="s">
        <v>98</v>
      </c>
      <c r="I6" s="21" t="s">
        <v>317</v>
      </c>
      <c r="J6" s="22"/>
      <c r="K6" s="20" t="s">
        <v>17</v>
      </c>
      <c r="L6" s="21" t="s">
        <v>389</v>
      </c>
      <c r="M6" s="21" t="s">
        <v>389</v>
      </c>
      <c r="N6" s="22"/>
      <c r="O6" s="9" t="str">
        <f>"415,0"</f>
        <v>415,0</v>
      </c>
      <c r="P6" s="9" t="str">
        <f>"279,6685"</f>
        <v>279,6685</v>
      </c>
      <c r="Q6" s="7"/>
    </row>
    <row r="8" spans="1:17" ht="16">
      <c r="A8" s="81" t="s">
        <v>113</v>
      </c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7">
      <c r="A9" s="22" t="s">
        <v>39</v>
      </c>
      <c r="B9" s="7" t="s">
        <v>971</v>
      </c>
      <c r="C9" s="7" t="s">
        <v>972</v>
      </c>
      <c r="D9" s="7" t="s">
        <v>584</v>
      </c>
      <c r="E9" s="8" t="s">
        <v>1292</v>
      </c>
      <c r="F9" s="7" t="s">
        <v>117</v>
      </c>
      <c r="G9" s="20" t="s">
        <v>72</v>
      </c>
      <c r="H9" s="21" t="s">
        <v>287</v>
      </c>
      <c r="I9" s="21" t="s">
        <v>287</v>
      </c>
      <c r="J9" s="22"/>
      <c r="K9" s="21" t="s">
        <v>83</v>
      </c>
      <c r="L9" s="20" t="s">
        <v>83</v>
      </c>
      <c r="M9" s="21" t="s">
        <v>80</v>
      </c>
      <c r="N9" s="22"/>
      <c r="O9" s="9" t="str">
        <f>"290,0"</f>
        <v>290,0</v>
      </c>
      <c r="P9" s="9" t="str">
        <f>"187,6590"</f>
        <v>187,6590</v>
      </c>
      <c r="Q9" s="7"/>
    </row>
    <row r="11" spans="1:17" ht="16">
      <c r="A11" s="81" t="s">
        <v>137</v>
      </c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7">
      <c r="A12" s="22" t="s">
        <v>39</v>
      </c>
      <c r="B12" s="7" t="s">
        <v>973</v>
      </c>
      <c r="C12" s="7" t="s">
        <v>974</v>
      </c>
      <c r="D12" s="7" t="s">
        <v>975</v>
      </c>
      <c r="E12" s="8" t="s">
        <v>1292</v>
      </c>
      <c r="F12" s="7" t="s">
        <v>59</v>
      </c>
      <c r="G12" s="20" t="s">
        <v>83</v>
      </c>
      <c r="H12" s="21" t="s">
        <v>80</v>
      </c>
      <c r="I12" s="20" t="s">
        <v>80</v>
      </c>
      <c r="J12" s="22"/>
      <c r="K12" s="20" t="s">
        <v>411</v>
      </c>
      <c r="L12" s="20" t="s">
        <v>126</v>
      </c>
      <c r="M12" s="20" t="s">
        <v>209</v>
      </c>
      <c r="N12" s="22"/>
      <c r="O12" s="9" t="str">
        <f>"480,0"</f>
        <v>480,0</v>
      </c>
      <c r="P12" s="9" t="str">
        <f>"299,7120"</f>
        <v>299,7120</v>
      </c>
      <c r="Q12" s="7" t="s">
        <v>257</v>
      </c>
    </row>
    <row r="14" spans="1:17" ht="16">
      <c r="A14" s="81" t="s">
        <v>190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7">
      <c r="A15" s="22" t="s">
        <v>39</v>
      </c>
      <c r="B15" s="7" t="s">
        <v>646</v>
      </c>
      <c r="C15" s="7" t="s">
        <v>1170</v>
      </c>
      <c r="D15" s="7" t="s">
        <v>647</v>
      </c>
      <c r="E15" s="8" t="s">
        <v>1295</v>
      </c>
      <c r="F15" s="7" t="s">
        <v>648</v>
      </c>
      <c r="G15" s="21" t="s">
        <v>187</v>
      </c>
      <c r="H15" s="21" t="s">
        <v>110</v>
      </c>
      <c r="I15" s="20" t="s">
        <v>110</v>
      </c>
      <c r="J15" s="22"/>
      <c r="K15" s="21" t="s">
        <v>90</v>
      </c>
      <c r="L15" s="20" t="s">
        <v>15</v>
      </c>
      <c r="M15" s="21" t="s">
        <v>131</v>
      </c>
      <c r="N15" s="22"/>
      <c r="O15" s="9" t="str">
        <f>"390,0"</f>
        <v>390,0</v>
      </c>
      <c r="P15" s="9" t="str">
        <f>"233,8374"</f>
        <v>233,8374</v>
      </c>
      <c r="Q15" s="7" t="s">
        <v>649</v>
      </c>
    </row>
    <row r="17" spans="1:17" ht="16">
      <c r="A17" s="81" t="s">
        <v>22</v>
      </c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7">
      <c r="A18" s="22" t="s">
        <v>39</v>
      </c>
      <c r="B18" s="7" t="s">
        <v>205</v>
      </c>
      <c r="C18" s="7" t="s">
        <v>206</v>
      </c>
      <c r="D18" s="7" t="s">
        <v>207</v>
      </c>
      <c r="E18" s="8" t="s">
        <v>1292</v>
      </c>
      <c r="F18" s="7" t="s">
        <v>208</v>
      </c>
      <c r="G18" s="20" t="s">
        <v>85</v>
      </c>
      <c r="H18" s="20" t="s">
        <v>210</v>
      </c>
      <c r="I18" s="21" t="s">
        <v>90</v>
      </c>
      <c r="J18" s="22"/>
      <c r="K18" s="20" t="s">
        <v>132</v>
      </c>
      <c r="L18" s="21" t="s">
        <v>211</v>
      </c>
      <c r="M18" s="21" t="s">
        <v>119</v>
      </c>
      <c r="N18" s="22"/>
      <c r="O18" s="9" t="str">
        <f>"522,5"</f>
        <v>522,5</v>
      </c>
      <c r="P18" s="9" t="str">
        <f>"301,0645"</f>
        <v>301,0645</v>
      </c>
      <c r="Q18" s="7" t="s">
        <v>212</v>
      </c>
    </row>
  </sheetData>
  <mergeCells count="17">
    <mergeCell ref="A8:N8"/>
    <mergeCell ref="A11:N11"/>
    <mergeCell ref="A14:N14"/>
    <mergeCell ref="A17:N17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F9552-B305-4924-B7A9-854B914A34AE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6" bestFit="1" customWidth="1"/>
    <col min="16" max="16" width="8.5" style="6" bestFit="1" customWidth="1"/>
    <col min="17" max="17" width="19" style="5" customWidth="1"/>
    <col min="18" max="16384" width="9.1640625" style="3"/>
  </cols>
  <sheetData>
    <row r="1" spans="1:17" s="2" customFormat="1" ht="29" customHeight="1">
      <c r="A1" s="68" t="s">
        <v>1254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7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8</v>
      </c>
      <c r="H3" s="80"/>
      <c r="I3" s="80"/>
      <c r="J3" s="80"/>
      <c r="K3" s="80" t="s">
        <v>9</v>
      </c>
      <c r="L3" s="80"/>
      <c r="M3" s="80"/>
      <c r="N3" s="80"/>
      <c r="O3" s="62" t="s">
        <v>1</v>
      </c>
      <c r="P3" s="62" t="s">
        <v>3</v>
      </c>
      <c r="Q3" s="64" t="s">
        <v>2</v>
      </c>
    </row>
    <row r="4" spans="1:17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3"/>
      <c r="P4" s="63"/>
      <c r="Q4" s="65"/>
    </row>
    <row r="5" spans="1:17" ht="16">
      <c r="A5" s="66" t="s">
        <v>67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22" t="s">
        <v>39</v>
      </c>
      <c r="B6" s="7" t="s">
        <v>994</v>
      </c>
      <c r="C6" s="7" t="s">
        <v>995</v>
      </c>
      <c r="D6" s="7" t="s">
        <v>996</v>
      </c>
      <c r="E6" s="8" t="s">
        <v>1292</v>
      </c>
      <c r="F6" s="7" t="s">
        <v>997</v>
      </c>
      <c r="G6" s="21" t="s">
        <v>102</v>
      </c>
      <c r="H6" s="21" t="s">
        <v>102</v>
      </c>
      <c r="I6" s="20" t="s">
        <v>102</v>
      </c>
      <c r="J6" s="22"/>
      <c r="K6" s="20" t="s">
        <v>80</v>
      </c>
      <c r="L6" s="20" t="s">
        <v>84</v>
      </c>
      <c r="M6" s="21" t="s">
        <v>85</v>
      </c>
      <c r="N6" s="22"/>
      <c r="O6" s="9" t="str">
        <f>"325,0"</f>
        <v>325,0</v>
      </c>
      <c r="P6" s="9" t="str">
        <f>"236,0800"</f>
        <v>236,0800</v>
      </c>
      <c r="Q6" s="7" t="s">
        <v>998</v>
      </c>
    </row>
    <row r="8" spans="1:17" ht="16">
      <c r="A8" s="81" t="s">
        <v>22</v>
      </c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7">
      <c r="A9" s="22" t="s">
        <v>39</v>
      </c>
      <c r="B9" s="7" t="s">
        <v>23</v>
      </c>
      <c r="C9" s="7" t="s">
        <v>24</v>
      </c>
      <c r="D9" s="7" t="s">
        <v>25</v>
      </c>
      <c r="E9" s="8" t="s">
        <v>1292</v>
      </c>
      <c r="F9" s="7" t="s">
        <v>26</v>
      </c>
      <c r="G9" s="20" t="s">
        <v>20</v>
      </c>
      <c r="H9" s="20" t="s">
        <v>503</v>
      </c>
      <c r="I9" s="20" t="s">
        <v>508</v>
      </c>
      <c r="J9" s="22"/>
      <c r="K9" s="20" t="s">
        <v>28</v>
      </c>
      <c r="L9" s="20" t="s">
        <v>119</v>
      </c>
      <c r="M9" s="21" t="s">
        <v>492</v>
      </c>
      <c r="N9" s="22"/>
      <c r="O9" s="9" t="str">
        <f>"587,5"</f>
        <v>587,5</v>
      </c>
      <c r="P9" s="9" t="str">
        <f>"335,4038"</f>
        <v>335,4038</v>
      </c>
      <c r="Q9" s="7" t="s">
        <v>29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B964-D8C5-4E12-B238-416F842E960A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28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68" t="s">
        <v>1255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1287</v>
      </c>
      <c r="B3" s="83" t="s">
        <v>0</v>
      </c>
      <c r="C3" s="78" t="s">
        <v>1289</v>
      </c>
      <c r="D3" s="78" t="s">
        <v>6</v>
      </c>
      <c r="E3" s="62" t="s">
        <v>1290</v>
      </c>
      <c r="F3" s="80" t="s">
        <v>5</v>
      </c>
      <c r="G3" s="80" t="s">
        <v>7</v>
      </c>
      <c r="H3" s="80"/>
      <c r="I3" s="80"/>
      <c r="J3" s="80"/>
      <c r="K3" s="62" t="s">
        <v>666</v>
      </c>
      <c r="L3" s="62" t="s">
        <v>3</v>
      </c>
      <c r="M3" s="64" t="s">
        <v>2</v>
      </c>
    </row>
    <row r="4" spans="1:13" s="1" customFormat="1" ht="21" customHeight="1" thickBot="1">
      <c r="A4" s="77"/>
      <c r="B4" s="84"/>
      <c r="C4" s="79"/>
      <c r="D4" s="79"/>
      <c r="E4" s="63"/>
      <c r="F4" s="79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262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40</v>
      </c>
      <c r="B6" s="7" t="s">
        <v>263</v>
      </c>
      <c r="C6" s="7" t="s">
        <v>1141</v>
      </c>
      <c r="D6" s="7" t="s">
        <v>264</v>
      </c>
      <c r="E6" s="8" t="s">
        <v>1293</v>
      </c>
      <c r="F6" s="7" t="s">
        <v>14</v>
      </c>
      <c r="G6" s="21" t="s">
        <v>246</v>
      </c>
      <c r="H6" s="21" t="s">
        <v>246</v>
      </c>
      <c r="I6" s="21" t="s">
        <v>246</v>
      </c>
      <c r="J6" s="22"/>
      <c r="K6" s="41">
        <v>0</v>
      </c>
      <c r="L6" s="9" t="str">
        <f>"0,0000"</f>
        <v>0,0000</v>
      </c>
      <c r="M6" s="7" t="s">
        <v>1236</v>
      </c>
    </row>
    <row r="8" spans="1:13" ht="16">
      <c r="A8" s="81" t="s">
        <v>67</v>
      </c>
      <c r="B8" s="81"/>
      <c r="C8" s="82"/>
      <c r="D8" s="82"/>
      <c r="E8" s="82"/>
      <c r="F8" s="82"/>
      <c r="G8" s="82"/>
      <c r="H8" s="82"/>
      <c r="I8" s="82"/>
      <c r="J8" s="82"/>
    </row>
    <row r="9" spans="1:13">
      <c r="A9" s="22" t="s">
        <v>39</v>
      </c>
      <c r="B9" s="7" t="s">
        <v>341</v>
      </c>
      <c r="C9" s="7" t="s">
        <v>342</v>
      </c>
      <c r="D9" s="7" t="s">
        <v>343</v>
      </c>
      <c r="E9" s="8" t="s">
        <v>1292</v>
      </c>
      <c r="F9" s="7" t="s">
        <v>97</v>
      </c>
      <c r="G9" s="21" t="s">
        <v>72</v>
      </c>
      <c r="H9" s="21" t="s">
        <v>286</v>
      </c>
      <c r="I9" s="20" t="s">
        <v>286</v>
      </c>
      <c r="J9" s="22"/>
      <c r="K9" s="9" t="str">
        <f>"127,5"</f>
        <v>127,5</v>
      </c>
      <c r="L9" s="9" t="str">
        <f>"122,5658"</f>
        <v>122,5658</v>
      </c>
      <c r="M9" s="7" t="s">
        <v>261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ПЛ однослой</vt:lpstr>
      <vt:lpstr>IPL Двоеборье без экип ДК</vt:lpstr>
      <vt:lpstr>IPL Двоеборье без экип</vt:lpstr>
      <vt:lpstr>IPL Двоеборье экип</vt:lpstr>
      <vt:lpstr>IPL Присед без экипировки ДК</vt:lpstr>
      <vt:lpstr>IPL Присед без экипировки</vt:lpstr>
      <vt:lpstr>IPL Присед в бинтах ДК</vt:lpstr>
      <vt:lpstr>IPL Присед в бинтах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IPL Жим многослой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IPL Тяга без экипировки ДК</vt:lpstr>
      <vt:lpstr>IPL Тяга без экипировки</vt:lpstr>
      <vt:lpstr>IPL Тяга однослой ДК</vt:lpstr>
      <vt:lpstr>СПР Пауэрспорт ДК</vt:lpstr>
      <vt:lpstr>СПР Пауэрспорт</vt:lpstr>
      <vt:lpstr>СПР Жим стоя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2022-06-28T17:49:02Z</dcterms:modified>
</cp:coreProperties>
</file>