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1A27CC82-C616-7A4E-A19C-5C984CF452DB}" xr6:coauthVersionLast="45" xr6:coauthVersionMax="45" xr10:uidLastSave="{00000000-0000-0000-0000-000000000000}"/>
  <bookViews>
    <workbookView xWindow="480" yWindow="460" windowWidth="28060" windowHeight="15460" firstSheet="11" activeTab="17" xr2:uid="{00000000-000D-0000-FFFF-FFFF00000000}"/>
  </bookViews>
  <sheets>
    <sheet name="WRPF ПЛ без экипировки ДК" sheetId="10" r:id="rId1"/>
    <sheet name="WRPF ПЛ без экипировки" sheetId="9" r:id="rId2"/>
    <sheet name="WRPF Двоеборье без экип ДК" sheetId="28" r:id="rId3"/>
    <sheet name="WRPF Жим лежа без экип ДК" sheetId="15" r:id="rId4"/>
    <sheet name="WRPF Жим лежа без экип" sheetId="14" r:id="rId5"/>
    <sheet name="WEPF Жим софт однопетельная ДК" sheetId="16" r:id="rId6"/>
    <sheet name="WEPF Жим софт однопетельная" sheetId="13" r:id="rId7"/>
    <sheet name="WEPF Жим софт многопетельная" sheetId="19" r:id="rId8"/>
    <sheet name="WRPF Тяга без экипировки ДК" sheetId="24" r:id="rId9"/>
    <sheet name="WRPF Тяга без экипировки" sheetId="23" r:id="rId10"/>
    <sheet name="WEPF Тяга экип" sheetId="25" r:id="rId11"/>
    <sheet name="СПР Пауэрспорт ДК" sheetId="42" r:id="rId12"/>
    <sheet name="СПР Пауэрспорт" sheetId="41" r:id="rId13"/>
    <sheet name="СПР Жим стоя ДК" sheetId="38" r:id="rId14"/>
    <sheet name="СПР Жим стоя" sheetId="37" r:id="rId15"/>
    <sheet name="СПР Подъем на бицепс ДК" sheetId="40" r:id="rId16"/>
    <sheet name="WRPF Подъем на бицепс ДК" sheetId="36" r:id="rId17"/>
    <sheet name="WRPF Подъем на бицепс" sheetId="35" r:id="rId1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5" l="1"/>
  <c r="K28" i="15"/>
  <c r="P9" i="42"/>
  <c r="O9" i="42"/>
  <c r="P6" i="42"/>
  <c r="O6" i="42"/>
  <c r="P6" i="41"/>
  <c r="O6" i="41"/>
  <c r="L18" i="40"/>
  <c r="L15" i="40"/>
  <c r="K15" i="40"/>
  <c r="L12" i="40"/>
  <c r="K12" i="40"/>
  <c r="L9" i="40"/>
  <c r="K9" i="40"/>
  <c r="L6" i="40"/>
  <c r="K6" i="40"/>
  <c r="L6" i="38"/>
  <c r="K6" i="38"/>
  <c r="L6" i="37"/>
  <c r="K6" i="37"/>
  <c r="L13" i="36"/>
  <c r="K13" i="36"/>
  <c r="L12" i="36"/>
  <c r="K12" i="36"/>
  <c r="L11" i="36"/>
  <c r="K11" i="36"/>
  <c r="L10" i="36"/>
  <c r="K10" i="36"/>
  <c r="L7" i="36"/>
  <c r="K7" i="36"/>
  <c r="L6" i="36"/>
  <c r="K6" i="36"/>
  <c r="L12" i="35"/>
  <c r="K12" i="35"/>
  <c r="L9" i="35"/>
  <c r="K9" i="35"/>
  <c r="L6" i="35"/>
  <c r="K6" i="35"/>
  <c r="P10" i="28"/>
  <c r="O10" i="28"/>
  <c r="P7" i="28"/>
  <c r="O7" i="28"/>
  <c r="P6" i="28"/>
  <c r="O6" i="28"/>
  <c r="L6" i="25"/>
  <c r="K6" i="25"/>
  <c r="L23" i="24"/>
  <c r="K23" i="24"/>
  <c r="L20" i="24"/>
  <c r="K20" i="24"/>
  <c r="L19" i="24"/>
  <c r="K19" i="24"/>
  <c r="L16" i="24"/>
  <c r="L13" i="24"/>
  <c r="K13" i="24"/>
  <c r="L10" i="24"/>
  <c r="K10" i="24"/>
  <c r="L9" i="24"/>
  <c r="K9" i="24"/>
  <c r="L6" i="24"/>
  <c r="K6" i="24"/>
  <c r="L12" i="23"/>
  <c r="K12" i="23"/>
  <c r="L9" i="23"/>
  <c r="K9" i="23"/>
  <c r="L6" i="23"/>
  <c r="K6" i="23"/>
  <c r="L7" i="19"/>
  <c r="K7" i="19"/>
  <c r="L6" i="19"/>
  <c r="K6" i="19"/>
  <c r="L6" i="16"/>
  <c r="K6" i="16"/>
  <c r="L31" i="15"/>
  <c r="K31" i="15"/>
  <c r="L25" i="15"/>
  <c r="K25" i="15"/>
  <c r="L24" i="15"/>
  <c r="K24" i="15"/>
  <c r="L23" i="15"/>
  <c r="K23" i="15"/>
  <c r="L20" i="15"/>
  <c r="K20" i="15"/>
  <c r="L19" i="15"/>
  <c r="K19" i="15"/>
  <c r="L18" i="15"/>
  <c r="K18" i="15"/>
  <c r="L17" i="15"/>
  <c r="K17" i="15"/>
  <c r="L16" i="15"/>
  <c r="K16" i="15"/>
  <c r="L13" i="15"/>
  <c r="K13" i="15"/>
  <c r="L12" i="15"/>
  <c r="K12" i="15"/>
  <c r="L9" i="15"/>
  <c r="K9" i="15"/>
  <c r="L6" i="15"/>
  <c r="K6" i="15"/>
  <c r="L17" i="14"/>
  <c r="K17" i="14"/>
  <c r="L16" i="14"/>
  <c r="K16" i="14"/>
  <c r="L13" i="14"/>
  <c r="L10" i="14"/>
  <c r="K10" i="14"/>
  <c r="L9" i="14"/>
  <c r="K9" i="14"/>
  <c r="L6" i="14"/>
  <c r="K6" i="14"/>
  <c r="L8" i="13"/>
  <c r="K8" i="13"/>
  <c r="L7" i="13"/>
  <c r="L6" i="13"/>
  <c r="K6" i="13"/>
  <c r="T31" i="10"/>
  <c r="S31" i="10"/>
  <c r="T28" i="10"/>
  <c r="S28" i="10"/>
  <c r="T25" i="10"/>
  <c r="S25" i="10"/>
  <c r="T22" i="10"/>
  <c r="S22" i="10"/>
  <c r="T21" i="10"/>
  <c r="S21" i="10"/>
  <c r="T18" i="10"/>
  <c r="S18" i="10"/>
  <c r="T17" i="10"/>
  <c r="S17" i="10"/>
  <c r="T14" i="10"/>
  <c r="S14" i="10"/>
  <c r="T11" i="10"/>
  <c r="S11" i="10"/>
  <c r="T10" i="10"/>
  <c r="S10" i="10"/>
  <c r="T7" i="10"/>
  <c r="S7" i="10"/>
  <c r="T6" i="10"/>
  <c r="S6" i="10"/>
  <c r="T12" i="9"/>
  <c r="S12" i="9"/>
  <c r="T9" i="9"/>
  <c r="S9" i="9"/>
  <c r="T6" i="9"/>
  <c r="S6" i="9"/>
</calcChain>
</file>

<file path=xl/sharedStrings.xml><?xml version="1.0" encoding="utf-8"?>
<sst xmlns="http://schemas.openxmlformats.org/spreadsheetml/2006/main" count="1019" uniqueCount="365">
  <si>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</si>
  <si>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</si>
  <si>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</si>
  <si>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</si>
  <si>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</si>
  <si>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</si>
  <si>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</si>
  <si>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</si>
  <si>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</si>
  <si>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</si>
  <si>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</si>
  <si>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67.5</t>
  </si>
  <si>
    <t>Фатеева Дарья</t>
  </si>
  <si>
    <t>Открытая (22.06.1994)/27</t>
  </si>
  <si>
    <t>62,80</t>
  </si>
  <si>
    <t xml:space="preserve">Мценск/Орловская область </t>
  </si>
  <si>
    <t>70,0</t>
  </si>
  <si>
    <t>77,5</t>
  </si>
  <si>
    <t>37,5</t>
  </si>
  <si>
    <t>40,0</t>
  </si>
  <si>
    <t>75,0</t>
  </si>
  <si>
    <t>80,0</t>
  </si>
  <si>
    <t>ВЕСОВАЯ КАТЕГОРИЯ   90</t>
  </si>
  <si>
    <t>Илясов Дмитрий</t>
  </si>
  <si>
    <t>Открытая (15.01.1999)/23</t>
  </si>
  <si>
    <t>85,60</t>
  </si>
  <si>
    <t>200,0</t>
  </si>
  <si>
    <t>220,0</t>
  </si>
  <si>
    <t>235,0</t>
  </si>
  <si>
    <t>150,0</t>
  </si>
  <si>
    <t>155,0</t>
  </si>
  <si>
    <t>160,0</t>
  </si>
  <si>
    <t>260,0</t>
  </si>
  <si>
    <t>280,0</t>
  </si>
  <si>
    <t>300,0</t>
  </si>
  <si>
    <t xml:space="preserve">Илясов А. </t>
  </si>
  <si>
    <t>ВЕСОВАЯ КАТЕГОРИЯ   110</t>
  </si>
  <si>
    <t>Цунин Сергей</t>
  </si>
  <si>
    <t>Открытая (31.10.1992)/29</t>
  </si>
  <si>
    <t>108,10</t>
  </si>
  <si>
    <t xml:space="preserve">Орёл/Орловская область </t>
  </si>
  <si>
    <t>190,0</t>
  </si>
  <si>
    <t>145,0</t>
  </si>
  <si>
    <t>250,0</t>
  </si>
  <si>
    <t>270,0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</si>
  <si>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</si>
  <si>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</si>
  <si>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</si>
  <si>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</si>
  <si>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ВЕСОВАЯ КАТЕГОРИЯ   52</t>
  </si>
  <si>
    <t>Полойникова Вера</t>
  </si>
  <si>
    <t>Открытая (20.05.1986)/36</t>
  </si>
  <si>
    <t>52,00</t>
  </si>
  <si>
    <t xml:space="preserve">Москва </t>
  </si>
  <si>
    <t>90,0</t>
  </si>
  <si>
    <t>95,0</t>
  </si>
  <si>
    <t>100,0</t>
  </si>
  <si>
    <t>50,0</t>
  </si>
  <si>
    <t>52,5</t>
  </si>
  <si>
    <t>110,0</t>
  </si>
  <si>
    <t>117,5</t>
  </si>
  <si>
    <t>122,5</t>
  </si>
  <si>
    <t>Казанцева Оксана</t>
  </si>
  <si>
    <t>Открытая (05.09.1987)/34</t>
  </si>
  <si>
    <t>51,20</t>
  </si>
  <si>
    <t xml:space="preserve">Серпухов/Московская область </t>
  </si>
  <si>
    <t>87,5</t>
  </si>
  <si>
    <t>45,0</t>
  </si>
  <si>
    <t>47,5</t>
  </si>
  <si>
    <t>105,0</t>
  </si>
  <si>
    <t>115,0</t>
  </si>
  <si>
    <t>ВЕСОВАЯ КАТЕГОРИЯ   56</t>
  </si>
  <si>
    <t>Александрова Софья</t>
  </si>
  <si>
    <t>Девушки 14-16 (09.06.2005)/16</t>
  </si>
  <si>
    <t>53,90</t>
  </si>
  <si>
    <t>30,0</t>
  </si>
  <si>
    <t>35,0</t>
  </si>
  <si>
    <t>60,0</t>
  </si>
  <si>
    <t>65,0</t>
  </si>
  <si>
    <t>Щукина Светлана</t>
  </si>
  <si>
    <t>Открытая (20.10.1990)/31</t>
  </si>
  <si>
    <t>55,80</t>
  </si>
  <si>
    <t>85,0</t>
  </si>
  <si>
    <t>92,5</t>
  </si>
  <si>
    <t>42,5</t>
  </si>
  <si>
    <t>120,0</t>
  </si>
  <si>
    <t>ВЕСОВАЯ КАТЕГОРИЯ   60</t>
  </si>
  <si>
    <t>Докукина Татьяна</t>
  </si>
  <si>
    <t>Открытая (17.04.1986)/36</t>
  </si>
  <si>
    <t>59,60</t>
  </si>
  <si>
    <t>55,0</t>
  </si>
  <si>
    <t>62,5</t>
  </si>
  <si>
    <t>132,5</t>
  </si>
  <si>
    <t>135,0</t>
  </si>
  <si>
    <t>ВЕСОВАЯ КАТЕГОРИЯ   75</t>
  </si>
  <si>
    <t>Кочнев Валерий</t>
  </si>
  <si>
    <t>Юноши 17-19 (24.08.2002)/19</t>
  </si>
  <si>
    <t>74,40</t>
  </si>
  <si>
    <t xml:space="preserve">Ярославль/Ярославская область </t>
  </si>
  <si>
    <t>170,0</t>
  </si>
  <si>
    <t>175,0</t>
  </si>
  <si>
    <t>180,0</t>
  </si>
  <si>
    <t>185,0</t>
  </si>
  <si>
    <t>Терещенко Александр</t>
  </si>
  <si>
    <t>Открытая (13.01.1991)/31</t>
  </si>
  <si>
    <t>71,40</t>
  </si>
  <si>
    <t>130,0</t>
  </si>
  <si>
    <t>140,0</t>
  </si>
  <si>
    <t>ВЕСОВАЯ КАТЕГОРИЯ   82.5</t>
  </si>
  <si>
    <t>Азизян Дмитрий</t>
  </si>
  <si>
    <t>Юниоры (12.01.2000)/22</t>
  </si>
  <si>
    <t>81,20</t>
  </si>
  <si>
    <t xml:space="preserve">Звенигород/Московская область </t>
  </si>
  <si>
    <t>165,0</t>
  </si>
  <si>
    <t>Назаров Владимир</t>
  </si>
  <si>
    <t>Открытая (25.01.1988)/34</t>
  </si>
  <si>
    <t>79,20</t>
  </si>
  <si>
    <t>112,5</t>
  </si>
  <si>
    <t xml:space="preserve">Прокопьев А. </t>
  </si>
  <si>
    <t>Блюдов Ярослав</t>
  </si>
  <si>
    <t>Юноши 14-16 (21.06.2008)/13</t>
  </si>
  <si>
    <t>89,30</t>
  </si>
  <si>
    <t xml:space="preserve">Дмитров/Московская область </t>
  </si>
  <si>
    <t>ВЕСОВАЯ КАТЕГОРИЯ   100</t>
  </si>
  <si>
    <t>Назаров Антон</t>
  </si>
  <si>
    <t>Мастера 40-49 (05.12.1981)/40</t>
  </si>
  <si>
    <t>97,70</t>
  </si>
  <si>
    <t>225,0</t>
  </si>
  <si>
    <t>Левенец Евгений</t>
  </si>
  <si>
    <t>Открытая (01.01.1992)/30</t>
  </si>
  <si>
    <t>103,20</t>
  </si>
  <si>
    <t>195,0</t>
  </si>
  <si>
    <t>205,0</t>
  </si>
  <si>
    <t>147,5</t>
  </si>
  <si>
    <t>215,0</t>
  </si>
  <si>
    <t>240,0</t>
  </si>
  <si>
    <t>Черняев Владимир</t>
  </si>
  <si>
    <t>Открытая (21.12.1988)/33</t>
  </si>
  <si>
    <t>103,50</t>
  </si>
  <si>
    <t>Шлепин Олег</t>
  </si>
  <si>
    <t>Открытая (03.06.1975)/47</t>
  </si>
  <si>
    <t>108,00</t>
  </si>
  <si>
    <t>265,0</t>
  </si>
  <si>
    <t>Харыбин Денис</t>
  </si>
  <si>
    <t>Мастера 40-49 (12.07.1980)/41</t>
  </si>
  <si>
    <t>102,10</t>
  </si>
  <si>
    <t xml:space="preserve">Грудев А. </t>
  </si>
  <si>
    <t xml:space="preserve">Результат </t>
  </si>
  <si>
    <t>Результат</t>
  </si>
  <si>
    <t>-</t>
  </si>
  <si>
    <t>Макаров Игорь</t>
  </si>
  <si>
    <t>Мастера 40-49 (25.04.1982)/40</t>
  </si>
  <si>
    <t>80,70</t>
  </si>
  <si>
    <t>Воронин Кирилл</t>
  </si>
  <si>
    <t>Открытая (22.04.1988)/34</t>
  </si>
  <si>
    <t>87,50</t>
  </si>
  <si>
    <t xml:space="preserve">Подольск/Московская область </t>
  </si>
  <si>
    <t>Палухин Денис</t>
  </si>
  <si>
    <t>Открытая (06.04.1987)/35</t>
  </si>
  <si>
    <t>87,60</t>
  </si>
  <si>
    <t>152,5</t>
  </si>
  <si>
    <t>Панчев Антон</t>
  </si>
  <si>
    <t>Открытая (05.10.1987)/34</t>
  </si>
  <si>
    <t>98,80</t>
  </si>
  <si>
    <t xml:space="preserve">Москвы/Москва </t>
  </si>
  <si>
    <t>177,5</t>
  </si>
  <si>
    <t>172,5</t>
  </si>
  <si>
    <t>Невитов Евгений</t>
  </si>
  <si>
    <t>Открытая (25.03.1984)/38</t>
  </si>
  <si>
    <t xml:space="preserve">Мытищи/Московская область </t>
  </si>
  <si>
    <t>ВЕСОВАЯ КАТЕГОРИЯ   48</t>
  </si>
  <si>
    <t>Мироненко Анастасия</t>
  </si>
  <si>
    <t>Юниорки (10.06.1999)/22</t>
  </si>
  <si>
    <t>45,80</t>
  </si>
  <si>
    <t xml:space="preserve">Тула/Тульская область </t>
  </si>
  <si>
    <t>Юлдашбаев Мурат</t>
  </si>
  <si>
    <t>Юноши 17-19 (15.09.2002)/19</t>
  </si>
  <si>
    <t>62,90</t>
  </si>
  <si>
    <t>Лебедик Павел</t>
  </si>
  <si>
    <t>Юниоры (04.08.2000)/21</t>
  </si>
  <si>
    <t>71,90</t>
  </si>
  <si>
    <t>125,0</t>
  </si>
  <si>
    <t>Яровой Евгений</t>
  </si>
  <si>
    <t>Открытая (01.12.1986)/35</t>
  </si>
  <si>
    <t>73,90</t>
  </si>
  <si>
    <t>Шилов Владислав</t>
  </si>
  <si>
    <t>Открытая (19.04.1994)/28</t>
  </si>
  <si>
    <t>88,70</t>
  </si>
  <si>
    <t xml:space="preserve">Алексин/Тульская область </t>
  </si>
  <si>
    <t>157,5</t>
  </si>
  <si>
    <t>162,5</t>
  </si>
  <si>
    <t>Аникин Антон</t>
  </si>
  <si>
    <t>Открытая (18.10.1993)/28</t>
  </si>
  <si>
    <t>89,80</t>
  </si>
  <si>
    <t>Лабутин Валерий</t>
  </si>
  <si>
    <t>Открытая (23.12.1979)/42</t>
  </si>
  <si>
    <t>89,60</t>
  </si>
  <si>
    <t xml:space="preserve">Тверь/Тверская область </t>
  </si>
  <si>
    <t>Санкин Сергей</t>
  </si>
  <si>
    <t>Открытая (23.03.1989)/33</t>
  </si>
  <si>
    <t>87,40</t>
  </si>
  <si>
    <t xml:space="preserve">Киреевск/Тульская область </t>
  </si>
  <si>
    <t>Мастера 40-49 (23.12.1979)/42</t>
  </si>
  <si>
    <t>Якунин Алексей</t>
  </si>
  <si>
    <t>Открытая (25.02.1993)/29</t>
  </si>
  <si>
    <t>93,10</t>
  </si>
  <si>
    <t xml:space="preserve">Дедовск/Московская область </t>
  </si>
  <si>
    <t>Калинин Евгений</t>
  </si>
  <si>
    <t>Открытая (09.04.1994)/28</t>
  </si>
  <si>
    <t>95,50</t>
  </si>
  <si>
    <t>Ямщиков Вячеслав</t>
  </si>
  <si>
    <t>Мастера 50-59 (05.09.1964)/57</t>
  </si>
  <si>
    <t>92,50</t>
  </si>
  <si>
    <t>142,5</t>
  </si>
  <si>
    <t>ВЕСОВАЯ КАТЕГОРИЯ   125</t>
  </si>
  <si>
    <t>Усков Георгий</t>
  </si>
  <si>
    <t>Открытая (16.09.1983)/38</t>
  </si>
  <si>
    <t>120,50</t>
  </si>
  <si>
    <t>Козловский Юрий</t>
  </si>
  <si>
    <t>Открытая (06.03.1993)/29</t>
  </si>
  <si>
    <t>108,20</t>
  </si>
  <si>
    <t xml:space="preserve">Красногорск/Московская область </t>
  </si>
  <si>
    <t>285,0</t>
  </si>
  <si>
    <t>290,0</t>
  </si>
  <si>
    <t>Мастера 40-49 (03.06.1975)/47</t>
  </si>
  <si>
    <t>Юниоры (15.01.1999)/23</t>
  </si>
  <si>
    <t>Илясов Антон</t>
  </si>
  <si>
    <t>Открытая (25.11.1988)/33</t>
  </si>
  <si>
    <t>114,80</t>
  </si>
  <si>
    <t>305,0</t>
  </si>
  <si>
    <t>320,0</t>
  </si>
  <si>
    <t>Репринцева Екатерина</t>
  </si>
  <si>
    <t>Открытая (24.04.1992)/30</t>
  </si>
  <si>
    <t>58,70</t>
  </si>
  <si>
    <t xml:space="preserve">Лобня/Московская область </t>
  </si>
  <si>
    <t>102,5</t>
  </si>
  <si>
    <t>Реук Виталий</t>
  </si>
  <si>
    <t>Юниоры (06.05.1999)/23</t>
  </si>
  <si>
    <t>73,10</t>
  </si>
  <si>
    <t xml:space="preserve">Брянск/Брянская область </t>
  </si>
  <si>
    <t>182,5</t>
  </si>
  <si>
    <t>Чаптыков Андрей</t>
  </si>
  <si>
    <t>Открытая (29.11.1995)/26</t>
  </si>
  <si>
    <t>72,00</t>
  </si>
  <si>
    <t>207,5</t>
  </si>
  <si>
    <t>Сошенко Юрий</t>
  </si>
  <si>
    <t>Открытая (29.03.1990)/32</t>
  </si>
  <si>
    <t>82,50</t>
  </si>
  <si>
    <t>Троицкий Артем</t>
  </si>
  <si>
    <t>Открытая (17.12.2000)/21</t>
  </si>
  <si>
    <t>88,20</t>
  </si>
  <si>
    <t>210,0</t>
  </si>
  <si>
    <t>230,0</t>
  </si>
  <si>
    <t xml:space="preserve">Крылов В. </t>
  </si>
  <si>
    <t>Иванчев Дмитрий</t>
  </si>
  <si>
    <t>Открытая (20.09.1981)/40</t>
  </si>
  <si>
    <t>100,00</t>
  </si>
  <si>
    <t>275,0</t>
  </si>
  <si>
    <t>Амиров Олег</t>
  </si>
  <si>
    <t>Мастера 40-49 (19.02.1975)/47</t>
  </si>
  <si>
    <t>96,30</t>
  </si>
  <si>
    <t>Малахов Алексей</t>
  </si>
  <si>
    <t>Открытая (01.07.1995)/26</t>
  </si>
  <si>
    <t>Емельянов Алексей</t>
  </si>
  <si>
    <t>Открытая (25.02.1983)/39</t>
  </si>
  <si>
    <t>78,00</t>
  </si>
  <si>
    <t>255,0</t>
  </si>
  <si>
    <t xml:space="preserve">Длужневский С. </t>
  </si>
  <si>
    <t>Добрый Иван</t>
  </si>
  <si>
    <t>Открытая (08.05.1996)/26</t>
  </si>
  <si>
    <t>73,60</t>
  </si>
  <si>
    <t>202,5</t>
  </si>
  <si>
    <t>Чупов Руслан</t>
  </si>
  <si>
    <t>Открытая (14.11.1991)/30</t>
  </si>
  <si>
    <t>74,00</t>
  </si>
  <si>
    <t>Макаров Михаил</t>
  </si>
  <si>
    <t>Мастера 50-59 (07.01.1969)/53</t>
  </si>
  <si>
    <t>89,90</t>
  </si>
  <si>
    <t xml:space="preserve">Аниканов А. </t>
  </si>
  <si>
    <t>Товстоног Максим</t>
  </si>
  <si>
    <t>Открытая (05.06.1983)/38</t>
  </si>
  <si>
    <t>77,50</t>
  </si>
  <si>
    <t>Суйнчханов Гаджимурад</t>
  </si>
  <si>
    <t>Открытая (23.01.1995)/27</t>
  </si>
  <si>
    <t>88,40</t>
  </si>
  <si>
    <t>ВЕСОВАЯ КАТЕГОРИЯ   140</t>
  </si>
  <si>
    <t>Жемаркин Дмитрий</t>
  </si>
  <si>
    <t>Открытая (29.01.1997)/25</t>
  </si>
  <si>
    <t>130,30</t>
  </si>
  <si>
    <t>107,5</t>
  </si>
  <si>
    <t>Чернов Александр</t>
  </si>
  <si>
    <t>Открытая (09.03.1992)/30</t>
  </si>
  <si>
    <t>Запевалов Сергей</t>
  </si>
  <si>
    <t>83,40</t>
  </si>
  <si>
    <t xml:space="preserve">Руза/Московская область </t>
  </si>
  <si>
    <t>Бобкин Роман</t>
  </si>
  <si>
    <t>Открытая (29.04.1990)/32</t>
  </si>
  <si>
    <t>99,20</t>
  </si>
  <si>
    <t>Михайлов Александр</t>
  </si>
  <si>
    <t>Открытая (28.06.1988)/33</t>
  </si>
  <si>
    <t>96,00</t>
  </si>
  <si>
    <t>67,5</t>
  </si>
  <si>
    <t>Финохин Алексей</t>
  </si>
  <si>
    <t>92,70</t>
  </si>
  <si>
    <t>Макаренко Алексей</t>
  </si>
  <si>
    <t>110,70</t>
  </si>
  <si>
    <t>82,5</t>
  </si>
  <si>
    <t>Грешняков Артём</t>
  </si>
  <si>
    <t>66,40</t>
  </si>
  <si>
    <t>81,00</t>
  </si>
  <si>
    <t>57,5</t>
  </si>
  <si>
    <t>Молостовкин Е.</t>
  </si>
  <si>
    <t>Васильев Л.</t>
  </si>
  <si>
    <t xml:space="preserve">Корельский О. </t>
  </si>
  <si>
    <t>Хомченко Андрей</t>
  </si>
  <si>
    <t>Грудев А.</t>
  </si>
  <si>
    <t xml:space="preserve">Желтенко Е. </t>
  </si>
  <si>
    <t>Артамонов Е.</t>
  </si>
  <si>
    <t>Гребнев Е.</t>
  </si>
  <si>
    <t>Казанцев С.</t>
  </si>
  <si>
    <t xml:space="preserve">Назарова Е. </t>
  </si>
  <si>
    <t>Открытый мастерский турнир и Чемпионат Московской области
WRPF Пауэрлифтинг без экипировки ДК
Серпухов/Московская область, 04 июня 2022 года</t>
  </si>
  <si>
    <t>Открытый мастерский турнир и Чемпионат Московской области
WRPF Пауэрлифтинг без экипировки
Серпухов/Московская область, 04 июня 2022 года</t>
  </si>
  <si>
    <t>Открытый мастерский турнир и Чемпионат Московской области
WRPF Силовое двоеборье без экипировки ДК
Серпухов/Московская область, 04 июня 2022 года</t>
  </si>
  <si>
    <t>Открытый мастерский турнир и Чемпионат Московской области
WRPF Жим лежа без экипировки ДК
Серпухов/Московская область, 04 июня 2022 года</t>
  </si>
  <si>
    <t>Открытый мастерский турнир и Чемпионат Московской области
WRPF Жим лежа без экипировки
Серпухов/Московская область, 04 июня 2022 года</t>
  </si>
  <si>
    <t>Открытый мастерский турнир и Чемпионат Московской области
WEPF Жим лежа в однопетельной софт экипировке ДК
Серпухов/Московская область, 04 июня 2022 года</t>
  </si>
  <si>
    <t>Открытый мастерский турнир и Чемпионат Московской области
WEPF Жим лежа в однопетельной софт экипировке
Серпухов/Московская область, 04 июня 2022 года</t>
  </si>
  <si>
    <t>Открытый мастерский турнир и Чемпионат Московской области
WEPF Жим лежа в многопетельной софт экипировке
Серпухов/Московская область, 04 июня 2022 года</t>
  </si>
  <si>
    <t>Открытый мастерский турнир и Чемпионат Московской области
WRPF Становая тяга без экипировки ДК
Серпухов/Московская область, 04 июня 2022 года</t>
  </si>
  <si>
    <t>Открытый мастерский турнир и Чемпионат Московской области
WRPF Становая тяга без экипировки
Серпухов/Московская область, 04 июня 2022 года</t>
  </si>
  <si>
    <t>Открытый мастерский турнир и Чемпионат Московской области
WEPF Становая тяга в экипировке
Серпухов/Московская область, 04 июня 2022 года</t>
  </si>
  <si>
    <t>Открытый мастерский турнир и Чемпионат Московской области
СПР Пауэрспорт ДК
Серпухов/Московская область, 04 июня 2022 года</t>
  </si>
  <si>
    <t>Открытый мастерский турнир и Чемпионат Московской области
СПР Пауэрспорт
Серпухов/Московская область, 04 июня 2022 года</t>
  </si>
  <si>
    <t>Открытый мастерский турнир и Чемпионат Московской области
СПР Жим штанги стоя ДК
Серпухов/Московская область, 04 июня 2022 года</t>
  </si>
  <si>
    <t>Открытый мастерский турнир и Чемпионат Московской области
СПР Жим штанги стоя
Серпухов/Московская область, 04 июня 2022 года</t>
  </si>
  <si>
    <t>Открытый мастерский турнир и Чемпионат Московской области
СПР Строгий подъем штанги на бицепс ДК
Серпухов/Московская область, 04 июня 2022 года</t>
  </si>
  <si>
    <t>Открытый мастерский турнир и Чемпионат Московской области
WRPF Строгий подъем штанги на бицепс ДК
Серпухов/Московская область, 04 июня 2022 года</t>
  </si>
  <si>
    <t>Открытый мастерский турнир и Чемпионат Московской области
WRPF Строгий подъем штанги на бицепс
Серпухов/Московская область, 04 июня 2022 года</t>
  </si>
  <si>
    <t>Самостоятельно</t>
  </si>
  <si>
    <t xml:space="preserve">Солнечногорск/Московская область </t>
  </si>
  <si>
    <t xml:space="preserve">Красногоск/Московская область </t>
  </si>
  <si>
    <t xml:space="preserve">Мисайлово/Московская область </t>
  </si>
  <si>
    <t>Мужчины</t>
  </si>
  <si>
    <t>Весовая категория</t>
  </si>
  <si>
    <t xml:space="preserve">Уфа/Республика Башкортостан </t>
  </si>
  <si>
    <t>Юноши 13-19 (15.09.2002)/19</t>
  </si>
  <si>
    <t>Мастера 40-49 (22.02.1981)/41</t>
  </si>
  <si>
    <t>Юноши 13-19 (03.11.2006)/15</t>
  </si>
  <si>
    <t>Юноши 13-19 (12.10.2005)/16</t>
  </si>
  <si>
    <t>Мастера 50-59 (20.02.1977)/45</t>
  </si>
  <si>
    <t>Мастера 40-49 (20.09.1981)/40</t>
  </si>
  <si>
    <t>Мастера 40-49 (20.02.1977)/45</t>
  </si>
  <si>
    <t>№</t>
  </si>
  <si>
    <t>Жим</t>
  </si>
  <si>
    <t>Тяга</t>
  </si>
  <si>
    <t xml:space="preserve">
Дата рождения/Возраст</t>
  </si>
  <si>
    <t>Возрастная группа</t>
  </si>
  <si>
    <t>O</t>
  </si>
  <si>
    <t>T1</t>
  </si>
  <si>
    <t>T2</t>
  </si>
  <si>
    <t>J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</si>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</sst>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31"/>
  <sheetViews>
    <sheetView workbookViewId="0">
      <selection activeCell="E32" sqref="E32"/>
    </sheetView>
  </sheetViews>
  <sheetFormatPr baseColWidth="10" defaultColWidth="8.83203125" defaultRowHeight="13"/>
  <cols>
    <col min="1" max="1" width="7.5" style="7" bestFit="1" customWidth="1"/>
    <col min="2" max="2" width="20.6640625" style="7" bestFit="1" customWidth="1"/>
    <col min="3" max="3" width="27.83203125" style="7" bestFit="1" customWidth="1"/>
    <col min="4" max="4" width="21.5" style="7" bestFit="1" customWidth="1"/>
    <col min="5" max="5" width="10.5" style="7" bestFit="1" customWidth="1"/>
    <col min="6" max="6" width="31.5" style="7" bestFit="1" customWidth="1"/>
    <col min="7" max="9" width="5.5" style="9" customWidth="1"/>
    <col min="10" max="10" width="4.83203125" style="9" customWidth="1"/>
    <col min="11" max="13" width="5.5" style="9" customWidth="1"/>
    <col min="14" max="14" width="4.83203125" style="9" customWidth="1"/>
    <col min="15" max="17" width="5.5" style="9" customWidth="1"/>
    <col min="18" max="18" width="4.83203125" style="9" customWidth="1"/>
    <col min="19" max="19" width="7.83203125" style="9" bestFit="1" customWidth="1"/>
    <col min="20" max="20" width="8.5" style="9" bestFit="1" customWidth="1"/>
    <col min="21" max="21" width="26.1640625" style="7" bestFit="1" customWidth="1"/>
  </cols>
  <sheetData>
    <row r="1" spans="1:21" s="2" customFormat="1" ht="29" customHeight="1">
      <c r="A1" s="50" t="s">
        <v>321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8</v>
      </c>
      <c r="H3" s="62"/>
      <c r="I3" s="62"/>
      <c r="J3" s="62"/>
      <c r="K3" s="62" t="s">
        <v>9</v>
      </c>
      <c r="L3" s="62"/>
      <c r="M3" s="62"/>
      <c r="N3" s="62"/>
      <c r="O3" s="62" t="s">
        <v>10</v>
      </c>
      <c r="P3" s="62"/>
      <c r="Q3" s="62"/>
      <c r="R3" s="62"/>
      <c r="S3" s="44" t="s">
        <v>1</v>
      </c>
      <c r="T3" s="44" t="s">
        <v>3</v>
      </c>
      <c r="U3" s="46" t="s">
        <v>2</v>
      </c>
    </row>
    <row r="4" spans="1:21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5"/>
      <c r="T4" s="45"/>
      <c r="U4" s="47"/>
    </row>
    <row r="5" spans="1:21" s="3" customFormat="1" ht="16">
      <c r="A5" s="48" t="s">
        <v>49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6"/>
      <c r="T5" s="6"/>
      <c r="U5" s="5"/>
    </row>
    <row r="6" spans="1:21">
      <c r="A6" s="24">
        <v>1</v>
      </c>
      <c r="B6" s="20" t="s">
        <v>50</v>
      </c>
      <c r="C6" s="20" t="s">
        <v>51</v>
      </c>
      <c r="D6" s="20" t="s">
        <v>52</v>
      </c>
      <c r="E6" s="20" t="s">
        <v>358</v>
      </c>
      <c r="F6" s="20" t="s">
        <v>53</v>
      </c>
      <c r="G6" s="22" t="s">
        <v>54</v>
      </c>
      <c r="H6" s="22" t="s">
        <v>55</v>
      </c>
      <c r="I6" s="23" t="s">
        <v>56</v>
      </c>
      <c r="J6" s="24"/>
      <c r="K6" s="22" t="s">
        <v>57</v>
      </c>
      <c r="L6" s="23" t="s">
        <v>58</v>
      </c>
      <c r="M6" s="22" t="s">
        <v>58</v>
      </c>
      <c r="N6" s="24"/>
      <c r="O6" s="22" t="s">
        <v>59</v>
      </c>
      <c r="P6" s="22" t="s">
        <v>60</v>
      </c>
      <c r="Q6" s="22" t="s">
        <v>61</v>
      </c>
      <c r="R6" s="24"/>
      <c r="S6" s="24" t="str">
        <f>"270,0"</f>
        <v>270,0</v>
      </c>
      <c r="T6" s="24" t="str">
        <f>"336,5820"</f>
        <v>336,5820</v>
      </c>
      <c r="U6" s="20"/>
    </row>
    <row r="7" spans="1:21">
      <c r="A7" s="26">
        <v>2</v>
      </c>
      <c r="B7" s="21" t="s">
        <v>62</v>
      </c>
      <c r="C7" s="21" t="s">
        <v>63</v>
      </c>
      <c r="D7" s="21" t="s">
        <v>64</v>
      </c>
      <c r="E7" s="21" t="s">
        <v>358</v>
      </c>
      <c r="F7" s="21" t="s">
        <v>65</v>
      </c>
      <c r="G7" s="25" t="s">
        <v>21</v>
      </c>
      <c r="H7" s="25" t="s">
        <v>66</v>
      </c>
      <c r="I7" s="25" t="s">
        <v>54</v>
      </c>
      <c r="J7" s="26"/>
      <c r="K7" s="25" t="s">
        <v>67</v>
      </c>
      <c r="L7" s="25" t="s">
        <v>68</v>
      </c>
      <c r="M7" s="25" t="s">
        <v>57</v>
      </c>
      <c r="N7" s="26"/>
      <c r="O7" s="25" t="s">
        <v>69</v>
      </c>
      <c r="P7" s="25" t="s">
        <v>59</v>
      </c>
      <c r="Q7" s="25" t="s">
        <v>70</v>
      </c>
      <c r="R7" s="26"/>
      <c r="S7" s="26" t="str">
        <f>"255,0"</f>
        <v>255,0</v>
      </c>
      <c r="T7" s="26" t="str">
        <f>"321,7080"</f>
        <v>321,7080</v>
      </c>
      <c r="U7" s="21" t="s">
        <v>319</v>
      </c>
    </row>
    <row r="9" spans="1:21" ht="16">
      <c r="A9" s="63" t="s">
        <v>71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>
      <c r="A10" s="24">
        <v>1</v>
      </c>
      <c r="B10" s="20" t="s">
        <v>72</v>
      </c>
      <c r="C10" s="20" t="s">
        <v>73</v>
      </c>
      <c r="D10" s="20" t="s">
        <v>74</v>
      </c>
      <c r="E10" s="20" t="s">
        <v>359</v>
      </c>
      <c r="F10" s="20" t="s">
        <v>340</v>
      </c>
      <c r="G10" s="23" t="s">
        <v>16</v>
      </c>
      <c r="H10" s="23" t="s">
        <v>16</v>
      </c>
      <c r="I10" s="22" t="s">
        <v>16</v>
      </c>
      <c r="J10" s="24"/>
      <c r="K10" s="22" t="s">
        <v>75</v>
      </c>
      <c r="L10" s="23" t="s">
        <v>76</v>
      </c>
      <c r="M10" s="23" t="s">
        <v>76</v>
      </c>
      <c r="N10" s="24"/>
      <c r="O10" s="22" t="s">
        <v>77</v>
      </c>
      <c r="P10" s="22" t="s">
        <v>78</v>
      </c>
      <c r="Q10" s="22" t="s">
        <v>16</v>
      </c>
      <c r="R10" s="24"/>
      <c r="S10" s="24" t="str">
        <f>"170,0"</f>
        <v>170,0</v>
      </c>
      <c r="T10" s="24" t="str">
        <f>"206,0910"</f>
        <v>206,0910</v>
      </c>
      <c r="U10" s="20"/>
    </row>
    <row r="11" spans="1:21">
      <c r="A11" s="26">
        <v>1</v>
      </c>
      <c r="B11" s="21" t="s">
        <v>79</v>
      </c>
      <c r="C11" s="21" t="s">
        <v>80</v>
      </c>
      <c r="D11" s="21" t="s">
        <v>81</v>
      </c>
      <c r="E11" s="21" t="s">
        <v>358</v>
      </c>
      <c r="F11" s="21" t="s">
        <v>65</v>
      </c>
      <c r="G11" s="25" t="s">
        <v>82</v>
      </c>
      <c r="H11" s="25" t="s">
        <v>54</v>
      </c>
      <c r="I11" s="25" t="s">
        <v>83</v>
      </c>
      <c r="J11" s="26"/>
      <c r="K11" s="25" t="s">
        <v>84</v>
      </c>
      <c r="L11" s="25" t="s">
        <v>67</v>
      </c>
      <c r="M11" s="25" t="s">
        <v>68</v>
      </c>
      <c r="N11" s="26"/>
      <c r="O11" s="25" t="s">
        <v>59</v>
      </c>
      <c r="P11" s="25" t="s">
        <v>70</v>
      </c>
      <c r="Q11" s="25" t="s">
        <v>85</v>
      </c>
      <c r="R11" s="26"/>
      <c r="S11" s="26" t="str">
        <f>"260,0"</f>
        <v>260,0</v>
      </c>
      <c r="T11" s="26" t="str">
        <f>"306,7740"</f>
        <v>306,7740</v>
      </c>
      <c r="U11" s="21"/>
    </row>
    <row r="13" spans="1:21" ht="16">
      <c r="A13" s="63" t="s">
        <v>86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21">
      <c r="A14" s="19">
        <v>1</v>
      </c>
      <c r="B14" s="10" t="s">
        <v>87</v>
      </c>
      <c r="C14" s="10" t="s">
        <v>88</v>
      </c>
      <c r="D14" s="10" t="s">
        <v>89</v>
      </c>
      <c r="E14" s="10" t="s">
        <v>358</v>
      </c>
      <c r="F14" s="10" t="s">
        <v>15</v>
      </c>
      <c r="G14" s="17" t="s">
        <v>54</v>
      </c>
      <c r="H14" s="17" t="s">
        <v>56</v>
      </c>
      <c r="I14" s="17" t="s">
        <v>69</v>
      </c>
      <c r="J14" s="19"/>
      <c r="K14" s="17" t="s">
        <v>90</v>
      </c>
      <c r="L14" s="17" t="s">
        <v>77</v>
      </c>
      <c r="M14" s="18" t="s">
        <v>91</v>
      </c>
      <c r="N14" s="19"/>
      <c r="O14" s="17" t="s">
        <v>85</v>
      </c>
      <c r="P14" s="17" t="s">
        <v>92</v>
      </c>
      <c r="Q14" s="18" t="s">
        <v>93</v>
      </c>
      <c r="R14" s="19"/>
      <c r="S14" s="19" t="str">
        <f>"297,5"</f>
        <v>297,5</v>
      </c>
      <c r="T14" s="19" t="str">
        <f>"333,4083"</f>
        <v>333,4083</v>
      </c>
      <c r="U14" s="10"/>
    </row>
    <row r="16" spans="1:21" ht="16">
      <c r="A16" s="63" t="s">
        <v>94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21">
      <c r="A17" s="24">
        <v>1</v>
      </c>
      <c r="B17" s="20" t="s">
        <v>95</v>
      </c>
      <c r="C17" s="20" t="s">
        <v>96</v>
      </c>
      <c r="D17" s="20" t="s">
        <v>97</v>
      </c>
      <c r="E17" s="20" t="s">
        <v>360</v>
      </c>
      <c r="F17" s="20" t="s">
        <v>98</v>
      </c>
      <c r="G17" s="22" t="s">
        <v>99</v>
      </c>
      <c r="H17" s="22" t="s">
        <v>100</v>
      </c>
      <c r="I17" s="24"/>
      <c r="J17" s="24"/>
      <c r="K17" s="22" t="s">
        <v>56</v>
      </c>
      <c r="L17" s="23" t="s">
        <v>69</v>
      </c>
      <c r="M17" s="23" t="s">
        <v>69</v>
      </c>
      <c r="N17" s="24"/>
      <c r="O17" s="22" t="s">
        <v>101</v>
      </c>
      <c r="P17" s="22" t="s">
        <v>102</v>
      </c>
      <c r="Q17" s="22" t="s">
        <v>41</v>
      </c>
      <c r="R17" s="24"/>
      <c r="S17" s="24" t="str">
        <f>"465,0"</f>
        <v>465,0</v>
      </c>
      <c r="T17" s="24" t="str">
        <f>"333,2190"</f>
        <v>333,2190</v>
      </c>
      <c r="U17" s="20"/>
    </row>
    <row r="18" spans="1:21">
      <c r="A18" s="26">
        <v>1</v>
      </c>
      <c r="B18" s="21" t="s">
        <v>103</v>
      </c>
      <c r="C18" s="21" t="s">
        <v>104</v>
      </c>
      <c r="D18" s="21" t="s">
        <v>105</v>
      </c>
      <c r="E18" s="21" t="s">
        <v>358</v>
      </c>
      <c r="F18" s="21" t="s">
        <v>65</v>
      </c>
      <c r="G18" s="25" t="s">
        <v>56</v>
      </c>
      <c r="H18" s="27" t="s">
        <v>106</v>
      </c>
      <c r="I18" s="27" t="s">
        <v>106</v>
      </c>
      <c r="J18" s="26"/>
      <c r="K18" s="25" t="s">
        <v>16</v>
      </c>
      <c r="L18" s="25" t="s">
        <v>21</v>
      </c>
      <c r="M18" s="25" t="s">
        <v>82</v>
      </c>
      <c r="N18" s="26"/>
      <c r="O18" s="25" t="s">
        <v>59</v>
      </c>
      <c r="P18" s="25" t="s">
        <v>93</v>
      </c>
      <c r="Q18" s="25" t="s">
        <v>107</v>
      </c>
      <c r="R18" s="26"/>
      <c r="S18" s="26" t="str">
        <f>"325,0"</f>
        <v>325,0</v>
      </c>
      <c r="T18" s="26" t="str">
        <f>"239,9475"</f>
        <v>239,9475</v>
      </c>
      <c r="U18" s="21"/>
    </row>
    <row r="20" spans="1:21" ht="16">
      <c r="A20" s="63" t="s">
        <v>108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1">
      <c r="A21" s="24">
        <v>1</v>
      </c>
      <c r="B21" s="20" t="s">
        <v>109</v>
      </c>
      <c r="C21" s="20" t="s">
        <v>110</v>
      </c>
      <c r="D21" s="20" t="s">
        <v>111</v>
      </c>
      <c r="E21" s="20" t="s">
        <v>361</v>
      </c>
      <c r="F21" s="20" t="s">
        <v>112</v>
      </c>
      <c r="G21" s="22" t="s">
        <v>29</v>
      </c>
      <c r="H21" s="22" t="s">
        <v>113</v>
      </c>
      <c r="I21" s="23" t="s">
        <v>101</v>
      </c>
      <c r="J21" s="24"/>
      <c r="K21" s="22" t="s">
        <v>106</v>
      </c>
      <c r="L21" s="23" t="s">
        <v>93</v>
      </c>
      <c r="M21" s="22" t="s">
        <v>93</v>
      </c>
      <c r="N21" s="24"/>
      <c r="O21" s="22" t="s">
        <v>99</v>
      </c>
      <c r="P21" s="22" t="s">
        <v>41</v>
      </c>
      <c r="Q21" s="22" t="s">
        <v>26</v>
      </c>
      <c r="R21" s="24"/>
      <c r="S21" s="24" t="str">
        <f>"500,0"</f>
        <v>500,0</v>
      </c>
      <c r="T21" s="24" t="str">
        <f>"338,2000"</f>
        <v>338,2000</v>
      </c>
      <c r="U21" s="20"/>
    </row>
    <row r="22" spans="1:21">
      <c r="A22" s="26">
        <v>1</v>
      </c>
      <c r="B22" s="21" t="s">
        <v>114</v>
      </c>
      <c r="C22" s="21" t="s">
        <v>115</v>
      </c>
      <c r="D22" s="21" t="s">
        <v>116</v>
      </c>
      <c r="E22" s="21" t="s">
        <v>358</v>
      </c>
      <c r="F22" s="21" t="s">
        <v>53</v>
      </c>
      <c r="G22" s="25" t="s">
        <v>106</v>
      </c>
      <c r="H22" s="25" t="s">
        <v>107</v>
      </c>
      <c r="I22" s="25" t="s">
        <v>29</v>
      </c>
      <c r="J22" s="26"/>
      <c r="K22" s="25" t="s">
        <v>69</v>
      </c>
      <c r="L22" s="25" t="s">
        <v>117</v>
      </c>
      <c r="M22" s="25" t="s">
        <v>85</v>
      </c>
      <c r="N22" s="26"/>
      <c r="O22" s="25" t="s">
        <v>29</v>
      </c>
      <c r="P22" s="25" t="s">
        <v>99</v>
      </c>
      <c r="Q22" s="25" t="s">
        <v>101</v>
      </c>
      <c r="R22" s="26"/>
      <c r="S22" s="26" t="str">
        <f>"450,0"</f>
        <v>450,0</v>
      </c>
      <c r="T22" s="26" t="str">
        <f>"309,1950"</f>
        <v>309,1950</v>
      </c>
      <c r="U22" s="21" t="s">
        <v>118</v>
      </c>
    </row>
    <row r="24" spans="1:21" ht="16">
      <c r="A24" s="63" t="s">
        <v>22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>
      <c r="A25" s="19">
        <v>1</v>
      </c>
      <c r="B25" s="10" t="s">
        <v>119</v>
      </c>
      <c r="C25" s="10" t="s">
        <v>120</v>
      </c>
      <c r="D25" s="10" t="s">
        <v>121</v>
      </c>
      <c r="E25" s="10" t="s">
        <v>359</v>
      </c>
      <c r="F25" s="10" t="s">
        <v>122</v>
      </c>
      <c r="G25" s="18" t="s">
        <v>16</v>
      </c>
      <c r="H25" s="17" t="s">
        <v>16</v>
      </c>
      <c r="I25" s="17" t="s">
        <v>21</v>
      </c>
      <c r="J25" s="19"/>
      <c r="K25" s="18" t="s">
        <v>67</v>
      </c>
      <c r="L25" s="17" t="s">
        <v>67</v>
      </c>
      <c r="M25" s="17" t="s">
        <v>90</v>
      </c>
      <c r="N25" s="19"/>
      <c r="O25" s="17" t="s">
        <v>21</v>
      </c>
      <c r="P25" s="18" t="s">
        <v>21</v>
      </c>
      <c r="Q25" s="17" t="s">
        <v>55</v>
      </c>
      <c r="R25" s="19"/>
      <c r="S25" s="19" t="str">
        <f>"230,0"</f>
        <v>230,0</v>
      </c>
      <c r="T25" s="19" t="str">
        <f>"147,4300"</f>
        <v>147,4300</v>
      </c>
      <c r="U25" s="10" t="s">
        <v>317</v>
      </c>
    </row>
    <row r="27" spans="1:21" ht="16">
      <c r="A27" s="63" t="s">
        <v>123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21">
      <c r="A28" s="19">
        <v>1</v>
      </c>
      <c r="B28" s="10" t="s">
        <v>124</v>
      </c>
      <c r="C28" s="10" t="s">
        <v>125</v>
      </c>
      <c r="D28" s="10" t="s">
        <v>126</v>
      </c>
      <c r="E28" s="10" t="s">
        <v>362</v>
      </c>
      <c r="F28" s="10" t="s">
        <v>15</v>
      </c>
      <c r="G28" s="18" t="s">
        <v>99</v>
      </c>
      <c r="H28" s="17" t="s">
        <v>100</v>
      </c>
      <c r="I28" s="18" t="s">
        <v>101</v>
      </c>
      <c r="J28" s="19"/>
      <c r="K28" s="17" t="s">
        <v>29</v>
      </c>
      <c r="L28" s="18" t="s">
        <v>31</v>
      </c>
      <c r="M28" s="19"/>
      <c r="N28" s="19"/>
      <c r="O28" s="17" t="s">
        <v>26</v>
      </c>
      <c r="P28" s="18" t="s">
        <v>127</v>
      </c>
      <c r="Q28" s="19"/>
      <c r="R28" s="19"/>
      <c r="S28" s="19" t="str">
        <f>"525,0"</f>
        <v>525,0</v>
      </c>
      <c r="T28" s="19" t="str">
        <f>"322,5600"</f>
        <v>322,5600</v>
      </c>
      <c r="U28" s="10"/>
    </row>
    <row r="30" spans="1:21" ht="16">
      <c r="A30" s="63" t="s">
        <v>36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21">
      <c r="A31" s="19">
        <v>1</v>
      </c>
      <c r="B31" s="10" t="s">
        <v>128</v>
      </c>
      <c r="C31" s="10" t="s">
        <v>129</v>
      </c>
      <c r="D31" s="10" t="s">
        <v>130</v>
      </c>
      <c r="E31" s="10" t="s">
        <v>358</v>
      </c>
      <c r="F31" s="10" t="s">
        <v>65</v>
      </c>
      <c r="G31" s="17" t="s">
        <v>101</v>
      </c>
      <c r="H31" s="17" t="s">
        <v>131</v>
      </c>
      <c r="I31" s="18" t="s">
        <v>132</v>
      </c>
      <c r="J31" s="19"/>
      <c r="K31" s="17" t="s">
        <v>107</v>
      </c>
      <c r="L31" s="17" t="s">
        <v>133</v>
      </c>
      <c r="M31" s="17" t="s">
        <v>29</v>
      </c>
      <c r="N31" s="19"/>
      <c r="O31" s="17" t="s">
        <v>26</v>
      </c>
      <c r="P31" s="17" t="s">
        <v>134</v>
      </c>
      <c r="Q31" s="17" t="s">
        <v>135</v>
      </c>
      <c r="R31" s="19"/>
      <c r="S31" s="19" t="str">
        <f>"585,0"</f>
        <v>585,0</v>
      </c>
      <c r="T31" s="19" t="str">
        <f>"351,7605"</f>
        <v>351,7605</v>
      </c>
      <c r="U31" s="10" t="s">
        <v>318</v>
      </c>
    </row>
  </sheetData>
  <mergeCells count="21">
    <mergeCell ref="A30:R30"/>
    <mergeCell ref="B3:B4"/>
    <mergeCell ref="A9:R9"/>
    <mergeCell ref="A13:R13"/>
    <mergeCell ref="A16:R16"/>
    <mergeCell ref="A20:R20"/>
    <mergeCell ref="A24:R24"/>
    <mergeCell ref="A27:R27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"/>
  <sheetViews>
    <sheetView workbookViewId="0">
      <selection activeCell="E13" sqref="E13"/>
    </sheetView>
  </sheetViews>
  <sheetFormatPr baseColWidth="10" defaultColWidth="8.83203125" defaultRowHeight="13"/>
  <cols>
    <col min="1" max="1" width="7.5" style="7" bestFit="1" customWidth="1"/>
    <col min="2" max="2" width="21.5" style="7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34.6640625" style="7" customWidth="1"/>
    <col min="7" max="9" width="5.5" style="9" customWidth="1"/>
    <col min="10" max="10" width="4.83203125" style="9" customWidth="1"/>
    <col min="11" max="11" width="10.5" style="9" bestFit="1" customWidth="1"/>
    <col min="12" max="12" width="8.6640625" style="9" bestFit="1" customWidth="1"/>
    <col min="13" max="13" width="19.33203125" style="7" customWidth="1"/>
  </cols>
  <sheetData>
    <row r="1" spans="1:13" s="2" customFormat="1" ht="29" customHeight="1">
      <c r="A1" s="50" t="s">
        <v>330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10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22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23</v>
      </c>
      <c r="C6" s="10" t="s">
        <v>225</v>
      </c>
      <c r="D6" s="10" t="s">
        <v>25</v>
      </c>
      <c r="E6" s="10" t="s">
        <v>361</v>
      </c>
      <c r="F6" s="10" t="s">
        <v>341</v>
      </c>
      <c r="G6" s="17" t="s">
        <v>32</v>
      </c>
      <c r="H6" s="17" t="s">
        <v>33</v>
      </c>
      <c r="I6" s="17" t="s">
        <v>34</v>
      </c>
      <c r="J6" s="19"/>
      <c r="K6" s="19" t="str">
        <f>"300,0"</f>
        <v>300,0</v>
      </c>
      <c r="L6" s="19" t="str">
        <f>"196,7100"</f>
        <v>196,7100</v>
      </c>
      <c r="M6" s="10" t="s">
        <v>35</v>
      </c>
    </row>
    <row r="8" spans="1:13" ht="16">
      <c r="A8" s="63" t="s">
        <v>36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9">
        <v>1</v>
      </c>
      <c r="B9" s="10" t="s">
        <v>37</v>
      </c>
      <c r="C9" s="10" t="s">
        <v>38</v>
      </c>
      <c r="D9" s="10" t="s">
        <v>39</v>
      </c>
      <c r="E9" s="10" t="s">
        <v>358</v>
      </c>
      <c r="F9" s="10" t="s">
        <v>40</v>
      </c>
      <c r="G9" s="17" t="s">
        <v>43</v>
      </c>
      <c r="H9" s="17" t="s">
        <v>44</v>
      </c>
      <c r="I9" s="18" t="s">
        <v>33</v>
      </c>
      <c r="J9" s="19"/>
      <c r="K9" s="19" t="str">
        <f>"270,0"</f>
        <v>270,0</v>
      </c>
      <c r="L9" s="19" t="str">
        <f>"159,7590"</f>
        <v>159,7590</v>
      </c>
      <c r="M9" s="10"/>
    </row>
    <row r="11" spans="1:13" ht="16">
      <c r="A11" s="63" t="s">
        <v>214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19">
        <v>1</v>
      </c>
      <c r="B12" s="10" t="s">
        <v>226</v>
      </c>
      <c r="C12" s="10" t="s">
        <v>227</v>
      </c>
      <c r="D12" s="10" t="s">
        <v>228</v>
      </c>
      <c r="E12" s="10" t="s">
        <v>358</v>
      </c>
      <c r="F12" s="10" t="s">
        <v>53</v>
      </c>
      <c r="G12" s="17" t="s">
        <v>223</v>
      </c>
      <c r="H12" s="17" t="s">
        <v>229</v>
      </c>
      <c r="I12" s="17" t="s">
        <v>230</v>
      </c>
      <c r="J12" s="19"/>
      <c r="K12" s="19" t="str">
        <f>"320,0"</f>
        <v>320,0</v>
      </c>
      <c r="L12" s="19" t="str">
        <f>"186,0160"</f>
        <v>186,0160</v>
      </c>
      <c r="M12" s="10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7" bestFit="1" customWidth="1"/>
    <col min="2" max="2" width="18.5" style="7" bestFit="1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8.6640625" style="9" bestFit="1" customWidth="1"/>
    <col min="13" max="13" width="19.5" style="7" customWidth="1"/>
  </cols>
  <sheetData>
    <row r="1" spans="1:13" s="2" customFormat="1" ht="29" customHeight="1">
      <c r="A1" s="50" t="s">
        <v>331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10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108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263</v>
      </c>
      <c r="C6" s="10" t="s">
        <v>264</v>
      </c>
      <c r="D6" s="10" t="s">
        <v>265</v>
      </c>
      <c r="E6" s="10" t="s">
        <v>358</v>
      </c>
      <c r="F6" s="10" t="s">
        <v>65</v>
      </c>
      <c r="G6" s="17" t="s">
        <v>135</v>
      </c>
      <c r="H6" s="17" t="s">
        <v>266</v>
      </c>
      <c r="I6" s="18" t="s">
        <v>32</v>
      </c>
      <c r="J6" s="19"/>
      <c r="K6" s="19" t="str">
        <f>"255,0"</f>
        <v>255,0</v>
      </c>
      <c r="L6" s="19" t="str">
        <f>"176,9445"</f>
        <v>176,9445</v>
      </c>
      <c r="M6" s="10" t="s">
        <v>267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workbookViewId="0">
      <selection sqref="A1:Q2"/>
    </sheetView>
  </sheetViews>
  <sheetFormatPr baseColWidth="10" defaultColWidth="8.83203125" defaultRowHeight="13"/>
  <cols>
    <col min="1" max="1" width="7.5" style="7" bestFit="1" customWidth="1"/>
    <col min="2" max="2" width="17.6640625" style="7" bestFit="1" customWidth="1"/>
    <col min="3" max="3" width="27.6640625" style="7" bestFit="1" customWidth="1"/>
    <col min="4" max="4" width="21.5" style="7" bestFit="1" customWidth="1"/>
    <col min="5" max="5" width="10.5" style="7" bestFit="1" customWidth="1"/>
    <col min="6" max="6" width="34.6640625" style="7" customWidth="1"/>
    <col min="7" max="13" width="5.5" style="9" customWidth="1"/>
    <col min="14" max="14" width="4.83203125" style="9" customWidth="1"/>
    <col min="15" max="16" width="9.5" style="9" customWidth="1"/>
    <col min="17" max="17" width="19.1640625" style="7" customWidth="1"/>
  </cols>
  <sheetData>
    <row r="1" spans="1:17" s="2" customFormat="1" ht="29" customHeight="1">
      <c r="A1" s="50" t="s">
        <v>332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62" t="s">
        <v>355</v>
      </c>
      <c r="L3" s="62"/>
      <c r="M3" s="62"/>
      <c r="N3" s="62"/>
      <c r="O3" s="44" t="s">
        <v>1</v>
      </c>
      <c r="P3" s="44" t="s">
        <v>3</v>
      </c>
      <c r="Q3" s="46" t="s">
        <v>2</v>
      </c>
    </row>
    <row r="4" spans="1:17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5"/>
      <c r="P4" s="45"/>
      <c r="Q4" s="47"/>
    </row>
    <row r="5" spans="1:17" s="3" customFormat="1" ht="16">
      <c r="A5" s="48" t="s">
        <v>11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"/>
      <c r="P5" s="6"/>
      <c r="Q5" s="5"/>
    </row>
    <row r="6" spans="1:17">
      <c r="A6" s="19">
        <v>1</v>
      </c>
      <c r="B6" s="10" t="s">
        <v>175</v>
      </c>
      <c r="C6" s="10" t="s">
        <v>346</v>
      </c>
      <c r="D6" s="10" t="s">
        <v>177</v>
      </c>
      <c r="E6" s="10" t="s">
        <v>364</v>
      </c>
      <c r="F6" s="10" t="s">
        <v>345</v>
      </c>
      <c r="G6" s="17" t="s">
        <v>90</v>
      </c>
      <c r="H6" s="17" t="s">
        <v>310</v>
      </c>
      <c r="I6" s="17" t="s">
        <v>77</v>
      </c>
      <c r="J6" s="19"/>
      <c r="K6" s="17" t="s">
        <v>84</v>
      </c>
      <c r="L6" s="17" t="s">
        <v>67</v>
      </c>
      <c r="M6" s="17" t="s">
        <v>68</v>
      </c>
      <c r="N6" s="19"/>
      <c r="O6" s="19" t="str">
        <f>"107,5"</f>
        <v>107,5</v>
      </c>
      <c r="P6" s="19" t="str">
        <f>"85,6291"</f>
        <v>85,6291</v>
      </c>
      <c r="Q6" s="10"/>
    </row>
    <row r="8" spans="1:17" ht="16">
      <c r="A8" s="63" t="s">
        <v>94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7">
      <c r="A9" s="19">
        <v>1</v>
      </c>
      <c r="B9" s="10" t="s">
        <v>268</v>
      </c>
      <c r="C9" s="10" t="s">
        <v>269</v>
      </c>
      <c r="D9" s="10" t="s">
        <v>270</v>
      </c>
      <c r="E9" s="10" t="s">
        <v>358</v>
      </c>
      <c r="F9" s="10" t="s">
        <v>174</v>
      </c>
      <c r="G9" s="17" t="s">
        <v>16</v>
      </c>
      <c r="H9" s="17" t="s">
        <v>20</v>
      </c>
      <c r="I9" s="17" t="s">
        <v>306</v>
      </c>
      <c r="J9" s="19"/>
      <c r="K9" s="17" t="s">
        <v>57</v>
      </c>
      <c r="L9" s="17" t="s">
        <v>77</v>
      </c>
      <c r="M9" s="17" t="s">
        <v>78</v>
      </c>
      <c r="N9" s="19"/>
      <c r="O9" s="19" t="str">
        <f>"147,5"</f>
        <v>147,5</v>
      </c>
      <c r="P9" s="19" t="str">
        <f>"102,9993"</f>
        <v>102,9993</v>
      </c>
      <c r="Q9" s="10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"/>
  <sheetViews>
    <sheetView workbookViewId="0">
      <selection activeCell="E7" sqref="E7"/>
    </sheetView>
  </sheetViews>
  <sheetFormatPr baseColWidth="10" defaultColWidth="8.83203125" defaultRowHeight="13"/>
  <cols>
    <col min="1" max="1" width="7.5" style="7" bestFit="1" customWidth="1"/>
    <col min="2" max="2" width="20.6640625" style="7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14" width="5.5" style="9" customWidth="1"/>
    <col min="15" max="16" width="9.5" style="9" customWidth="1"/>
    <col min="17" max="17" width="18" style="7" customWidth="1"/>
  </cols>
  <sheetData>
    <row r="1" spans="1:17" s="2" customFormat="1" ht="29" customHeight="1">
      <c r="A1" s="50" t="s">
        <v>333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62" t="s">
        <v>355</v>
      </c>
      <c r="L3" s="62"/>
      <c r="M3" s="62"/>
      <c r="N3" s="62"/>
      <c r="O3" s="44" t="s">
        <v>1</v>
      </c>
      <c r="P3" s="44" t="s">
        <v>3</v>
      </c>
      <c r="Q3" s="46" t="s">
        <v>2</v>
      </c>
    </row>
    <row r="4" spans="1:17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5"/>
      <c r="P4" s="45"/>
      <c r="Q4" s="47"/>
    </row>
    <row r="5" spans="1:17" s="3" customFormat="1" ht="16">
      <c r="A5" s="48" t="s">
        <v>36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"/>
      <c r="P5" s="6"/>
      <c r="Q5" s="5"/>
    </row>
    <row r="6" spans="1:17">
      <c r="A6" s="19">
        <v>1</v>
      </c>
      <c r="B6" s="10" t="s">
        <v>143</v>
      </c>
      <c r="C6" s="10" t="s">
        <v>144</v>
      </c>
      <c r="D6" s="10" t="s">
        <v>130</v>
      </c>
      <c r="E6" s="10" t="s">
        <v>362</v>
      </c>
      <c r="F6" s="10" t="s">
        <v>65</v>
      </c>
      <c r="G6" s="17" t="s">
        <v>90</v>
      </c>
      <c r="H6" s="17" t="s">
        <v>78</v>
      </c>
      <c r="I6" s="17" t="s">
        <v>21</v>
      </c>
      <c r="J6" s="19"/>
      <c r="K6" s="17" t="s">
        <v>57</v>
      </c>
      <c r="L6" s="17" t="s">
        <v>77</v>
      </c>
      <c r="M6" s="17" t="s">
        <v>78</v>
      </c>
      <c r="N6" s="19"/>
      <c r="O6" s="19" t="str">
        <f>"145,0"</f>
        <v>145,0</v>
      </c>
      <c r="P6" s="19" t="str">
        <f>"84,0916"</f>
        <v>84,0916</v>
      </c>
      <c r="Q6" s="10" t="s">
        <v>146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7" bestFit="1" customWidth="1"/>
    <col min="2" max="2" width="19.33203125" style="7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21.664062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7.6640625" style="9" bestFit="1" customWidth="1"/>
    <col min="13" max="13" width="18.83203125" style="7" customWidth="1"/>
  </cols>
  <sheetData>
    <row r="1" spans="1:13" s="2" customFormat="1" ht="29" customHeight="1">
      <c r="A1" s="50" t="s">
        <v>334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94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268</v>
      </c>
      <c r="C6" s="10" t="s">
        <v>269</v>
      </c>
      <c r="D6" s="10" t="s">
        <v>270</v>
      </c>
      <c r="E6" s="10" t="s">
        <v>358</v>
      </c>
      <c r="F6" s="10" t="s">
        <v>174</v>
      </c>
      <c r="G6" s="17" t="s">
        <v>16</v>
      </c>
      <c r="H6" s="17" t="s">
        <v>20</v>
      </c>
      <c r="I6" s="17" t="s">
        <v>306</v>
      </c>
      <c r="J6" s="19"/>
      <c r="K6" s="19" t="str">
        <f>"82,5"</f>
        <v>82,5</v>
      </c>
      <c r="L6" s="19" t="str">
        <f>"57,6098"</f>
        <v>57,6098</v>
      </c>
      <c r="M6" s="10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5" style="7" bestFit="1" customWidth="1"/>
    <col min="2" max="2" width="18.33203125" style="7" bestFit="1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7.6640625" style="9" bestFit="1" customWidth="1"/>
    <col min="13" max="13" width="19.83203125" style="7" customWidth="1"/>
  </cols>
  <sheetData>
    <row r="1" spans="1:13" s="2" customFormat="1" ht="29" customHeight="1">
      <c r="A1" s="50" t="s">
        <v>335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214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304</v>
      </c>
      <c r="C6" s="10" t="s">
        <v>347</v>
      </c>
      <c r="D6" s="10" t="s">
        <v>305</v>
      </c>
      <c r="E6" s="10" t="s">
        <v>362</v>
      </c>
      <c r="F6" s="10" t="s">
        <v>156</v>
      </c>
      <c r="G6" s="17" t="s">
        <v>21</v>
      </c>
      <c r="H6" s="18" t="s">
        <v>82</v>
      </c>
      <c r="I6" s="18" t="s">
        <v>82</v>
      </c>
      <c r="J6" s="19"/>
      <c r="K6" s="19" t="str">
        <f>"80,0"</f>
        <v>80,0</v>
      </c>
      <c r="L6" s="19" t="str">
        <f>"45,3732"</f>
        <v>45,3732</v>
      </c>
      <c r="M6" s="10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E19" sqref="E19"/>
    </sheetView>
  </sheetViews>
  <sheetFormatPr baseColWidth="10" defaultColWidth="8.83203125" defaultRowHeight="13"/>
  <cols>
    <col min="1" max="1" width="7.5" style="7" bestFit="1" customWidth="1"/>
    <col min="2" max="2" width="23.1640625" style="7" bestFit="1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7.6640625" style="9" bestFit="1" customWidth="1"/>
    <col min="13" max="13" width="21" style="7" customWidth="1"/>
  </cols>
  <sheetData>
    <row r="1" spans="1:13" s="2" customFormat="1" ht="29" customHeight="1">
      <c r="A1" s="50" t="s">
        <v>336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11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307</v>
      </c>
      <c r="C6" s="10" t="s">
        <v>348</v>
      </c>
      <c r="D6" s="10" t="s">
        <v>308</v>
      </c>
      <c r="E6" s="10" t="s">
        <v>364</v>
      </c>
      <c r="F6" s="10" t="s">
        <v>53</v>
      </c>
      <c r="G6" s="17" t="s">
        <v>67</v>
      </c>
      <c r="H6" s="18" t="s">
        <v>57</v>
      </c>
      <c r="I6" s="18" t="s">
        <v>57</v>
      </c>
      <c r="J6" s="19"/>
      <c r="K6" s="19" t="str">
        <f>"45,0"</f>
        <v>45,0</v>
      </c>
      <c r="L6" s="19" t="str">
        <f>"34,1550"</f>
        <v>34,1550</v>
      </c>
      <c r="M6" s="10"/>
    </row>
    <row r="8" spans="1:13" ht="16">
      <c r="A8" s="63" t="s">
        <v>94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9">
        <v>1</v>
      </c>
      <c r="B9" s="10" t="s">
        <v>290</v>
      </c>
      <c r="C9" s="10" t="s">
        <v>291</v>
      </c>
      <c r="D9" s="10" t="s">
        <v>274</v>
      </c>
      <c r="E9" s="10" t="s">
        <v>358</v>
      </c>
      <c r="F9" s="10" t="s">
        <v>169</v>
      </c>
      <c r="G9" s="17" t="s">
        <v>57</v>
      </c>
      <c r="H9" s="17" t="s">
        <v>90</v>
      </c>
      <c r="I9" s="18" t="s">
        <v>77</v>
      </c>
      <c r="J9" s="19"/>
      <c r="K9" s="19" t="str">
        <f>"55,0"</f>
        <v>55,0</v>
      </c>
      <c r="L9" s="19" t="str">
        <f>"38,2498"</f>
        <v>38,2498</v>
      </c>
      <c r="M9" s="10"/>
    </row>
    <row r="11" spans="1:13" ht="16">
      <c r="A11" s="63" t="s">
        <v>108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19">
        <v>1</v>
      </c>
      <c r="B12" s="10" t="s">
        <v>282</v>
      </c>
      <c r="C12" s="10" t="s">
        <v>283</v>
      </c>
      <c r="D12" s="10" t="s">
        <v>309</v>
      </c>
      <c r="E12" s="10" t="s">
        <v>358</v>
      </c>
      <c r="F12" s="10" t="s">
        <v>53</v>
      </c>
      <c r="G12" s="17" t="s">
        <v>57</v>
      </c>
      <c r="H12" s="17" t="s">
        <v>90</v>
      </c>
      <c r="I12" s="18" t="s">
        <v>310</v>
      </c>
      <c r="J12" s="19"/>
      <c r="K12" s="19" t="str">
        <f>"55,0"</f>
        <v>55,0</v>
      </c>
      <c r="L12" s="19" t="str">
        <f>"35,8793"</f>
        <v>35,8793</v>
      </c>
      <c r="M12" s="10"/>
    </row>
    <row r="14" spans="1:13" ht="16">
      <c r="A14" s="63" t="s">
        <v>22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19">
        <v>1</v>
      </c>
      <c r="B15" s="10" t="s">
        <v>292</v>
      </c>
      <c r="C15" s="10" t="s">
        <v>349</v>
      </c>
      <c r="D15" s="10" t="s">
        <v>293</v>
      </c>
      <c r="E15" s="10" t="s">
        <v>364</v>
      </c>
      <c r="F15" s="10" t="s">
        <v>294</v>
      </c>
      <c r="G15" s="17" t="s">
        <v>19</v>
      </c>
      <c r="H15" s="17" t="s">
        <v>67</v>
      </c>
      <c r="I15" s="17" t="s">
        <v>68</v>
      </c>
      <c r="J15" s="19"/>
      <c r="K15" s="19" t="str">
        <f>"47,5"</f>
        <v>47,5</v>
      </c>
      <c r="L15" s="19" t="str">
        <f>"30,4071"</f>
        <v>30,4071</v>
      </c>
      <c r="M15" s="10" t="s">
        <v>311</v>
      </c>
    </row>
    <row r="17" spans="1:13" ht="16">
      <c r="A17" s="63" t="s">
        <v>123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>
      <c r="A18" s="19" t="s">
        <v>149</v>
      </c>
      <c r="B18" s="10" t="s">
        <v>302</v>
      </c>
      <c r="C18" s="10" t="s">
        <v>350</v>
      </c>
      <c r="D18" s="10" t="s">
        <v>303</v>
      </c>
      <c r="E18" s="10" t="s">
        <v>362</v>
      </c>
      <c r="F18" s="10" t="s">
        <v>53</v>
      </c>
      <c r="G18" s="18" t="s">
        <v>67</v>
      </c>
      <c r="H18" s="18" t="s">
        <v>67</v>
      </c>
      <c r="I18" s="18" t="s">
        <v>67</v>
      </c>
      <c r="J18" s="19"/>
      <c r="K18" s="38">
        <v>0</v>
      </c>
      <c r="L18" s="19" t="str">
        <f>"0,0000"</f>
        <v>0,0000</v>
      </c>
      <c r="M18" s="10"/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sqref="A1:M2"/>
    </sheetView>
  </sheetViews>
  <sheetFormatPr baseColWidth="10" defaultColWidth="8.83203125" defaultRowHeight="13"/>
  <cols>
    <col min="1" max="1" width="7.5" style="7" bestFit="1" customWidth="1"/>
    <col min="2" max="2" width="19.6640625" style="7" bestFit="1" customWidth="1"/>
    <col min="3" max="3" width="28.5" style="7" bestFit="1" customWidth="1"/>
    <col min="4" max="4" width="21.5" style="7" bestFit="1" customWidth="1"/>
    <col min="5" max="5" width="10.5" style="7" bestFit="1" customWidth="1"/>
    <col min="6" max="6" width="27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7.6640625" style="9" bestFit="1" customWidth="1"/>
    <col min="13" max="13" width="27.5" style="7" bestFit="1" customWidth="1"/>
  </cols>
  <sheetData>
    <row r="1" spans="1:13" s="2" customFormat="1" ht="29" customHeight="1">
      <c r="A1" s="50" t="s">
        <v>337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94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24">
        <v>1</v>
      </c>
      <c r="B6" s="20" t="s">
        <v>268</v>
      </c>
      <c r="C6" s="20" t="s">
        <v>269</v>
      </c>
      <c r="D6" s="20" t="s">
        <v>270</v>
      </c>
      <c r="E6" s="20" t="s">
        <v>358</v>
      </c>
      <c r="F6" s="20" t="s">
        <v>174</v>
      </c>
      <c r="G6" s="22" t="s">
        <v>77</v>
      </c>
      <c r="H6" s="23" t="s">
        <v>78</v>
      </c>
      <c r="I6" s="24"/>
      <c r="J6" s="24"/>
      <c r="K6" s="24" t="str">
        <f>"60,0"</f>
        <v>60,0</v>
      </c>
      <c r="L6" s="24" t="str">
        <f>"41,8980"</f>
        <v>41,8980</v>
      </c>
      <c r="M6" s="20"/>
    </row>
    <row r="7" spans="1:13">
      <c r="A7" s="26">
        <v>2</v>
      </c>
      <c r="B7" s="21" t="s">
        <v>290</v>
      </c>
      <c r="C7" s="21" t="s">
        <v>291</v>
      </c>
      <c r="D7" s="21" t="s">
        <v>274</v>
      </c>
      <c r="E7" s="21" t="s">
        <v>358</v>
      </c>
      <c r="F7" s="21" t="s">
        <v>169</v>
      </c>
      <c r="G7" s="25" t="s">
        <v>57</v>
      </c>
      <c r="H7" s="25" t="s">
        <v>90</v>
      </c>
      <c r="I7" s="27" t="s">
        <v>78</v>
      </c>
      <c r="J7" s="26"/>
      <c r="K7" s="26" t="str">
        <f>"55,0"</f>
        <v>55,0</v>
      </c>
      <c r="L7" s="26" t="str">
        <f>"38,2498"</f>
        <v>38,2498</v>
      </c>
      <c r="M7" s="21"/>
    </row>
    <row r="9" spans="1:13" ht="16">
      <c r="A9" s="63" t="s">
        <v>123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>
      <c r="A10" s="24">
        <v>1</v>
      </c>
      <c r="B10" s="20" t="s">
        <v>295</v>
      </c>
      <c r="C10" s="20" t="s">
        <v>296</v>
      </c>
      <c r="D10" s="20" t="s">
        <v>297</v>
      </c>
      <c r="E10" s="20" t="s">
        <v>358</v>
      </c>
      <c r="F10" s="20" t="s">
        <v>169</v>
      </c>
      <c r="G10" s="22" t="s">
        <v>78</v>
      </c>
      <c r="H10" s="22" t="s">
        <v>16</v>
      </c>
      <c r="I10" s="23" t="s">
        <v>20</v>
      </c>
      <c r="J10" s="24"/>
      <c r="K10" s="24" t="str">
        <f>"70,0"</f>
        <v>70,0</v>
      </c>
      <c r="L10" s="24" t="str">
        <f>"40,8310"</f>
        <v>40,8310</v>
      </c>
      <c r="M10" s="20"/>
    </row>
    <row r="11" spans="1:13">
      <c r="A11" s="29">
        <v>2</v>
      </c>
      <c r="B11" s="28" t="s">
        <v>298</v>
      </c>
      <c r="C11" s="28" t="s">
        <v>299</v>
      </c>
      <c r="D11" s="28" t="s">
        <v>300</v>
      </c>
      <c r="E11" s="28" t="s">
        <v>358</v>
      </c>
      <c r="F11" s="28" t="s">
        <v>169</v>
      </c>
      <c r="G11" s="31" t="s">
        <v>91</v>
      </c>
      <c r="H11" s="31" t="s">
        <v>78</v>
      </c>
      <c r="I11" s="30" t="s">
        <v>301</v>
      </c>
      <c r="J11" s="29"/>
      <c r="K11" s="29" t="str">
        <f>"65,0"</f>
        <v>65,0</v>
      </c>
      <c r="L11" s="29" t="str">
        <f>"38,4767"</f>
        <v>38,4767</v>
      </c>
      <c r="M11" s="28"/>
    </row>
    <row r="12" spans="1:13">
      <c r="A12" s="29">
        <v>1</v>
      </c>
      <c r="B12" s="28" t="s">
        <v>254</v>
      </c>
      <c r="C12" s="28" t="s">
        <v>351</v>
      </c>
      <c r="D12" s="28" t="s">
        <v>256</v>
      </c>
      <c r="E12" s="28" t="s">
        <v>362</v>
      </c>
      <c r="F12" s="28" t="s">
        <v>201</v>
      </c>
      <c r="G12" s="30" t="s">
        <v>16</v>
      </c>
      <c r="H12" s="31" t="s">
        <v>16</v>
      </c>
      <c r="I12" s="31" t="s">
        <v>20</v>
      </c>
      <c r="J12" s="29"/>
      <c r="K12" s="29" t="str">
        <f>"75,0"</f>
        <v>75,0</v>
      </c>
      <c r="L12" s="29" t="str">
        <f>"43,5975"</f>
        <v>43,5975</v>
      </c>
      <c r="M12" s="28"/>
    </row>
    <row r="13" spans="1:13">
      <c r="A13" s="26">
        <v>2</v>
      </c>
      <c r="B13" s="21" t="s">
        <v>302</v>
      </c>
      <c r="C13" s="21" t="s">
        <v>352</v>
      </c>
      <c r="D13" s="21" t="s">
        <v>303</v>
      </c>
      <c r="E13" s="21" t="s">
        <v>362</v>
      </c>
      <c r="F13" s="21" t="s">
        <v>53</v>
      </c>
      <c r="G13" s="25" t="s">
        <v>67</v>
      </c>
      <c r="H13" s="27" t="s">
        <v>68</v>
      </c>
      <c r="I13" s="26"/>
      <c r="J13" s="26"/>
      <c r="K13" s="26" t="str">
        <f>"45,0"</f>
        <v>45,0</v>
      </c>
      <c r="L13" s="26" t="str">
        <f>"28,5942"</f>
        <v>28,5942</v>
      </c>
      <c r="M13" s="21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tabSelected="1" workbookViewId="0">
      <selection activeCell="E13" sqref="E13"/>
    </sheetView>
  </sheetViews>
  <sheetFormatPr baseColWidth="10" defaultColWidth="8.83203125" defaultRowHeight="13"/>
  <cols>
    <col min="1" max="1" width="7.5" style="7" bestFit="1" customWidth="1"/>
    <col min="2" max="2" width="23.1640625" style="7" bestFit="1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8" width="5.5" style="9" customWidth="1"/>
    <col min="9" max="9" width="4.5" style="9" customWidth="1"/>
    <col min="10" max="10" width="4.83203125" style="9" customWidth="1"/>
    <col min="11" max="11" width="10.5" style="9" bestFit="1" customWidth="1"/>
    <col min="12" max="12" width="8.83203125" style="9" customWidth="1"/>
    <col min="13" max="13" width="20.5" style="7" customWidth="1"/>
  </cols>
  <sheetData>
    <row r="1" spans="1:13" s="2" customFormat="1" ht="29" customHeight="1">
      <c r="A1" s="50" t="s">
        <v>338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354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108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279</v>
      </c>
      <c r="C6" s="10" t="s">
        <v>280</v>
      </c>
      <c r="D6" s="10" t="s">
        <v>281</v>
      </c>
      <c r="E6" s="10" t="s">
        <v>358</v>
      </c>
      <c r="F6" s="10" t="s">
        <v>65</v>
      </c>
      <c r="G6" s="17" t="s">
        <v>57</v>
      </c>
      <c r="H6" s="17" t="s">
        <v>90</v>
      </c>
      <c r="I6" s="18" t="s">
        <v>77</v>
      </c>
      <c r="J6" s="18"/>
      <c r="K6" s="19" t="str">
        <f>"55,0"</f>
        <v>55,0</v>
      </c>
      <c r="L6" s="19" t="str">
        <f>"36,9820"</f>
        <v>36,9820</v>
      </c>
      <c r="M6" s="10"/>
    </row>
    <row r="8" spans="1:13" ht="16">
      <c r="A8" s="63" t="s">
        <v>22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9">
        <v>1</v>
      </c>
      <c r="B9" s="10" t="s">
        <v>282</v>
      </c>
      <c r="C9" s="10" t="s">
        <v>283</v>
      </c>
      <c r="D9" s="10" t="s">
        <v>284</v>
      </c>
      <c r="E9" s="10" t="s">
        <v>358</v>
      </c>
      <c r="F9" s="10" t="s">
        <v>53</v>
      </c>
      <c r="G9" s="18" t="s">
        <v>57</v>
      </c>
      <c r="H9" s="17" t="s">
        <v>57</v>
      </c>
      <c r="I9" s="19"/>
      <c r="J9" s="19"/>
      <c r="K9" s="19" t="str">
        <f>"50,0"</f>
        <v>50,0</v>
      </c>
      <c r="L9" s="19" t="str">
        <f>"30,9050"</f>
        <v>30,9050</v>
      </c>
      <c r="M9" s="10"/>
    </row>
    <row r="11" spans="1:13" ht="16">
      <c r="A11" s="63" t="s">
        <v>285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19">
        <v>1</v>
      </c>
      <c r="B12" s="10" t="s">
        <v>286</v>
      </c>
      <c r="C12" s="10" t="s">
        <v>287</v>
      </c>
      <c r="D12" s="10" t="s">
        <v>288</v>
      </c>
      <c r="E12" s="10" t="s">
        <v>358</v>
      </c>
      <c r="F12" s="10" t="s">
        <v>65</v>
      </c>
      <c r="G12" s="17" t="s">
        <v>235</v>
      </c>
      <c r="H12" s="18" t="s">
        <v>289</v>
      </c>
      <c r="I12" s="19"/>
      <c r="J12" s="19"/>
      <c r="K12" s="19" t="str">
        <f>"102,5"</f>
        <v>102,5</v>
      </c>
      <c r="L12" s="19" t="str">
        <f>"55,3541"</f>
        <v>55,3541</v>
      </c>
      <c r="M12" s="10"/>
    </row>
    <row r="14" spans="1:13">
      <c r="G14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12"/>
  <sheetViews>
    <sheetView workbookViewId="0">
      <selection activeCell="E13" sqref="E13"/>
    </sheetView>
  </sheetViews>
  <sheetFormatPr baseColWidth="10" defaultColWidth="8.83203125" defaultRowHeight="13"/>
  <cols>
    <col min="1" max="1" width="7.5" style="7" bestFit="1" customWidth="1"/>
    <col min="2" max="2" width="23.33203125" style="7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31.1640625" style="7" customWidth="1"/>
    <col min="7" max="9" width="5.5" style="9" customWidth="1"/>
    <col min="10" max="10" width="4.83203125" style="9" customWidth="1"/>
    <col min="11" max="13" width="5.5" style="9" customWidth="1"/>
    <col min="14" max="14" width="4.83203125" style="9" customWidth="1"/>
    <col min="15" max="17" width="5.5" style="9" customWidth="1"/>
    <col min="18" max="18" width="4.83203125" style="9" customWidth="1"/>
    <col min="19" max="19" width="7.83203125" style="9" bestFit="1" customWidth="1"/>
    <col min="20" max="20" width="8.5" style="9" bestFit="1" customWidth="1"/>
    <col min="21" max="21" width="19.33203125" style="7" customWidth="1"/>
  </cols>
  <sheetData>
    <row r="1" spans="1:21" s="2" customFormat="1" ht="29" customHeight="1">
      <c r="A1" s="50" t="s">
        <v>322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1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8</v>
      </c>
      <c r="H3" s="62"/>
      <c r="I3" s="62"/>
      <c r="J3" s="62"/>
      <c r="K3" s="62" t="s">
        <v>9</v>
      </c>
      <c r="L3" s="62"/>
      <c r="M3" s="62"/>
      <c r="N3" s="62"/>
      <c r="O3" s="62" t="s">
        <v>10</v>
      </c>
      <c r="P3" s="62"/>
      <c r="Q3" s="62"/>
      <c r="R3" s="62"/>
      <c r="S3" s="44" t="s">
        <v>1</v>
      </c>
      <c r="T3" s="44" t="s">
        <v>3</v>
      </c>
      <c r="U3" s="46" t="s">
        <v>2</v>
      </c>
    </row>
    <row r="4" spans="1:21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5"/>
      <c r="T4" s="45"/>
      <c r="U4" s="47"/>
    </row>
    <row r="5" spans="1:21" s="3" customFormat="1" ht="16">
      <c r="A5" s="48" t="s">
        <v>11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6"/>
      <c r="T5" s="6"/>
      <c r="U5" s="5"/>
    </row>
    <row r="6" spans="1:21">
      <c r="A6" s="19">
        <v>1</v>
      </c>
      <c r="B6" s="10" t="s">
        <v>12</v>
      </c>
      <c r="C6" s="10" t="s">
        <v>13</v>
      </c>
      <c r="D6" s="10" t="s">
        <v>14</v>
      </c>
      <c r="E6" s="10" t="s">
        <v>358</v>
      </c>
      <c r="F6" s="10" t="s">
        <v>15</v>
      </c>
      <c r="G6" s="17" t="s">
        <v>16</v>
      </c>
      <c r="H6" s="18" t="s">
        <v>17</v>
      </c>
      <c r="I6" s="18" t="s">
        <v>17</v>
      </c>
      <c r="J6" s="19"/>
      <c r="K6" s="17" t="s">
        <v>18</v>
      </c>
      <c r="L6" s="18" t="s">
        <v>19</v>
      </c>
      <c r="M6" s="18" t="s">
        <v>19</v>
      </c>
      <c r="N6" s="19"/>
      <c r="O6" s="17" t="s">
        <v>16</v>
      </c>
      <c r="P6" s="17" t="s">
        <v>20</v>
      </c>
      <c r="Q6" s="17" t="s">
        <v>21</v>
      </c>
      <c r="R6" s="19"/>
      <c r="S6" s="19" t="str">
        <f>"187,5"</f>
        <v>187,5</v>
      </c>
      <c r="T6" s="19" t="str">
        <f>"201,8438"</f>
        <v>201,8438</v>
      </c>
      <c r="U6" s="10" t="s">
        <v>320</v>
      </c>
    </row>
    <row r="8" spans="1:21" ht="16">
      <c r="A8" s="63" t="s">
        <v>22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19">
        <v>1</v>
      </c>
      <c r="B9" s="10" t="s">
        <v>23</v>
      </c>
      <c r="C9" s="10" t="s">
        <v>24</v>
      </c>
      <c r="D9" s="10" t="s">
        <v>25</v>
      </c>
      <c r="E9" s="10" t="s">
        <v>358</v>
      </c>
      <c r="F9" s="10" t="s">
        <v>341</v>
      </c>
      <c r="G9" s="17" t="s">
        <v>26</v>
      </c>
      <c r="H9" s="17" t="s">
        <v>27</v>
      </c>
      <c r="I9" s="17" t="s">
        <v>28</v>
      </c>
      <c r="J9" s="19"/>
      <c r="K9" s="17" t="s">
        <v>29</v>
      </c>
      <c r="L9" s="17" t="s">
        <v>30</v>
      </c>
      <c r="M9" s="17" t="s">
        <v>31</v>
      </c>
      <c r="N9" s="19"/>
      <c r="O9" s="17" t="s">
        <v>32</v>
      </c>
      <c r="P9" s="17" t="s">
        <v>33</v>
      </c>
      <c r="Q9" s="17" t="s">
        <v>34</v>
      </c>
      <c r="R9" s="19"/>
      <c r="S9" s="19" t="str">
        <f>"695,0"</f>
        <v>695,0</v>
      </c>
      <c r="T9" s="19" t="str">
        <f>"455,7115"</f>
        <v>455,7115</v>
      </c>
      <c r="U9" s="10" t="s">
        <v>35</v>
      </c>
    </row>
    <row r="11" spans="1:21" ht="16">
      <c r="A11" s="63" t="s">
        <v>36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19">
        <v>1</v>
      </c>
      <c r="B12" s="10" t="s">
        <v>37</v>
      </c>
      <c r="C12" s="10" t="s">
        <v>38</v>
      </c>
      <c r="D12" s="10" t="s">
        <v>39</v>
      </c>
      <c r="E12" s="10" t="s">
        <v>358</v>
      </c>
      <c r="F12" s="10" t="s">
        <v>40</v>
      </c>
      <c r="G12" s="17" t="s">
        <v>41</v>
      </c>
      <c r="H12" s="18" t="s">
        <v>26</v>
      </c>
      <c r="I12" s="17" t="s">
        <v>26</v>
      </c>
      <c r="J12" s="19"/>
      <c r="K12" s="17" t="s">
        <v>42</v>
      </c>
      <c r="L12" s="17" t="s">
        <v>30</v>
      </c>
      <c r="M12" s="17" t="s">
        <v>31</v>
      </c>
      <c r="N12" s="19"/>
      <c r="O12" s="17" t="s">
        <v>43</v>
      </c>
      <c r="P12" s="17" t="s">
        <v>44</v>
      </c>
      <c r="Q12" s="18" t="s">
        <v>33</v>
      </c>
      <c r="R12" s="19"/>
      <c r="S12" s="19" t="str">
        <f>"630,0"</f>
        <v>630,0</v>
      </c>
      <c r="T12" s="19" t="str">
        <f>"372,7710"</f>
        <v>372,7710</v>
      </c>
      <c r="U12" s="10"/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"/>
  <sheetViews>
    <sheetView workbookViewId="0">
      <selection activeCell="E11" sqref="E11"/>
    </sheetView>
  </sheetViews>
  <sheetFormatPr baseColWidth="10" defaultColWidth="8.83203125" defaultRowHeight="13"/>
  <cols>
    <col min="1" max="1" width="7.5" style="7" bestFit="1" customWidth="1"/>
    <col min="2" max="2" width="21.83203125" style="7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32.33203125" style="7" customWidth="1"/>
    <col min="7" max="9" width="5.5" style="9" customWidth="1"/>
    <col min="10" max="10" width="4.83203125" style="9" customWidth="1"/>
    <col min="11" max="13" width="5.5" style="9" customWidth="1"/>
    <col min="14" max="14" width="4.83203125" style="9" customWidth="1"/>
    <col min="15" max="15" width="7.83203125" style="9" bestFit="1" customWidth="1"/>
    <col min="16" max="16" width="8.5" style="9" bestFit="1" customWidth="1"/>
    <col min="17" max="17" width="19" style="7" customWidth="1"/>
  </cols>
  <sheetData>
    <row r="1" spans="1:17" s="2" customFormat="1" ht="29" customHeight="1">
      <c r="A1" s="50" t="s">
        <v>323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7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62" t="s">
        <v>10</v>
      </c>
      <c r="L3" s="62"/>
      <c r="M3" s="62"/>
      <c r="N3" s="62"/>
      <c r="O3" s="44" t="s">
        <v>1</v>
      </c>
      <c r="P3" s="44" t="s">
        <v>3</v>
      </c>
      <c r="Q3" s="46" t="s">
        <v>2</v>
      </c>
    </row>
    <row r="4" spans="1:17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5"/>
      <c r="P4" s="45"/>
      <c r="Q4" s="47"/>
    </row>
    <row r="5" spans="1:17" s="3" customFormat="1" ht="16">
      <c r="A5" s="48" t="s">
        <v>94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"/>
      <c r="P5" s="6"/>
      <c r="Q5" s="5"/>
    </row>
    <row r="6" spans="1:17">
      <c r="A6" s="24">
        <v>1</v>
      </c>
      <c r="B6" s="20" t="s">
        <v>268</v>
      </c>
      <c r="C6" s="20" t="s">
        <v>269</v>
      </c>
      <c r="D6" s="20" t="s">
        <v>270</v>
      </c>
      <c r="E6" s="20" t="s">
        <v>358</v>
      </c>
      <c r="F6" s="20" t="s">
        <v>174</v>
      </c>
      <c r="G6" s="22" t="s">
        <v>106</v>
      </c>
      <c r="H6" s="23" t="s">
        <v>93</v>
      </c>
      <c r="I6" s="23" t="s">
        <v>93</v>
      </c>
      <c r="J6" s="24"/>
      <c r="K6" s="22" t="s">
        <v>41</v>
      </c>
      <c r="L6" s="23" t="s">
        <v>271</v>
      </c>
      <c r="M6" s="23" t="s">
        <v>271</v>
      </c>
      <c r="N6" s="24"/>
      <c r="O6" s="24" t="str">
        <f>"320,0"</f>
        <v>320,0</v>
      </c>
      <c r="P6" s="24" t="str">
        <f>"231,0720"</f>
        <v>231,0720</v>
      </c>
      <c r="Q6" s="20"/>
    </row>
    <row r="7" spans="1:17">
      <c r="A7" s="26">
        <v>2</v>
      </c>
      <c r="B7" s="21" t="s">
        <v>272</v>
      </c>
      <c r="C7" s="21" t="s">
        <v>273</v>
      </c>
      <c r="D7" s="21" t="s">
        <v>274</v>
      </c>
      <c r="E7" s="21" t="s">
        <v>358</v>
      </c>
      <c r="F7" s="21" t="s">
        <v>342</v>
      </c>
      <c r="G7" s="27" t="s">
        <v>59</v>
      </c>
      <c r="H7" s="25" t="s">
        <v>59</v>
      </c>
      <c r="I7" s="25" t="s">
        <v>60</v>
      </c>
      <c r="J7" s="26"/>
      <c r="K7" s="25" t="s">
        <v>41</v>
      </c>
      <c r="L7" s="25" t="s">
        <v>26</v>
      </c>
      <c r="M7" s="27" t="s">
        <v>244</v>
      </c>
      <c r="N7" s="26"/>
      <c r="O7" s="26" t="str">
        <f>"317,5"</f>
        <v>317,5</v>
      </c>
      <c r="P7" s="26" t="str">
        <f>"228,3777"</f>
        <v>228,3777</v>
      </c>
      <c r="Q7" s="21"/>
    </row>
    <row r="9" spans="1:17" ht="16">
      <c r="A9" s="63" t="s">
        <v>22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7">
      <c r="A10" s="19">
        <v>1</v>
      </c>
      <c r="B10" s="10" t="s">
        <v>275</v>
      </c>
      <c r="C10" s="10" t="s">
        <v>276</v>
      </c>
      <c r="D10" s="10" t="s">
        <v>277</v>
      </c>
      <c r="E10" s="10" t="s">
        <v>363</v>
      </c>
      <c r="F10" s="10" t="s">
        <v>53</v>
      </c>
      <c r="G10" s="17" t="s">
        <v>106</v>
      </c>
      <c r="H10" s="17" t="s">
        <v>93</v>
      </c>
      <c r="I10" s="18" t="s">
        <v>107</v>
      </c>
      <c r="J10" s="19"/>
      <c r="K10" s="17" t="s">
        <v>252</v>
      </c>
      <c r="L10" s="17" t="s">
        <v>135</v>
      </c>
      <c r="M10" s="19"/>
      <c r="N10" s="19"/>
      <c r="O10" s="19" t="str">
        <f>"375,0"</f>
        <v>375,0</v>
      </c>
      <c r="P10" s="19" t="str">
        <f>"289,1369"</f>
        <v>289,1369</v>
      </c>
      <c r="Q10" s="10" t="s">
        <v>278</v>
      </c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1"/>
  <sheetViews>
    <sheetView workbookViewId="0">
      <selection activeCell="E32" sqref="E32"/>
    </sheetView>
  </sheetViews>
  <sheetFormatPr baseColWidth="10" defaultColWidth="8.83203125" defaultRowHeight="13"/>
  <cols>
    <col min="1" max="1" width="7.5" style="7" bestFit="1" customWidth="1"/>
    <col min="2" max="2" width="20.33203125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9.33203125" style="9" customWidth="1"/>
    <col min="13" max="13" width="23.6640625" style="7" customWidth="1"/>
  </cols>
  <sheetData>
    <row r="1" spans="1:13" s="2" customFormat="1" ht="29" customHeight="1">
      <c r="A1" s="50" t="s">
        <v>324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170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171</v>
      </c>
      <c r="C6" s="10" t="s">
        <v>172</v>
      </c>
      <c r="D6" s="10" t="s">
        <v>173</v>
      </c>
      <c r="E6" s="10" t="s">
        <v>361</v>
      </c>
      <c r="F6" s="10" t="s">
        <v>174</v>
      </c>
      <c r="G6" s="18" t="s">
        <v>84</v>
      </c>
      <c r="H6" s="17" t="s">
        <v>67</v>
      </c>
      <c r="I6" s="18" t="s">
        <v>68</v>
      </c>
      <c r="J6" s="19"/>
      <c r="K6" s="19" t="str">
        <f>"45,0"</f>
        <v>45,0</v>
      </c>
      <c r="L6" s="19" t="str">
        <f>"61,6455"</f>
        <v>61,6455</v>
      </c>
      <c r="M6" s="10"/>
    </row>
    <row r="8" spans="1:13" ht="16">
      <c r="A8" s="63" t="s">
        <v>11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9">
        <v>1</v>
      </c>
      <c r="B9" s="10" t="s">
        <v>175</v>
      </c>
      <c r="C9" s="10" t="s">
        <v>176</v>
      </c>
      <c r="D9" s="10" t="s">
        <v>177</v>
      </c>
      <c r="E9" s="10" t="s">
        <v>360</v>
      </c>
      <c r="F9" s="10" t="s">
        <v>345</v>
      </c>
      <c r="G9" s="17" t="s">
        <v>82</v>
      </c>
      <c r="H9" s="18" t="s">
        <v>66</v>
      </c>
      <c r="I9" s="18" t="s">
        <v>66</v>
      </c>
      <c r="J9" s="19"/>
      <c r="K9" s="19" t="str">
        <f>"85,0"</f>
        <v>85,0</v>
      </c>
      <c r="L9" s="19" t="str">
        <f>"69,5130"</f>
        <v>69,5130</v>
      </c>
      <c r="M9" s="10"/>
    </row>
    <row r="11" spans="1:13" ht="16">
      <c r="A11" s="63" t="s">
        <v>94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24">
        <v>1</v>
      </c>
      <c r="B12" s="20" t="s">
        <v>178</v>
      </c>
      <c r="C12" s="20" t="s">
        <v>179</v>
      </c>
      <c r="D12" s="20" t="s">
        <v>180</v>
      </c>
      <c r="E12" s="20" t="s">
        <v>361</v>
      </c>
      <c r="F12" s="20" t="s">
        <v>53</v>
      </c>
      <c r="G12" s="22" t="s">
        <v>181</v>
      </c>
      <c r="H12" s="23" t="s">
        <v>93</v>
      </c>
      <c r="I12" s="23" t="s">
        <v>93</v>
      </c>
      <c r="J12" s="24"/>
      <c r="K12" s="24" t="str">
        <f>"125,0"</f>
        <v>125,0</v>
      </c>
      <c r="L12" s="24" t="str">
        <f>"91,8125"</f>
        <v>91,8125</v>
      </c>
      <c r="M12" s="20"/>
    </row>
    <row r="13" spans="1:13">
      <c r="A13" s="26">
        <v>1</v>
      </c>
      <c r="B13" s="21" t="s">
        <v>182</v>
      </c>
      <c r="C13" s="21" t="s">
        <v>183</v>
      </c>
      <c r="D13" s="21" t="s">
        <v>184</v>
      </c>
      <c r="E13" s="21" t="s">
        <v>358</v>
      </c>
      <c r="F13" s="21" t="s">
        <v>53</v>
      </c>
      <c r="G13" s="27" t="s">
        <v>181</v>
      </c>
      <c r="H13" s="25" t="s">
        <v>181</v>
      </c>
      <c r="I13" s="27" t="s">
        <v>93</v>
      </c>
      <c r="J13" s="26"/>
      <c r="K13" s="26" t="str">
        <f>"125,0"</f>
        <v>125,0</v>
      </c>
      <c r="L13" s="26" t="str">
        <f>"90,0000"</f>
        <v>90,0000</v>
      </c>
      <c r="M13" s="21"/>
    </row>
    <row r="15" spans="1:13" ht="16">
      <c r="A15" s="63" t="s">
        <v>22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>
      <c r="A16" s="24">
        <v>1</v>
      </c>
      <c r="B16" s="20" t="s">
        <v>185</v>
      </c>
      <c r="C16" s="20" t="s">
        <v>186</v>
      </c>
      <c r="D16" s="20" t="s">
        <v>187</v>
      </c>
      <c r="E16" s="20" t="s">
        <v>358</v>
      </c>
      <c r="F16" s="20" t="s">
        <v>188</v>
      </c>
      <c r="G16" s="22" t="s">
        <v>29</v>
      </c>
      <c r="H16" s="22" t="s">
        <v>189</v>
      </c>
      <c r="I16" s="22" t="s">
        <v>190</v>
      </c>
      <c r="J16" s="24"/>
      <c r="K16" s="24" t="str">
        <f>"162,5"</f>
        <v>162,5</v>
      </c>
      <c r="L16" s="24" t="str">
        <f>"104,5200"</f>
        <v>104,5200</v>
      </c>
      <c r="M16" s="20"/>
    </row>
    <row r="17" spans="1:13">
      <c r="A17" s="29">
        <v>2</v>
      </c>
      <c r="B17" s="28" t="s">
        <v>191</v>
      </c>
      <c r="C17" s="28" t="s">
        <v>192</v>
      </c>
      <c r="D17" s="28" t="s">
        <v>193</v>
      </c>
      <c r="E17" s="28" t="s">
        <v>358</v>
      </c>
      <c r="F17" s="28" t="s">
        <v>65</v>
      </c>
      <c r="G17" s="31" t="s">
        <v>133</v>
      </c>
      <c r="H17" s="31" t="s">
        <v>160</v>
      </c>
      <c r="I17" s="31" t="s">
        <v>30</v>
      </c>
      <c r="J17" s="29"/>
      <c r="K17" s="29" t="str">
        <f>"155,0"</f>
        <v>155,0</v>
      </c>
      <c r="L17" s="29" t="str">
        <f>"99,0605"</f>
        <v>99,0605</v>
      </c>
      <c r="M17" s="28" t="s">
        <v>313</v>
      </c>
    </row>
    <row r="18" spans="1:13">
      <c r="A18" s="29">
        <v>3</v>
      </c>
      <c r="B18" s="28" t="s">
        <v>194</v>
      </c>
      <c r="C18" s="28" t="s">
        <v>195</v>
      </c>
      <c r="D18" s="28" t="s">
        <v>196</v>
      </c>
      <c r="E18" s="28" t="s">
        <v>358</v>
      </c>
      <c r="F18" s="28" t="s">
        <v>197</v>
      </c>
      <c r="G18" s="30" t="s">
        <v>133</v>
      </c>
      <c r="H18" s="31" t="s">
        <v>133</v>
      </c>
      <c r="I18" s="30" t="s">
        <v>160</v>
      </c>
      <c r="J18" s="29"/>
      <c r="K18" s="29" t="str">
        <f>"147,5"</f>
        <v>147,5</v>
      </c>
      <c r="L18" s="29" t="str">
        <f>"94,3705"</f>
        <v>94,3705</v>
      </c>
      <c r="M18" s="28"/>
    </row>
    <row r="19" spans="1:13">
      <c r="A19" s="29" t="s">
        <v>149</v>
      </c>
      <c r="B19" s="28" t="s">
        <v>198</v>
      </c>
      <c r="C19" s="28" t="s">
        <v>199</v>
      </c>
      <c r="D19" s="28" t="s">
        <v>200</v>
      </c>
      <c r="E19" s="28" t="s">
        <v>358</v>
      </c>
      <c r="F19" s="28" t="s">
        <v>201</v>
      </c>
      <c r="G19" s="30" t="s">
        <v>93</v>
      </c>
      <c r="H19" s="30" t="s">
        <v>93</v>
      </c>
      <c r="I19" s="30" t="s">
        <v>93</v>
      </c>
      <c r="J19" s="29"/>
      <c r="K19" s="29" t="str">
        <f>"0.00"</f>
        <v>0.00</v>
      </c>
      <c r="L19" s="29" t="str">
        <f>"0,0000"</f>
        <v>0,0000</v>
      </c>
      <c r="M19" s="28"/>
    </row>
    <row r="20" spans="1:13">
      <c r="A20" s="26">
        <v>1</v>
      </c>
      <c r="B20" s="21" t="s">
        <v>194</v>
      </c>
      <c r="C20" s="21" t="s">
        <v>202</v>
      </c>
      <c r="D20" s="21" t="s">
        <v>196</v>
      </c>
      <c r="E20" s="21" t="s">
        <v>362</v>
      </c>
      <c r="F20" s="21" t="s">
        <v>197</v>
      </c>
      <c r="G20" s="27" t="s">
        <v>133</v>
      </c>
      <c r="H20" s="25" t="s">
        <v>133</v>
      </c>
      <c r="I20" s="27" t="s">
        <v>160</v>
      </c>
      <c r="J20" s="26"/>
      <c r="K20" s="26" t="str">
        <f>"147,5"</f>
        <v>147,5</v>
      </c>
      <c r="L20" s="26" t="str">
        <f>"95,6917"</f>
        <v>95,6917</v>
      </c>
      <c r="M20" s="21"/>
    </row>
    <row r="22" spans="1:13" ht="16">
      <c r="A22" s="63" t="s">
        <v>123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3">
      <c r="A23" s="24">
        <v>1</v>
      </c>
      <c r="B23" s="20" t="s">
        <v>203</v>
      </c>
      <c r="C23" s="20" t="s">
        <v>204</v>
      </c>
      <c r="D23" s="20" t="s">
        <v>205</v>
      </c>
      <c r="E23" s="20" t="s">
        <v>358</v>
      </c>
      <c r="F23" s="20" t="s">
        <v>206</v>
      </c>
      <c r="G23" s="22" t="s">
        <v>107</v>
      </c>
      <c r="H23" s="22" t="s">
        <v>29</v>
      </c>
      <c r="I23" s="23" t="s">
        <v>190</v>
      </c>
      <c r="J23" s="24"/>
      <c r="K23" s="24" t="str">
        <f>"150,0"</f>
        <v>150,0</v>
      </c>
      <c r="L23" s="24" t="str">
        <f>"94,1850"</f>
        <v>94,1850</v>
      </c>
      <c r="M23" s="20"/>
    </row>
    <row r="24" spans="1:13">
      <c r="A24" s="29">
        <v>2</v>
      </c>
      <c r="B24" s="28" t="s">
        <v>207</v>
      </c>
      <c r="C24" s="28" t="s">
        <v>208</v>
      </c>
      <c r="D24" s="28" t="s">
        <v>209</v>
      </c>
      <c r="E24" s="28" t="s">
        <v>358</v>
      </c>
      <c r="F24" s="28" t="s">
        <v>206</v>
      </c>
      <c r="G24" s="31" t="s">
        <v>181</v>
      </c>
      <c r="H24" s="31" t="s">
        <v>92</v>
      </c>
      <c r="I24" s="30" t="s">
        <v>107</v>
      </c>
      <c r="J24" s="29"/>
      <c r="K24" s="29" t="str">
        <f>"132,5"</f>
        <v>132,5</v>
      </c>
      <c r="L24" s="29" t="str">
        <f>"82,2295"</f>
        <v>82,2295</v>
      </c>
      <c r="M24" s="28"/>
    </row>
    <row r="25" spans="1:13">
      <c r="A25" s="26">
        <v>1</v>
      </c>
      <c r="B25" s="21" t="s">
        <v>210</v>
      </c>
      <c r="C25" s="21" t="s">
        <v>211</v>
      </c>
      <c r="D25" s="21" t="s">
        <v>212</v>
      </c>
      <c r="E25" s="21" t="s">
        <v>363</v>
      </c>
      <c r="F25" s="21" t="s">
        <v>156</v>
      </c>
      <c r="G25" s="25" t="s">
        <v>93</v>
      </c>
      <c r="H25" s="27" t="s">
        <v>107</v>
      </c>
      <c r="I25" s="27" t="s">
        <v>213</v>
      </c>
      <c r="J25" s="26"/>
      <c r="K25" s="26" t="str">
        <f>"135,0"</f>
        <v>135,0</v>
      </c>
      <c r="L25" s="26" t="str">
        <f>"110,2748"</f>
        <v>110,2748</v>
      </c>
      <c r="M25" s="21"/>
    </row>
    <row r="26" spans="1:13">
      <c r="A26" s="32"/>
      <c r="B26" s="13"/>
      <c r="C26" s="13"/>
      <c r="D26" s="13"/>
      <c r="E26" s="13"/>
      <c r="F26" s="13"/>
      <c r="G26" s="36"/>
      <c r="H26" s="33"/>
      <c r="I26" s="33"/>
      <c r="J26" s="32"/>
      <c r="K26" s="32"/>
      <c r="L26" s="32"/>
      <c r="M26" s="13"/>
    </row>
    <row r="27" spans="1:13" ht="16">
      <c r="A27" s="63" t="s">
        <v>36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3">
      <c r="A28" s="19">
        <v>1</v>
      </c>
      <c r="B28" s="10" t="s">
        <v>314</v>
      </c>
      <c r="C28" s="10" t="s">
        <v>202</v>
      </c>
      <c r="D28" s="10">
        <v>108.5</v>
      </c>
      <c r="E28" s="10" t="s">
        <v>362</v>
      </c>
      <c r="F28" s="10" t="s">
        <v>65</v>
      </c>
      <c r="G28" s="34">
        <v>167.5</v>
      </c>
      <c r="H28" s="35">
        <v>170</v>
      </c>
      <c r="I28" s="35">
        <v>170</v>
      </c>
      <c r="J28" s="19"/>
      <c r="K28" s="19" t="str">
        <f>"167,5"</f>
        <v>167,5</v>
      </c>
      <c r="L28" s="19" t="str">
        <f>"98,9925"</f>
        <v>98,9925</v>
      </c>
      <c r="M28" s="10"/>
    </row>
    <row r="30" spans="1:13" ht="16">
      <c r="A30" s="63" t="s">
        <v>214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>
      <c r="A31" s="19">
        <v>1</v>
      </c>
      <c r="B31" s="10" t="s">
        <v>215</v>
      </c>
      <c r="C31" s="10" t="s">
        <v>216</v>
      </c>
      <c r="D31" s="10" t="s">
        <v>217</v>
      </c>
      <c r="E31" s="10" t="s">
        <v>358</v>
      </c>
      <c r="F31" s="10" t="s">
        <v>53</v>
      </c>
      <c r="G31" s="17" t="s">
        <v>100</v>
      </c>
      <c r="H31" s="18" t="s">
        <v>101</v>
      </c>
      <c r="I31" s="18" t="s">
        <v>101</v>
      </c>
      <c r="J31" s="19"/>
      <c r="K31" s="19" t="str">
        <f>"175,0"</f>
        <v>175,0</v>
      </c>
      <c r="L31" s="19" t="str">
        <f>"100,5200"</f>
        <v>100,5200</v>
      </c>
      <c r="M31" s="10"/>
    </row>
    <row r="35" spans="2:7" ht="18">
      <c r="B35" s="8" t="s">
        <v>7</v>
      </c>
      <c r="C35" s="8"/>
    </row>
    <row r="36" spans="2:7" ht="14">
      <c r="B36" s="12" t="s">
        <v>343</v>
      </c>
    </row>
    <row r="37" spans="2:7" ht="14">
      <c r="B37" s="11"/>
      <c r="C37" s="12" t="s">
        <v>45</v>
      </c>
    </row>
    <row r="38" spans="2:7" ht="14">
      <c r="B38" s="14" t="s">
        <v>46</v>
      </c>
      <c r="C38" s="14" t="s">
        <v>47</v>
      </c>
      <c r="D38" s="14" t="s">
        <v>344</v>
      </c>
      <c r="E38" s="14" t="s">
        <v>147</v>
      </c>
      <c r="F38" s="14" t="s">
        <v>48</v>
      </c>
    </row>
    <row r="39" spans="2:7">
      <c r="B39" s="7" t="s">
        <v>185</v>
      </c>
      <c r="C39" s="7" t="s">
        <v>45</v>
      </c>
      <c r="D39" s="9">
        <v>90</v>
      </c>
      <c r="E39" s="16">
        <v>162.5</v>
      </c>
      <c r="F39" s="15">
        <v>104.519996792078</v>
      </c>
    </row>
    <row r="40" spans="2:7">
      <c r="B40" s="7" t="s">
        <v>215</v>
      </c>
      <c r="C40" s="7" t="s">
        <v>45</v>
      </c>
      <c r="D40" s="9">
        <v>125</v>
      </c>
      <c r="E40" s="16">
        <v>175</v>
      </c>
      <c r="F40" s="15">
        <v>100.520001351833</v>
      </c>
      <c r="G40" s="7"/>
    </row>
    <row r="41" spans="2:7">
      <c r="B41" s="7" t="s">
        <v>191</v>
      </c>
      <c r="C41" s="7" t="s">
        <v>45</v>
      </c>
      <c r="D41" s="9">
        <v>90</v>
      </c>
      <c r="E41" s="16">
        <v>155</v>
      </c>
      <c r="F41" s="15">
        <v>99.060502350330395</v>
      </c>
      <c r="G41" s="7"/>
    </row>
  </sheetData>
  <mergeCells count="18">
    <mergeCell ref="A30:J30"/>
    <mergeCell ref="A27:J27"/>
    <mergeCell ref="K3:K4"/>
    <mergeCell ref="L3:L4"/>
    <mergeCell ref="M3:M4"/>
    <mergeCell ref="A5:J5"/>
    <mergeCell ref="A8:J8"/>
    <mergeCell ref="A11:J11"/>
    <mergeCell ref="A15:J15"/>
    <mergeCell ref="A22:J22"/>
    <mergeCell ref="A1:M2"/>
    <mergeCell ref="A3:A4"/>
    <mergeCell ref="C3:C4"/>
    <mergeCell ref="D3:D4"/>
    <mergeCell ref="E3:E4"/>
    <mergeCell ref="F3:F4"/>
    <mergeCell ref="G3:J3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7"/>
  <sheetViews>
    <sheetView workbookViewId="0">
      <selection activeCell="E18" sqref="E18"/>
    </sheetView>
  </sheetViews>
  <sheetFormatPr baseColWidth="10" defaultColWidth="8.83203125" defaultRowHeight="13"/>
  <cols>
    <col min="1" max="1" width="7.5" style="7" bestFit="1" customWidth="1"/>
    <col min="2" max="2" width="22.1640625" style="7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16" bestFit="1" customWidth="1"/>
    <col min="12" max="12" width="8.6640625" style="9" bestFit="1" customWidth="1"/>
    <col min="13" max="13" width="29.33203125" style="7" bestFit="1" customWidth="1"/>
  </cols>
  <sheetData>
    <row r="1" spans="1:13" s="2" customFormat="1" ht="29" customHeight="1">
      <c r="A1" s="50" t="s">
        <v>325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66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67"/>
      <c r="L4" s="45"/>
      <c r="M4" s="47"/>
    </row>
    <row r="5" spans="1:13" s="3" customFormat="1" ht="16">
      <c r="A5" s="48" t="s">
        <v>108</v>
      </c>
      <c r="B5" s="48"/>
      <c r="C5" s="49"/>
      <c r="D5" s="49"/>
      <c r="E5" s="49"/>
      <c r="F5" s="49"/>
      <c r="G5" s="49"/>
      <c r="H5" s="49"/>
      <c r="I5" s="49"/>
      <c r="J5" s="49"/>
      <c r="K5" s="37"/>
      <c r="L5" s="6"/>
      <c r="M5" s="5"/>
    </row>
    <row r="6" spans="1:13">
      <c r="A6" s="19">
        <v>1</v>
      </c>
      <c r="B6" s="10" t="s">
        <v>150</v>
      </c>
      <c r="C6" s="10" t="s">
        <v>151</v>
      </c>
      <c r="D6" s="10" t="s">
        <v>152</v>
      </c>
      <c r="E6" s="10" t="s">
        <v>362</v>
      </c>
      <c r="F6" s="10" t="s">
        <v>53</v>
      </c>
      <c r="G6" s="17" t="s">
        <v>106</v>
      </c>
      <c r="H6" s="17" t="s">
        <v>107</v>
      </c>
      <c r="I6" s="17" t="s">
        <v>29</v>
      </c>
      <c r="J6" s="19"/>
      <c r="K6" s="38" t="str">
        <f>"150,0"</f>
        <v>150,0</v>
      </c>
      <c r="L6" s="19" t="str">
        <f>"101,8500"</f>
        <v>101,8500</v>
      </c>
      <c r="M6" s="10"/>
    </row>
    <row r="8" spans="1:13" ht="16">
      <c r="A8" s="63" t="s">
        <v>22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24">
        <v>1</v>
      </c>
      <c r="B9" s="20" t="s">
        <v>153</v>
      </c>
      <c r="C9" s="20" t="s">
        <v>154</v>
      </c>
      <c r="D9" s="20" t="s">
        <v>155</v>
      </c>
      <c r="E9" s="20" t="s">
        <v>358</v>
      </c>
      <c r="F9" s="20" t="s">
        <v>156</v>
      </c>
      <c r="G9" s="22" t="s">
        <v>113</v>
      </c>
      <c r="H9" s="23" t="s">
        <v>100</v>
      </c>
      <c r="I9" s="23" t="s">
        <v>100</v>
      </c>
      <c r="J9" s="24"/>
      <c r="K9" s="39" t="str">
        <f>"165,0"</f>
        <v>165,0</v>
      </c>
      <c r="L9" s="24" t="str">
        <f>"106,9035"</f>
        <v>106,9035</v>
      </c>
      <c r="M9" s="20"/>
    </row>
    <row r="10" spans="1:13">
      <c r="A10" s="26">
        <v>2</v>
      </c>
      <c r="B10" s="21" t="s">
        <v>157</v>
      </c>
      <c r="C10" s="21" t="s">
        <v>158</v>
      </c>
      <c r="D10" s="21" t="s">
        <v>159</v>
      </c>
      <c r="E10" s="21" t="s">
        <v>358</v>
      </c>
      <c r="F10" s="21" t="s">
        <v>53</v>
      </c>
      <c r="G10" s="25" t="s">
        <v>42</v>
      </c>
      <c r="H10" s="27" t="s">
        <v>160</v>
      </c>
      <c r="I10" s="27" t="s">
        <v>160</v>
      </c>
      <c r="J10" s="26"/>
      <c r="K10" s="40" t="str">
        <f>"145,0"</f>
        <v>145,0</v>
      </c>
      <c r="L10" s="26" t="str">
        <f>"93,8875"</f>
        <v>93,8875</v>
      </c>
      <c r="M10" s="21"/>
    </row>
    <row r="12" spans="1:13" ht="16">
      <c r="A12" s="63" t="s">
        <v>123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19" t="s">
        <v>149</v>
      </c>
      <c r="B13" s="10" t="s">
        <v>161</v>
      </c>
      <c r="C13" s="10" t="s">
        <v>162</v>
      </c>
      <c r="D13" s="10" t="s">
        <v>163</v>
      </c>
      <c r="E13" s="10" t="s">
        <v>358</v>
      </c>
      <c r="F13" s="10" t="s">
        <v>164</v>
      </c>
      <c r="G13" s="18" t="s">
        <v>165</v>
      </c>
      <c r="H13" s="18" t="s">
        <v>102</v>
      </c>
      <c r="I13" s="18" t="s">
        <v>102</v>
      </c>
      <c r="J13" s="19"/>
      <c r="K13" s="38">
        <v>0</v>
      </c>
      <c r="L13" s="19" t="str">
        <f>"0,0000"</f>
        <v>0,0000</v>
      </c>
      <c r="M13" s="10"/>
    </row>
    <row r="15" spans="1:13" ht="16">
      <c r="A15" s="63" t="s">
        <v>36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>
      <c r="A16" s="24">
        <v>1</v>
      </c>
      <c r="B16" s="20" t="s">
        <v>136</v>
      </c>
      <c r="C16" s="20" t="s">
        <v>137</v>
      </c>
      <c r="D16" s="20" t="s">
        <v>138</v>
      </c>
      <c r="E16" s="20" t="s">
        <v>358</v>
      </c>
      <c r="F16" s="20" t="s">
        <v>65</v>
      </c>
      <c r="G16" s="22" t="s">
        <v>31</v>
      </c>
      <c r="H16" s="22" t="s">
        <v>166</v>
      </c>
      <c r="I16" s="22" t="s">
        <v>101</v>
      </c>
      <c r="J16" s="24"/>
      <c r="K16" s="39" t="str">
        <f>"180,0"</f>
        <v>180,0</v>
      </c>
      <c r="L16" s="24" t="str">
        <f>"108,1080"</f>
        <v>108,1080</v>
      </c>
      <c r="M16" s="20" t="s">
        <v>315</v>
      </c>
    </row>
    <row r="17" spans="1:13">
      <c r="A17" s="26">
        <v>2</v>
      </c>
      <c r="B17" s="21" t="s">
        <v>167</v>
      </c>
      <c r="C17" s="21" t="s">
        <v>168</v>
      </c>
      <c r="D17" s="21" t="s">
        <v>145</v>
      </c>
      <c r="E17" s="21" t="s">
        <v>358</v>
      </c>
      <c r="F17" s="21" t="s">
        <v>169</v>
      </c>
      <c r="G17" s="25" t="s">
        <v>29</v>
      </c>
      <c r="H17" s="25" t="s">
        <v>30</v>
      </c>
      <c r="I17" s="27" t="s">
        <v>31</v>
      </c>
      <c r="J17" s="26"/>
      <c r="K17" s="40" t="str">
        <f>"155,0"</f>
        <v>155,0</v>
      </c>
      <c r="L17" s="26" t="str">
        <f>"93,5735"</f>
        <v>93,5735</v>
      </c>
      <c r="M17" s="21" t="s">
        <v>316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"/>
  <sheetViews>
    <sheetView workbookViewId="0">
      <selection sqref="A1:M2"/>
    </sheetView>
  </sheetViews>
  <sheetFormatPr baseColWidth="10" defaultColWidth="8.83203125" defaultRowHeight="13"/>
  <cols>
    <col min="1" max="1" width="7.5" style="7" bestFit="1" customWidth="1"/>
    <col min="2" max="2" width="20" style="7" customWidth="1"/>
    <col min="3" max="3" width="26" style="7" bestFit="1" customWidth="1"/>
    <col min="4" max="4" width="21.5" style="7" bestFit="1" customWidth="1"/>
    <col min="5" max="5" width="10.5" style="7" bestFit="1" customWidth="1"/>
    <col min="6" max="6" width="31.164062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8.6640625" style="9" bestFit="1" customWidth="1"/>
    <col min="13" max="13" width="17.1640625" style="7" customWidth="1"/>
  </cols>
  <sheetData>
    <row r="1" spans="1:13" s="2" customFormat="1" ht="29" customHeight="1">
      <c r="A1" s="50" t="s">
        <v>326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36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19">
        <v>1</v>
      </c>
      <c r="B6" s="10" t="s">
        <v>218</v>
      </c>
      <c r="C6" s="10" t="s">
        <v>219</v>
      </c>
      <c r="D6" s="10" t="s">
        <v>220</v>
      </c>
      <c r="E6" s="10" t="s">
        <v>358</v>
      </c>
      <c r="F6" s="10" t="s">
        <v>221</v>
      </c>
      <c r="G6" s="17" t="s">
        <v>41</v>
      </c>
      <c r="H6" s="18" t="s">
        <v>134</v>
      </c>
      <c r="I6" s="18" t="s">
        <v>134</v>
      </c>
      <c r="J6" s="19"/>
      <c r="K6" s="19" t="str">
        <f>"190,0"</f>
        <v>190,0</v>
      </c>
      <c r="L6" s="19" t="str">
        <f>"107,3880"</f>
        <v>107,3880</v>
      </c>
      <c r="M6" s="10" t="s">
        <v>35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"/>
  <sheetViews>
    <sheetView workbookViewId="0">
      <selection activeCell="E9" sqref="E9"/>
    </sheetView>
  </sheetViews>
  <sheetFormatPr baseColWidth="10" defaultColWidth="8.83203125" defaultRowHeight="13"/>
  <cols>
    <col min="1" max="1" width="7.5" style="7" bestFit="1" customWidth="1"/>
    <col min="2" max="2" width="19.83203125" style="7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16" bestFit="1" customWidth="1"/>
    <col min="12" max="12" width="8.6640625" style="9" bestFit="1" customWidth="1"/>
    <col min="13" max="13" width="29.33203125" style="7" bestFit="1" customWidth="1"/>
  </cols>
  <sheetData>
    <row r="1" spans="1:13" s="2" customFormat="1" ht="29" customHeight="1">
      <c r="A1" s="50" t="s">
        <v>327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66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67"/>
      <c r="L4" s="45"/>
      <c r="M4" s="47"/>
    </row>
    <row r="5" spans="1:13" s="3" customFormat="1" ht="16">
      <c r="A5" s="48" t="s">
        <v>36</v>
      </c>
      <c r="B5" s="48"/>
      <c r="C5" s="49"/>
      <c r="D5" s="49"/>
      <c r="E5" s="49"/>
      <c r="F5" s="49"/>
      <c r="G5" s="49"/>
      <c r="H5" s="49"/>
      <c r="I5" s="49"/>
      <c r="J5" s="49"/>
      <c r="K5" s="37"/>
      <c r="L5" s="6"/>
      <c r="M5" s="5"/>
    </row>
    <row r="6" spans="1:13">
      <c r="A6" s="24">
        <v>1</v>
      </c>
      <c r="B6" s="20" t="s">
        <v>136</v>
      </c>
      <c r="C6" s="20" t="s">
        <v>137</v>
      </c>
      <c r="D6" s="20" t="s">
        <v>138</v>
      </c>
      <c r="E6" s="20" t="s">
        <v>358</v>
      </c>
      <c r="F6" s="20" t="s">
        <v>65</v>
      </c>
      <c r="G6" s="23" t="s">
        <v>43</v>
      </c>
      <c r="H6" s="23" t="s">
        <v>43</v>
      </c>
      <c r="I6" s="22" t="s">
        <v>43</v>
      </c>
      <c r="J6" s="24"/>
      <c r="K6" s="39" t="str">
        <f>"250,0"</f>
        <v>250,0</v>
      </c>
      <c r="L6" s="24" t="str">
        <f>"143,3875"</f>
        <v>143,3875</v>
      </c>
      <c r="M6" s="20" t="s">
        <v>146</v>
      </c>
    </row>
    <row r="7" spans="1:13">
      <c r="A7" s="29" t="s">
        <v>149</v>
      </c>
      <c r="B7" s="28" t="s">
        <v>139</v>
      </c>
      <c r="C7" s="28" t="s">
        <v>140</v>
      </c>
      <c r="D7" s="28" t="s">
        <v>141</v>
      </c>
      <c r="E7" s="28" t="s">
        <v>358</v>
      </c>
      <c r="F7" s="28" t="s">
        <v>65</v>
      </c>
      <c r="G7" s="30" t="s">
        <v>142</v>
      </c>
      <c r="H7" s="30" t="s">
        <v>142</v>
      </c>
      <c r="I7" s="30" t="s">
        <v>44</v>
      </c>
      <c r="J7" s="29"/>
      <c r="K7" s="41">
        <v>0</v>
      </c>
      <c r="L7" s="29" t="str">
        <f>"0,0000"</f>
        <v>0,0000</v>
      </c>
      <c r="M7" s="28"/>
    </row>
    <row r="8" spans="1:13">
      <c r="A8" s="26">
        <v>1</v>
      </c>
      <c r="B8" s="21" t="s">
        <v>143</v>
      </c>
      <c r="C8" s="21" t="s">
        <v>144</v>
      </c>
      <c r="D8" s="21" t="s">
        <v>145</v>
      </c>
      <c r="E8" s="21" t="s">
        <v>362</v>
      </c>
      <c r="F8" s="21" t="s">
        <v>65</v>
      </c>
      <c r="G8" s="25" t="s">
        <v>134</v>
      </c>
      <c r="H8" s="25" t="s">
        <v>127</v>
      </c>
      <c r="I8" s="25" t="s">
        <v>28</v>
      </c>
      <c r="J8" s="26"/>
      <c r="K8" s="40" t="str">
        <f>"235,0"</f>
        <v>235,0</v>
      </c>
      <c r="L8" s="26" t="str">
        <f>"136,8323"</f>
        <v>136,8323</v>
      </c>
      <c r="M8" s="21" t="s">
        <v>146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"/>
  <sheetViews>
    <sheetView workbookViewId="0">
      <selection sqref="A1:M2"/>
    </sheetView>
  </sheetViews>
  <sheetFormatPr baseColWidth="10" defaultColWidth="8.83203125" defaultRowHeight="13"/>
  <cols>
    <col min="1" max="1" width="7.5" style="7" bestFit="1" customWidth="1"/>
    <col min="2" max="2" width="18" style="7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9" bestFit="1" customWidth="1"/>
    <col min="12" max="12" width="8.6640625" style="9" bestFit="1" customWidth="1"/>
    <col min="13" max="13" width="20.33203125" style="7" customWidth="1"/>
  </cols>
  <sheetData>
    <row r="1" spans="1:13" s="2" customFormat="1" ht="29" customHeight="1">
      <c r="A1" s="50" t="s">
        <v>328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9</v>
      </c>
      <c r="H3" s="62"/>
      <c r="I3" s="62"/>
      <c r="J3" s="62"/>
      <c r="K3" s="44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45"/>
      <c r="L4" s="45"/>
      <c r="M4" s="47"/>
    </row>
    <row r="5" spans="1:13" s="3" customFormat="1" ht="16">
      <c r="A5" s="48" t="s">
        <v>36</v>
      </c>
      <c r="B5" s="48"/>
      <c r="C5" s="49"/>
      <c r="D5" s="49"/>
      <c r="E5" s="49"/>
      <c r="F5" s="49"/>
      <c r="G5" s="49"/>
      <c r="H5" s="49"/>
      <c r="I5" s="49"/>
      <c r="J5" s="49"/>
      <c r="K5" s="6"/>
      <c r="L5" s="6"/>
      <c r="M5" s="5"/>
    </row>
    <row r="6" spans="1:13">
      <c r="A6" s="24">
        <v>1</v>
      </c>
      <c r="B6" s="20" t="s">
        <v>139</v>
      </c>
      <c r="C6" s="20" t="s">
        <v>140</v>
      </c>
      <c r="D6" s="20" t="s">
        <v>141</v>
      </c>
      <c r="E6" s="20" t="s">
        <v>358</v>
      </c>
      <c r="F6" s="20" t="s">
        <v>65</v>
      </c>
      <c r="G6" s="22" t="s">
        <v>33</v>
      </c>
      <c r="H6" s="23" t="s">
        <v>222</v>
      </c>
      <c r="I6" s="23" t="s">
        <v>223</v>
      </c>
      <c r="J6" s="24"/>
      <c r="K6" s="24" t="str">
        <f>"280,0"</f>
        <v>280,0</v>
      </c>
      <c r="L6" s="42" t="str">
        <f>"158,3400"</f>
        <v>158,3400</v>
      </c>
      <c r="M6" s="20" t="s">
        <v>339</v>
      </c>
    </row>
    <row r="7" spans="1:13">
      <c r="A7" s="26">
        <v>1</v>
      </c>
      <c r="B7" s="21" t="s">
        <v>139</v>
      </c>
      <c r="C7" s="21" t="s">
        <v>224</v>
      </c>
      <c r="D7" s="21" t="s">
        <v>141</v>
      </c>
      <c r="E7" s="21" t="s">
        <v>362</v>
      </c>
      <c r="F7" s="21" t="s">
        <v>65</v>
      </c>
      <c r="G7" s="25" t="s">
        <v>33</v>
      </c>
      <c r="H7" s="27" t="s">
        <v>222</v>
      </c>
      <c r="I7" s="27" t="s">
        <v>223</v>
      </c>
      <c r="J7" s="26"/>
      <c r="K7" s="26" t="str">
        <f>"280,0"</f>
        <v>280,0</v>
      </c>
      <c r="L7" s="43" t="str">
        <f>"171,3239"</f>
        <v>171,3239</v>
      </c>
      <c r="M7" s="21" t="s">
        <v>339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3"/>
  <sheetViews>
    <sheetView workbookViewId="0">
      <selection sqref="A1:M2"/>
    </sheetView>
  </sheetViews>
  <sheetFormatPr baseColWidth="10" defaultColWidth="8.83203125" defaultRowHeight="13"/>
  <cols>
    <col min="1" max="1" width="7.5" style="7" bestFit="1" customWidth="1"/>
    <col min="2" max="2" width="21" style="7" bestFit="1" customWidth="1"/>
    <col min="3" max="3" width="27.5" style="7" bestFit="1" customWidth="1"/>
    <col min="4" max="4" width="21.5" style="7" bestFit="1" customWidth="1"/>
    <col min="5" max="5" width="10.5" style="7" bestFit="1" customWidth="1"/>
    <col min="6" max="6" width="28.5" style="7" bestFit="1" customWidth="1"/>
    <col min="7" max="9" width="5.5" style="9" customWidth="1"/>
    <col min="10" max="10" width="4.83203125" style="9" customWidth="1"/>
    <col min="11" max="11" width="10.5" style="16" bestFit="1" customWidth="1"/>
    <col min="12" max="12" width="8.6640625" style="9" bestFit="1" customWidth="1"/>
    <col min="13" max="13" width="20.1640625" style="7" customWidth="1"/>
  </cols>
  <sheetData>
    <row r="1" spans="1:13" s="2" customFormat="1" ht="29" customHeight="1">
      <c r="A1" s="50" t="s">
        <v>329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" customHeight="1" thickBot="1">
      <c r="A2" s="54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s="1" customFormat="1" ht="12.75" customHeight="1">
      <c r="A3" s="58" t="s">
        <v>353</v>
      </c>
      <c r="B3" s="64" t="s">
        <v>0</v>
      </c>
      <c r="C3" s="60" t="s">
        <v>356</v>
      </c>
      <c r="D3" s="60" t="s">
        <v>6</v>
      </c>
      <c r="E3" s="44" t="s">
        <v>357</v>
      </c>
      <c r="F3" s="62" t="s">
        <v>5</v>
      </c>
      <c r="G3" s="62" t="s">
        <v>10</v>
      </c>
      <c r="H3" s="62"/>
      <c r="I3" s="62"/>
      <c r="J3" s="62"/>
      <c r="K3" s="66" t="s">
        <v>148</v>
      </c>
      <c r="L3" s="44" t="s">
        <v>3</v>
      </c>
      <c r="M3" s="46" t="s">
        <v>2</v>
      </c>
    </row>
    <row r="4" spans="1:13" s="1" customFormat="1" ht="21" customHeight="1" thickBot="1">
      <c r="A4" s="59"/>
      <c r="B4" s="65"/>
      <c r="C4" s="61"/>
      <c r="D4" s="61"/>
      <c r="E4" s="45"/>
      <c r="F4" s="61"/>
      <c r="G4" s="4">
        <v>1</v>
      </c>
      <c r="H4" s="4">
        <v>2</v>
      </c>
      <c r="I4" s="4">
        <v>3</v>
      </c>
      <c r="J4" s="4" t="s">
        <v>4</v>
      </c>
      <c r="K4" s="67"/>
      <c r="L4" s="45"/>
      <c r="M4" s="47"/>
    </row>
    <row r="5" spans="1:13" s="3" customFormat="1" ht="16">
      <c r="A5" s="48" t="s">
        <v>86</v>
      </c>
      <c r="B5" s="48"/>
      <c r="C5" s="49"/>
      <c r="D5" s="49"/>
      <c r="E5" s="49"/>
      <c r="F5" s="49"/>
      <c r="G5" s="49"/>
      <c r="H5" s="49"/>
      <c r="I5" s="49"/>
      <c r="J5" s="49"/>
      <c r="K5" s="37"/>
      <c r="L5" s="6"/>
      <c r="M5" s="5"/>
    </row>
    <row r="6" spans="1:13">
      <c r="A6" s="19">
        <v>1</v>
      </c>
      <c r="B6" s="10" t="s">
        <v>231</v>
      </c>
      <c r="C6" s="10" t="s">
        <v>232</v>
      </c>
      <c r="D6" s="10" t="s">
        <v>233</v>
      </c>
      <c r="E6" s="10" t="s">
        <v>358</v>
      </c>
      <c r="F6" s="10" t="s">
        <v>234</v>
      </c>
      <c r="G6" s="17" t="s">
        <v>235</v>
      </c>
      <c r="H6" s="17" t="s">
        <v>59</v>
      </c>
      <c r="I6" s="17" t="s">
        <v>70</v>
      </c>
      <c r="J6" s="19"/>
      <c r="K6" s="38" t="str">
        <f>"115,0"</f>
        <v>115,0</v>
      </c>
      <c r="L6" s="19" t="str">
        <f>"130,4100"</f>
        <v>130,4100</v>
      </c>
      <c r="M6" s="10"/>
    </row>
    <row r="8" spans="1:13" ht="16">
      <c r="A8" s="63" t="s">
        <v>94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24">
        <v>1</v>
      </c>
      <c r="B9" s="20" t="s">
        <v>236</v>
      </c>
      <c r="C9" s="20" t="s">
        <v>237</v>
      </c>
      <c r="D9" s="20" t="s">
        <v>238</v>
      </c>
      <c r="E9" s="20" t="s">
        <v>361</v>
      </c>
      <c r="F9" s="20" t="s">
        <v>239</v>
      </c>
      <c r="G9" s="22" t="s">
        <v>99</v>
      </c>
      <c r="H9" s="23" t="s">
        <v>240</v>
      </c>
      <c r="I9" s="22" t="s">
        <v>240</v>
      </c>
      <c r="J9" s="24"/>
      <c r="K9" s="39" t="str">
        <f>"182,5"</f>
        <v>182,5</v>
      </c>
      <c r="L9" s="24" t="str">
        <f>"132,4220"</f>
        <v>132,4220</v>
      </c>
      <c r="M9" s="20"/>
    </row>
    <row r="10" spans="1:13">
      <c r="A10" s="26">
        <v>1</v>
      </c>
      <c r="B10" s="21" t="s">
        <v>241</v>
      </c>
      <c r="C10" s="21" t="s">
        <v>242</v>
      </c>
      <c r="D10" s="21" t="s">
        <v>243</v>
      </c>
      <c r="E10" s="21" t="s">
        <v>358</v>
      </c>
      <c r="F10" s="21" t="s">
        <v>53</v>
      </c>
      <c r="G10" s="25" t="s">
        <v>101</v>
      </c>
      <c r="H10" s="25" t="s">
        <v>26</v>
      </c>
      <c r="I10" s="25" t="s">
        <v>244</v>
      </c>
      <c r="J10" s="26"/>
      <c r="K10" s="40" t="str">
        <f>"207,5"</f>
        <v>207,5</v>
      </c>
      <c r="L10" s="26" t="str">
        <f>"152,2427"</f>
        <v>152,2427</v>
      </c>
      <c r="M10" s="21"/>
    </row>
    <row r="12" spans="1:13" ht="16">
      <c r="A12" s="63" t="s">
        <v>108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19">
        <v>1</v>
      </c>
      <c r="B13" s="10" t="s">
        <v>245</v>
      </c>
      <c r="C13" s="10" t="s">
        <v>246</v>
      </c>
      <c r="D13" s="10" t="s">
        <v>247</v>
      </c>
      <c r="E13" s="10" t="s">
        <v>358</v>
      </c>
      <c r="F13" s="10" t="s">
        <v>53</v>
      </c>
      <c r="G13" s="17" t="s">
        <v>99</v>
      </c>
      <c r="H13" s="18" t="s">
        <v>41</v>
      </c>
      <c r="I13" s="18" t="s">
        <v>41</v>
      </c>
      <c r="J13" s="19"/>
      <c r="K13" s="38" t="str">
        <f>"170,0"</f>
        <v>170,0</v>
      </c>
      <c r="L13" s="19" t="str">
        <f>"113,8830"</f>
        <v>113,8830</v>
      </c>
      <c r="M13" s="10" t="s">
        <v>312</v>
      </c>
    </row>
    <row r="15" spans="1:13" ht="16">
      <c r="A15" s="63" t="s">
        <v>22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>
      <c r="A16" s="19" t="s">
        <v>149</v>
      </c>
      <c r="B16" s="10" t="s">
        <v>248</v>
      </c>
      <c r="C16" s="10" t="s">
        <v>249</v>
      </c>
      <c r="D16" s="10" t="s">
        <v>250</v>
      </c>
      <c r="E16" s="10" t="s">
        <v>358</v>
      </c>
      <c r="F16" s="10" t="s">
        <v>156</v>
      </c>
      <c r="G16" s="18" t="s">
        <v>251</v>
      </c>
      <c r="H16" s="18" t="s">
        <v>252</v>
      </c>
      <c r="I16" s="18" t="s">
        <v>252</v>
      </c>
      <c r="J16" s="19"/>
      <c r="K16" s="38">
        <v>0</v>
      </c>
      <c r="L16" s="19" t="str">
        <f>"0,0000"</f>
        <v>0,0000</v>
      </c>
      <c r="M16" s="10" t="s">
        <v>253</v>
      </c>
    </row>
    <row r="18" spans="1:13" ht="16">
      <c r="A18" s="63" t="s">
        <v>123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3">
      <c r="A19" s="24">
        <v>1</v>
      </c>
      <c r="B19" s="20" t="s">
        <v>254</v>
      </c>
      <c r="C19" s="20" t="s">
        <v>255</v>
      </c>
      <c r="D19" s="20" t="s">
        <v>256</v>
      </c>
      <c r="E19" s="20" t="s">
        <v>358</v>
      </c>
      <c r="F19" s="20" t="s">
        <v>201</v>
      </c>
      <c r="G19" s="22" t="s">
        <v>32</v>
      </c>
      <c r="H19" s="22" t="s">
        <v>44</v>
      </c>
      <c r="I19" s="22" t="s">
        <v>257</v>
      </c>
      <c r="J19" s="24"/>
      <c r="K19" s="39" t="str">
        <f>"275,0"</f>
        <v>275,0</v>
      </c>
      <c r="L19" s="24" t="str">
        <f>"167,3650"</f>
        <v>167,3650</v>
      </c>
      <c r="M19" s="20"/>
    </row>
    <row r="20" spans="1:13">
      <c r="A20" s="26">
        <v>1</v>
      </c>
      <c r="B20" s="21" t="s">
        <v>258</v>
      </c>
      <c r="C20" s="21" t="s">
        <v>259</v>
      </c>
      <c r="D20" s="21" t="s">
        <v>260</v>
      </c>
      <c r="E20" s="21" t="s">
        <v>362</v>
      </c>
      <c r="F20" s="21" t="s">
        <v>53</v>
      </c>
      <c r="G20" s="25" t="s">
        <v>41</v>
      </c>
      <c r="H20" s="27" t="s">
        <v>26</v>
      </c>
      <c r="I20" s="27" t="s">
        <v>26</v>
      </c>
      <c r="J20" s="26"/>
      <c r="K20" s="40" t="str">
        <f>"190,0"</f>
        <v>190,0</v>
      </c>
      <c r="L20" s="26" t="str">
        <f>"128,7548"</f>
        <v>128,7548</v>
      </c>
      <c r="M20" s="21"/>
    </row>
    <row r="22" spans="1:13" ht="16">
      <c r="A22" s="63" t="s">
        <v>36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3">
      <c r="A23" s="19">
        <v>1</v>
      </c>
      <c r="B23" s="10" t="s">
        <v>261</v>
      </c>
      <c r="C23" s="10" t="s">
        <v>262</v>
      </c>
      <c r="D23" s="10" t="s">
        <v>141</v>
      </c>
      <c r="E23" s="10" t="s">
        <v>358</v>
      </c>
      <c r="F23" s="10" t="s">
        <v>156</v>
      </c>
      <c r="G23" s="17" t="s">
        <v>27</v>
      </c>
      <c r="H23" s="18" t="s">
        <v>28</v>
      </c>
      <c r="I23" s="18" t="s">
        <v>28</v>
      </c>
      <c r="J23" s="19"/>
      <c r="K23" s="38" t="str">
        <f>"220,0"</f>
        <v>220,0</v>
      </c>
      <c r="L23" s="19" t="str">
        <f>"130,2180"</f>
        <v>130,2180</v>
      </c>
      <c r="M23" s="10" t="s">
        <v>253</v>
      </c>
    </row>
  </sheetData>
  <mergeCells count="17">
    <mergeCell ref="A22:J22"/>
    <mergeCell ref="A5:J5"/>
    <mergeCell ref="A8:J8"/>
    <mergeCell ref="A12:J12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 ДК</vt:lpstr>
      <vt:lpstr>WRPF ПЛ без экипировки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</vt:lpstr>
      <vt:lpstr>WRPF Тяга без экипировки ДК</vt:lpstr>
      <vt:lpstr>WRPF Тяга без экипировки</vt:lpstr>
      <vt:lpstr>WEPF Тяга экип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2022-06-08T17:58:59Z</dcterms:modified>
</cp:coreProperties>
</file>