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9753A817-320E-EB44-8DAA-E3EE18F0B393}" xr6:coauthVersionLast="45" xr6:coauthVersionMax="45" xr10:uidLastSave="{00000000-0000-0000-0000-000000000000}"/>
  <bookViews>
    <workbookView xWindow="360" yWindow="460" windowWidth="28440" windowHeight="15620" firstSheet="6" activeTab="10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" sheetId="5" r:id="rId3"/>
    <sheet name="WRPF Двоеборье без экип ДК" sheetId="13" r:id="rId4"/>
    <sheet name="WRPF Двоеборье без экип" sheetId="12" r:id="rId5"/>
    <sheet name="WRPF Жим лежа без экип ДК" sheetId="9" r:id="rId6"/>
    <sheet name="WRPF Жим лежа без экип" sheetId="8" r:id="rId7"/>
    <sheet name="WRPF Тяга без экипировки ДК" sheetId="11" r:id="rId8"/>
    <sheet name="WRPF Тяга без экипировки" sheetId="10" r:id="rId9"/>
    <sheet name="WRPF Подъем на бицепс ДК" sheetId="15" r:id="rId10"/>
    <sheet name="WRPF Подъем на бицепс" sheetId="14" r:id="rId11"/>
    <sheet name="Судейская коллегия" sheetId="17" r:id="rId12"/>
  </sheets>
  <definedNames>
    <definedName name="_FilterDatabase" localSheetId="2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3" l="1"/>
  <c r="L21" i="15" l="1"/>
  <c r="K21" i="15"/>
  <c r="L20" i="15"/>
  <c r="K20" i="15"/>
  <c r="L17" i="15"/>
  <c r="K17" i="15"/>
  <c r="L16" i="15"/>
  <c r="K16" i="15"/>
  <c r="L13" i="15"/>
  <c r="K13" i="15"/>
  <c r="L10" i="15"/>
  <c r="K10" i="15"/>
  <c r="L9" i="15"/>
  <c r="K9" i="15"/>
  <c r="L6" i="15"/>
  <c r="K6" i="15"/>
  <c r="L19" i="14"/>
  <c r="K19" i="14"/>
  <c r="L16" i="14"/>
  <c r="K16" i="14"/>
  <c r="L15" i="14"/>
  <c r="K15" i="14"/>
  <c r="L12" i="14"/>
  <c r="K12" i="14"/>
  <c r="L9" i="14"/>
  <c r="K9" i="14"/>
  <c r="L6" i="14"/>
  <c r="K6" i="14"/>
  <c r="P9" i="13"/>
  <c r="O9" i="13"/>
  <c r="P7" i="12"/>
  <c r="P6" i="12"/>
  <c r="O6" i="12"/>
  <c r="L27" i="11"/>
  <c r="K27" i="11"/>
  <c r="L26" i="11"/>
  <c r="K26" i="11"/>
  <c r="L23" i="11"/>
  <c r="K23" i="11"/>
  <c r="L20" i="11"/>
  <c r="K20" i="11"/>
  <c r="L17" i="11"/>
  <c r="K17" i="11"/>
  <c r="L16" i="11"/>
  <c r="K16" i="11"/>
  <c r="L13" i="11"/>
  <c r="K13" i="11"/>
  <c r="L10" i="11"/>
  <c r="K10" i="11"/>
  <c r="L9" i="11"/>
  <c r="K9" i="11"/>
  <c r="L6" i="11"/>
  <c r="K6" i="11"/>
  <c r="L16" i="10"/>
  <c r="K16" i="10"/>
  <c r="L13" i="10"/>
  <c r="K13" i="10"/>
  <c r="L10" i="10"/>
  <c r="K10" i="10"/>
  <c r="L9" i="10"/>
  <c r="K9" i="10"/>
  <c r="L6" i="10"/>
  <c r="K6" i="10"/>
  <c r="L33" i="9"/>
  <c r="K33" i="9"/>
  <c r="L30" i="9"/>
  <c r="K30" i="9"/>
  <c r="L29" i="9"/>
  <c r="K29" i="9"/>
  <c r="L28" i="9"/>
  <c r="K28" i="9"/>
  <c r="L27" i="9"/>
  <c r="K27" i="9"/>
  <c r="L26" i="9"/>
  <c r="K26" i="9"/>
  <c r="L23" i="9"/>
  <c r="K23" i="9"/>
  <c r="L22" i="9"/>
  <c r="K22" i="9"/>
  <c r="L19" i="9"/>
  <c r="K19" i="9"/>
  <c r="L18" i="9"/>
  <c r="K18" i="9"/>
  <c r="L17" i="9"/>
  <c r="K17" i="9"/>
  <c r="L16" i="9"/>
  <c r="K16" i="9"/>
  <c r="L15" i="9"/>
  <c r="K15" i="9"/>
  <c r="L12" i="9"/>
  <c r="K12" i="9"/>
  <c r="L9" i="9"/>
  <c r="K9" i="9"/>
  <c r="L6" i="9"/>
  <c r="K6" i="9"/>
  <c r="L33" i="8"/>
  <c r="K33" i="8"/>
  <c r="L30" i="8"/>
  <c r="K30" i="8"/>
  <c r="L29" i="8"/>
  <c r="K29" i="8"/>
  <c r="L28" i="8"/>
  <c r="K28" i="8"/>
  <c r="L27" i="8"/>
  <c r="K27" i="8"/>
  <c r="L26" i="8"/>
  <c r="K26" i="8"/>
  <c r="L23" i="8"/>
  <c r="K23" i="8"/>
  <c r="L22" i="8"/>
  <c r="K22" i="8"/>
  <c r="L21" i="8"/>
  <c r="K21" i="8"/>
  <c r="L18" i="8"/>
  <c r="K18" i="8"/>
  <c r="L15" i="8"/>
  <c r="L12" i="8"/>
  <c r="K12" i="8"/>
  <c r="L9" i="8"/>
  <c r="K9" i="8"/>
  <c r="L6" i="8"/>
  <c r="K6" i="8"/>
  <c r="T17" i="7"/>
  <c r="S17" i="7"/>
  <c r="T14" i="7"/>
  <c r="S14" i="7"/>
  <c r="T11" i="7"/>
  <c r="S11" i="7"/>
  <c r="T8" i="7"/>
  <c r="S8" i="7"/>
  <c r="T7" i="7"/>
  <c r="T6" i="7"/>
  <c r="S6" i="7"/>
  <c r="T17" i="6"/>
  <c r="S17" i="6"/>
  <c r="T14" i="6"/>
  <c r="S14" i="6"/>
  <c r="T13" i="6"/>
  <c r="S13" i="6"/>
  <c r="T10" i="6"/>
  <c r="S10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<sst xmlns="http://schemas.openxmlformats.org/spreadsheetml/2006/main" count="1173" uniqueCount="361">
  <si>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</si>
  <si>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</si>
  <si>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</si>
  <si>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</si>
  <si>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</si>
  <si>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</si>
  <si>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</si>
  <si>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</si>
  <si>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</si>
  <si>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</si>
  <si>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</si>
  <si>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Андуров Дмитрий</t>
  </si>
  <si>
    <t>Открытая (27.07.1984)/37</t>
  </si>
  <si>
    <t>100,00</t>
  </si>
  <si>
    <t xml:space="preserve">Иркутск/Иркутская область </t>
  </si>
  <si>
    <t>170,0</t>
  </si>
  <si>
    <t>180,0</t>
  </si>
  <si>
    <t>190,0</t>
  </si>
  <si>
    <t>105,0</t>
  </si>
  <si>
    <t>112,5</t>
  </si>
  <si>
    <t>115,0</t>
  </si>
  <si>
    <t>195,0</t>
  </si>
  <si>
    <t>210,0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</si>
  <si>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</si>
  <si>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</si>
  <si>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</si>
  <si>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</si>
  <si>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</si>
  <si>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</si>
  <si>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100</t>
  </si>
  <si>
    <t>1</t>
  </si>
  <si>
    <t/>
  </si>
  <si>
    <t>ВЕСОВАЯ КАТЕГОРИЯ   56</t>
  </si>
  <si>
    <t>Вишневская Виктория</t>
  </si>
  <si>
    <t>Открытая (20.05.1988)/34</t>
  </si>
  <si>
    <t>54,50</t>
  </si>
  <si>
    <t>55,0</t>
  </si>
  <si>
    <t>62,5</t>
  </si>
  <si>
    <t>65,0</t>
  </si>
  <si>
    <t>32,5</t>
  </si>
  <si>
    <t>35,0</t>
  </si>
  <si>
    <t>40,0</t>
  </si>
  <si>
    <t>70,0</t>
  </si>
  <si>
    <t>77,5</t>
  </si>
  <si>
    <t>82,5</t>
  </si>
  <si>
    <t>ВЕСОВАЯ КАТЕГОРИЯ   67.5</t>
  </si>
  <si>
    <t>Кутергин Егор</t>
  </si>
  <si>
    <t>Юноши 14-16 (15.11.2007)/14</t>
  </si>
  <si>
    <t>62,90</t>
  </si>
  <si>
    <t xml:space="preserve">Ангарск/Иркутская область </t>
  </si>
  <si>
    <t>85,0</t>
  </si>
  <si>
    <t>57,5</t>
  </si>
  <si>
    <t>67,5</t>
  </si>
  <si>
    <t>87,5</t>
  </si>
  <si>
    <t>92,5</t>
  </si>
  <si>
    <t>95,0</t>
  </si>
  <si>
    <t>Владислав Данилов</t>
  </si>
  <si>
    <t>Юноши 14-16 (10.06.2005)/16</t>
  </si>
  <si>
    <t>64,90</t>
  </si>
  <si>
    <t>60,0</t>
  </si>
  <si>
    <t>80,0</t>
  </si>
  <si>
    <t>50,0</t>
  </si>
  <si>
    <t>90,0</t>
  </si>
  <si>
    <t>ВЕСОВАЯ КАТЕГОРИЯ   82.5</t>
  </si>
  <si>
    <t>Беляев Алексей</t>
  </si>
  <si>
    <t>Открытая (01.09.1993)/28</t>
  </si>
  <si>
    <t>76,70</t>
  </si>
  <si>
    <t>185,0</t>
  </si>
  <si>
    <t>130,0</t>
  </si>
  <si>
    <t>140,0</t>
  </si>
  <si>
    <t>150,0</t>
  </si>
  <si>
    <t>200,0</t>
  </si>
  <si>
    <t>215,0</t>
  </si>
  <si>
    <t>225,0</t>
  </si>
  <si>
    <t>Арутюнян Роберт</t>
  </si>
  <si>
    <t>Открытая (02.04.1994)/28</t>
  </si>
  <si>
    <t>80,90</t>
  </si>
  <si>
    <t>155,0</t>
  </si>
  <si>
    <t>165,0</t>
  </si>
  <si>
    <t>110,0</t>
  </si>
  <si>
    <t>120,0</t>
  </si>
  <si>
    <t>Лубсанимаев Жаргал</t>
  </si>
  <si>
    <t>Открытая (25.10.1994)/27</t>
  </si>
  <si>
    <t>95,00</t>
  </si>
  <si>
    <t>107,5</t>
  </si>
  <si>
    <t>172,5</t>
  </si>
  <si>
    <t>235,0</t>
  </si>
  <si>
    <t>2</t>
  </si>
  <si>
    <t>Сизых Лариса</t>
  </si>
  <si>
    <t>Открытая (01.05.1979)/43</t>
  </si>
  <si>
    <t>53,70</t>
  </si>
  <si>
    <t>75,0</t>
  </si>
  <si>
    <t>30,0</t>
  </si>
  <si>
    <t>100,0</t>
  </si>
  <si>
    <t>117,5</t>
  </si>
  <si>
    <t>Сайфушева Анастасия</t>
  </si>
  <si>
    <t>Открытая (19.09.1998)/23</t>
  </si>
  <si>
    <t>54,20</t>
  </si>
  <si>
    <t>52,5</t>
  </si>
  <si>
    <t>125,0</t>
  </si>
  <si>
    <t>Мастера 40-49 (01.05.1979)/43</t>
  </si>
  <si>
    <t>ВЕСОВАЯ КАТЕГОРИЯ   60</t>
  </si>
  <si>
    <t>Ткаченко Алена</t>
  </si>
  <si>
    <t>Юниорки (25.08.1999)/22</t>
  </si>
  <si>
    <t>58,60</t>
  </si>
  <si>
    <t>37,5</t>
  </si>
  <si>
    <t>ВЕСОВАЯ КАТЕГОРИЯ   75</t>
  </si>
  <si>
    <t>Крупельницкий Рустам</t>
  </si>
  <si>
    <t>Открытая (15.01.1989)/33</t>
  </si>
  <si>
    <t>74,90</t>
  </si>
  <si>
    <t>97,5</t>
  </si>
  <si>
    <t>102,5</t>
  </si>
  <si>
    <t>160,0</t>
  </si>
  <si>
    <t>167,5</t>
  </si>
  <si>
    <t>Сосновский Никита</t>
  </si>
  <si>
    <t>Открытая (15.12.1987)/34</t>
  </si>
  <si>
    <t>99,00</t>
  </si>
  <si>
    <t>227,5</t>
  </si>
  <si>
    <t>237,5</t>
  </si>
  <si>
    <t>157,5</t>
  </si>
  <si>
    <t>255,0</t>
  </si>
  <si>
    <t>265,0</t>
  </si>
  <si>
    <t>270,0</t>
  </si>
  <si>
    <t>202,5</t>
  </si>
  <si>
    <t>75</t>
  </si>
  <si>
    <t>-</t>
  </si>
  <si>
    <t>Кузенкова Алена</t>
  </si>
  <si>
    <t>Открытая (27.08.1984)/37</t>
  </si>
  <si>
    <t>54,30</t>
  </si>
  <si>
    <t>Мантур Любовь</t>
  </si>
  <si>
    <t>Открытая (15.03.1997)/25</t>
  </si>
  <si>
    <t>58,70</t>
  </si>
  <si>
    <t>72,5</t>
  </si>
  <si>
    <t>Руднев Сергей</t>
  </si>
  <si>
    <t>Открытая (20.03.1985)/37</t>
  </si>
  <si>
    <t>74,00</t>
  </si>
  <si>
    <t>Тетерин Сергей</t>
  </si>
  <si>
    <t>Мастера 60-69 (24.03.1962)/60</t>
  </si>
  <si>
    <t>75,10</t>
  </si>
  <si>
    <t>ВЕСОВАЯ КАТЕГОРИЯ   90</t>
  </si>
  <si>
    <t>Фаткулов Артем</t>
  </si>
  <si>
    <t>Мастера 40-49 (17.07.1978)/43</t>
  </si>
  <si>
    <t>89,30</t>
  </si>
  <si>
    <t>177,5</t>
  </si>
  <si>
    <t>Новиков Евгений</t>
  </si>
  <si>
    <t>Открытая (05.01.1983)/39</t>
  </si>
  <si>
    <t xml:space="preserve">Саянск/Иркутская область </t>
  </si>
  <si>
    <t>197,5</t>
  </si>
  <si>
    <t>207,5</t>
  </si>
  <si>
    <t>Гара Станислав</t>
  </si>
  <si>
    <t>Открытая (26.04.1985)/37</t>
  </si>
  <si>
    <t>97,50</t>
  </si>
  <si>
    <t>Гусев Сергей</t>
  </si>
  <si>
    <t>Мастера 40-49 (03.06.1972)/49</t>
  </si>
  <si>
    <t>92,50</t>
  </si>
  <si>
    <t>135,0</t>
  </si>
  <si>
    <t>ВЕСОВАЯ КАТЕГОРИЯ   110</t>
  </si>
  <si>
    <t>Тирских Алексей</t>
  </si>
  <si>
    <t>Открытая (04.10.1985)/36</t>
  </si>
  <si>
    <t>109,50</t>
  </si>
  <si>
    <t>262,5</t>
  </si>
  <si>
    <t>267,5</t>
  </si>
  <si>
    <t>Енкин Никита</t>
  </si>
  <si>
    <t>Открытая (01.06.1994)/27</t>
  </si>
  <si>
    <t>104,20</t>
  </si>
  <si>
    <t xml:space="preserve">Братск/Иркутская область </t>
  </si>
  <si>
    <t>Четвертных Александр</t>
  </si>
  <si>
    <t>Открытая (13.06.1977)/44</t>
  </si>
  <si>
    <t>108,00</t>
  </si>
  <si>
    <t>192,5</t>
  </si>
  <si>
    <t>275,0</t>
  </si>
  <si>
    <t>Руднев Дмитрий</t>
  </si>
  <si>
    <t>Открытая (10.03.1979)/43</t>
  </si>
  <si>
    <t>100,40</t>
  </si>
  <si>
    <t>Мастера 40-49 (10.03.1979)/43</t>
  </si>
  <si>
    <t>ВЕСОВАЯ КАТЕГОРИЯ   125</t>
  </si>
  <si>
    <t>Березин Максим</t>
  </si>
  <si>
    <t>Открытая (17.09.1988)/33</t>
  </si>
  <si>
    <t>122,90</t>
  </si>
  <si>
    <t xml:space="preserve">Результат </t>
  </si>
  <si>
    <t>123,2415</t>
  </si>
  <si>
    <t>122,2810</t>
  </si>
  <si>
    <t>110</t>
  </si>
  <si>
    <t>114,9135</t>
  </si>
  <si>
    <t>90</t>
  </si>
  <si>
    <t>Результат</t>
  </si>
  <si>
    <t>3</t>
  </si>
  <si>
    <t>4</t>
  </si>
  <si>
    <t>ВЕСОВАЯ КАТЕГОРИЯ   52</t>
  </si>
  <si>
    <t>Ляхова Алла</t>
  </si>
  <si>
    <t>Открытая (21.08.1986)/35</t>
  </si>
  <si>
    <t>51,70</t>
  </si>
  <si>
    <t xml:space="preserve">Шелехов/Иркутская область </t>
  </si>
  <si>
    <t>Дуганова Кристина</t>
  </si>
  <si>
    <t>Открытая (10.03.1997)/25</t>
  </si>
  <si>
    <t>55,50</t>
  </si>
  <si>
    <t>Шафоростова Екатерина</t>
  </si>
  <si>
    <t>Юниорки (22.10.2000)/21</t>
  </si>
  <si>
    <t>58,50</t>
  </si>
  <si>
    <t>45,0</t>
  </si>
  <si>
    <t>Понкращенков Сергей</t>
  </si>
  <si>
    <t>Юноши 14-16 (26.05.2005)/16</t>
  </si>
  <si>
    <t>82,00</t>
  </si>
  <si>
    <t>Процук Сергей</t>
  </si>
  <si>
    <t>Открытая (14.12.1976)/45</t>
  </si>
  <si>
    <t>81,30</t>
  </si>
  <si>
    <t>147,5</t>
  </si>
  <si>
    <t>Леус Роман</t>
  </si>
  <si>
    <t>Открытая (06.06.1991)/30</t>
  </si>
  <si>
    <t>79,10</t>
  </si>
  <si>
    <t>127,5</t>
  </si>
  <si>
    <t>132,5</t>
  </si>
  <si>
    <t>Шадрин Константин</t>
  </si>
  <si>
    <t>Открытая (27.03.1989)/33</t>
  </si>
  <si>
    <t>79,00</t>
  </si>
  <si>
    <t>Мастера 40-49 (14.12.1976)/45</t>
  </si>
  <si>
    <t>Федулов Алексей</t>
  </si>
  <si>
    <t>Открытая (01.04.1984)/38</t>
  </si>
  <si>
    <t>84,90</t>
  </si>
  <si>
    <t>145,0</t>
  </si>
  <si>
    <t>152,5</t>
  </si>
  <si>
    <t>Тесельский Вячеслав</t>
  </si>
  <si>
    <t>Мастера 40-49 (26.10.1977)/44</t>
  </si>
  <si>
    <t>88,40</t>
  </si>
  <si>
    <t>Кукс Павел</t>
  </si>
  <si>
    <t>Открытая (05.10.1985)/36</t>
  </si>
  <si>
    <t>95,10</t>
  </si>
  <si>
    <t>175,0</t>
  </si>
  <si>
    <t>Верхотуров Игорь</t>
  </si>
  <si>
    <t>Открытая (22.05.1991)/30</t>
  </si>
  <si>
    <t>98,00</t>
  </si>
  <si>
    <t>Непомнящих Алексей</t>
  </si>
  <si>
    <t>Открытая (20.01.1987)/35</t>
  </si>
  <si>
    <t>99,30</t>
  </si>
  <si>
    <t xml:space="preserve">Усолье-Сибирское/Иркутская область </t>
  </si>
  <si>
    <t>Синьков Роман</t>
  </si>
  <si>
    <t>Открытая (17.12.1986)/35</t>
  </si>
  <si>
    <t>98,70</t>
  </si>
  <si>
    <t>Колодин Роман</t>
  </si>
  <si>
    <t>Открытая (07.05.1989)/33</t>
  </si>
  <si>
    <t>92,80</t>
  </si>
  <si>
    <t>122,5</t>
  </si>
  <si>
    <t>ВЕСОВАЯ КАТЕГОРИЯ   140</t>
  </si>
  <si>
    <t>Сиренченко Павел</t>
  </si>
  <si>
    <t>Открытая (04.11.1991)/30</t>
  </si>
  <si>
    <t>135,60</t>
  </si>
  <si>
    <t>140</t>
  </si>
  <si>
    <t>108,1080</t>
  </si>
  <si>
    <t>105,6890</t>
  </si>
  <si>
    <t>100,4670</t>
  </si>
  <si>
    <t>5</t>
  </si>
  <si>
    <t>Орлов Александр</t>
  </si>
  <si>
    <t>Открытая (04.03.1987)/35</t>
  </si>
  <si>
    <t>97,80</t>
  </si>
  <si>
    <t>230,0</t>
  </si>
  <si>
    <t>242,5</t>
  </si>
  <si>
    <t>Лаврентьев Никита</t>
  </si>
  <si>
    <t>Открытая (08.01.1990)/32</t>
  </si>
  <si>
    <t>116,40</t>
  </si>
  <si>
    <t>240,0</t>
  </si>
  <si>
    <t>250,0</t>
  </si>
  <si>
    <t>260,0</t>
  </si>
  <si>
    <t>Гусева Алена</t>
  </si>
  <si>
    <t>Мастера 40-49 (31.03.1978)/44</t>
  </si>
  <si>
    <t>50,30</t>
  </si>
  <si>
    <t>Волобуева Ксения</t>
  </si>
  <si>
    <t>Открытая (14.11.1995)/26</t>
  </si>
  <si>
    <t>54,40</t>
  </si>
  <si>
    <t>Попова Галина</t>
  </si>
  <si>
    <t>Открытая (15.08.1987)/34</t>
  </si>
  <si>
    <t>64,40</t>
  </si>
  <si>
    <t>Старцев Юрий</t>
  </si>
  <si>
    <t>Открытая (25.07.1991)/30</t>
  </si>
  <si>
    <t>74,50</t>
  </si>
  <si>
    <t>245,0</t>
  </si>
  <si>
    <t>Жуков Александр</t>
  </si>
  <si>
    <t>Открытая (28.03.1986)/36</t>
  </si>
  <si>
    <t>73,90</t>
  </si>
  <si>
    <t>182,5</t>
  </si>
  <si>
    <t>Чурахин Антон</t>
  </si>
  <si>
    <t>Открытая (18.01.1996)/26</t>
  </si>
  <si>
    <t>81,20</t>
  </si>
  <si>
    <t>Яхонтов Руслан</t>
  </si>
  <si>
    <t>Открытая (21.01.1980)/42</t>
  </si>
  <si>
    <t>87,30</t>
  </si>
  <si>
    <t>205,0</t>
  </si>
  <si>
    <t>220,0</t>
  </si>
  <si>
    <t>Руденко Сергей</t>
  </si>
  <si>
    <t>Открытая (17.04.1992)/30</t>
  </si>
  <si>
    <t>97,30</t>
  </si>
  <si>
    <t>Зверев Никита</t>
  </si>
  <si>
    <t>59,10</t>
  </si>
  <si>
    <t>51,00</t>
  </si>
  <si>
    <t>27,5</t>
  </si>
  <si>
    <t>Буйневич Илья</t>
  </si>
  <si>
    <t>Открытая (14.06.1992)/29</t>
  </si>
  <si>
    <t>65,70</t>
  </si>
  <si>
    <t>Изатулин Андрей</t>
  </si>
  <si>
    <t>64,60</t>
  </si>
  <si>
    <t>42,5</t>
  </si>
  <si>
    <t>47,5</t>
  </si>
  <si>
    <t>Халюзов Константин</t>
  </si>
  <si>
    <t>89,80</t>
  </si>
  <si>
    <t>Агеев Никита</t>
  </si>
  <si>
    <t>Открытая (19.12.1997)/24</t>
  </si>
  <si>
    <t>96,80</t>
  </si>
  <si>
    <t xml:space="preserve">Самара/Самарская область </t>
  </si>
  <si>
    <t xml:space="preserve">Дуганова К. </t>
  </si>
  <si>
    <t xml:space="preserve">Шураев П. </t>
  </si>
  <si>
    <t xml:space="preserve">Чахалов В. </t>
  </si>
  <si>
    <t xml:space="preserve">Желтенко Е. </t>
  </si>
  <si>
    <t xml:space="preserve">Тарасов К. </t>
  </si>
  <si>
    <t xml:space="preserve">Вислогузов А. </t>
  </si>
  <si>
    <t xml:space="preserve">Лаврентьев Н. </t>
  </si>
  <si>
    <t xml:space="preserve">Старцев Ю. </t>
  </si>
  <si>
    <t xml:space="preserve">Дуганова К.  </t>
  </si>
  <si>
    <t xml:space="preserve">Блинов А.  </t>
  </si>
  <si>
    <t xml:space="preserve">Мещеряков В. </t>
  </si>
  <si>
    <t xml:space="preserve">Поздняков Т. </t>
  </si>
  <si>
    <t xml:space="preserve">Черных Е. </t>
  </si>
  <si>
    <t xml:space="preserve">Тирских А. </t>
  </si>
  <si>
    <t xml:space="preserve">Орлов А. </t>
  </si>
  <si>
    <t xml:space="preserve">Нурутдинов М. </t>
  </si>
  <si>
    <t xml:space="preserve">Кутергин Д. </t>
  </si>
  <si>
    <t>Открытый мастерский турнир «3S CUP»
WRPF Силовое двоеборье без экипировки ДК
Ангарск/Иркутская область, 21 мая 2022 года</t>
  </si>
  <si>
    <t>Открытый мастерский турнир «3S CUP»
WRPF Силовое двоеборье без экипировки
Ангарск/Иркутская область, 21 мая 2022 года</t>
  </si>
  <si>
    <t>Открытый мастерский турнир «3S CUP»
WRPF Становая тяга без экипировки ДК
Ангарск/Иркутская область, 21 мая 2022 года</t>
  </si>
  <si>
    <t>Открытый мастерский турнир «3S CUP»
WRPF Становая тяга без экипировки
Ангарск/Иркутская область, 21 мая 2022 года</t>
  </si>
  <si>
    <t>Открытый мастерский турнир «3S CUP»
WRPF Жим лежа без экипировки ДК
Ангарск/Иркутская область, 21 мая 2022 года</t>
  </si>
  <si>
    <t>Открытый мастерский турнир «3S CUP»
WRPF Жим лежа без экипировки
Ангарск/Иркутская область, 21 мая 2022 года</t>
  </si>
  <si>
    <t>Открытый мастерский турнир «3S CUP»
WRPF Пауэрлифтинг без экипировки ДК
Ангарск/Иркутская область, 21 мая 2022 года</t>
  </si>
  <si>
    <t>Открытый мастерский турнир «3S CUP»
WRPF Пауэрлифтинг без экипировки
Ангарск/Иркутская область, 21 мая 2022 года</t>
  </si>
  <si>
    <t>Открытый мастерский турнир «3S CUP»
WRPF Пауэрлифтинг классический в бинтах
Ангарск/Иркутская область, 21 мая 2022 года</t>
  </si>
  <si>
    <t>Весовая категория</t>
  </si>
  <si>
    <t xml:space="preserve">Ангараск/Иркутская область </t>
  </si>
  <si>
    <t>Юноши 13-19 (30.06.2006)/15</t>
  </si>
  <si>
    <t>Мастера 40-49 (18.02.1981)/41</t>
  </si>
  <si>
    <t>Юноши 13-19 (26.05.2005)/16</t>
  </si>
  <si>
    <t>Юниоры 20-23 (21.09.1998)/23</t>
  </si>
  <si>
    <t>Главный судья соревнований:</t>
  </si>
  <si>
    <t>Главный секретарь соревнований:</t>
  </si>
  <si>
    <t>Малых Оксана/ Ангарск</t>
  </si>
  <si>
    <t>Судьи:</t>
  </si>
  <si>
    <t>Кутергин Дмитрий/ РК, Ангарск</t>
  </si>
  <si>
    <t>Блинов Александр/ РК, Ангарск</t>
  </si>
  <si>
    <t>Нурутдинов Максим/ РК, Иркутск</t>
  </si>
  <si>
    <t>Открытый мастерский турнир «3S CUP»
WRPF Строгий подъем штанги на бицепс ДК
Ангарск/Иркутская область, 21 мая 2022 года</t>
  </si>
  <si>
    <t>Открытый мастерский турнир «3S CUP»
WRPF Строгий подъем штанги на бицепс
Ангарск/Иркутская область, 21 мая 2022 года</t>
  </si>
  <si>
    <t>Судейская коллегия Открытого мастерского турнира «3S CUP»</t>
  </si>
  <si>
    <t>Поздняков Кирилл/ РК, Братск</t>
  </si>
  <si>
    <t>Николаев Виталий/ НК, Красноярск</t>
  </si>
  <si>
    <t>№</t>
  </si>
  <si>
    <t>Жим</t>
  </si>
  <si>
    <t xml:space="preserve">
Дата рождения/Возраст</t>
  </si>
  <si>
    <t>Возрастная группа</t>
  </si>
  <si>
    <t>O</t>
  </si>
  <si>
    <t>M1</t>
  </si>
  <si>
    <t>J</t>
  </si>
  <si>
    <t>T1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</si>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</sst>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53DF-0D58-4767-8FBF-DBF81BC4A4D7}">
  <dimension ref="A1:U26"/>
  <sheetViews>
    <sheetView zoomScaleNormal="100"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2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43" t="s">
        <v>330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58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38"/>
      <c r="U4" s="40"/>
    </row>
    <row r="5" spans="1:21" ht="16">
      <c r="A5" s="41" t="s">
        <v>32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18" t="s">
        <v>30</v>
      </c>
      <c r="B6" s="17" t="s">
        <v>88</v>
      </c>
      <c r="C6" s="17" t="s">
        <v>89</v>
      </c>
      <c r="D6" s="17" t="s">
        <v>90</v>
      </c>
      <c r="E6" s="17" t="s">
        <v>355</v>
      </c>
      <c r="F6" s="17" t="s">
        <v>14</v>
      </c>
      <c r="G6" s="21" t="s">
        <v>59</v>
      </c>
      <c r="H6" s="21" t="s">
        <v>42</v>
      </c>
      <c r="I6" s="21" t="s">
        <v>91</v>
      </c>
      <c r="J6" s="18"/>
      <c r="K6" s="21" t="s">
        <v>92</v>
      </c>
      <c r="L6" s="24" t="s">
        <v>40</v>
      </c>
      <c r="M6" s="21" t="s">
        <v>40</v>
      </c>
      <c r="N6" s="18"/>
      <c r="O6" s="21" t="s">
        <v>93</v>
      </c>
      <c r="P6" s="21" t="s">
        <v>79</v>
      </c>
      <c r="Q6" s="21" t="s">
        <v>94</v>
      </c>
      <c r="R6" s="18"/>
      <c r="S6" s="34" t="str">
        <f>"227,5"</f>
        <v>227,5</v>
      </c>
      <c r="T6" s="18" t="str">
        <f>"276,6172"</f>
        <v>276,6172</v>
      </c>
      <c r="U6" s="17" t="s">
        <v>321</v>
      </c>
    </row>
    <row r="7" spans="1:21">
      <c r="A7" s="26" t="s">
        <v>125</v>
      </c>
      <c r="B7" s="25" t="s">
        <v>95</v>
      </c>
      <c r="C7" s="25" t="s">
        <v>96</v>
      </c>
      <c r="D7" s="25" t="s">
        <v>97</v>
      </c>
      <c r="E7" s="25" t="s">
        <v>355</v>
      </c>
      <c r="F7" s="25" t="s">
        <v>14</v>
      </c>
      <c r="G7" s="27" t="s">
        <v>93</v>
      </c>
      <c r="H7" s="27" t="s">
        <v>93</v>
      </c>
      <c r="I7" s="27" t="s">
        <v>93</v>
      </c>
      <c r="J7" s="26"/>
      <c r="K7" s="26"/>
      <c r="L7" s="26"/>
      <c r="M7" s="26"/>
      <c r="N7" s="26"/>
      <c r="O7" s="26"/>
      <c r="P7" s="26"/>
      <c r="Q7" s="26"/>
      <c r="R7" s="26"/>
      <c r="S7" s="35">
        <v>0</v>
      </c>
      <c r="T7" s="26" t="str">
        <f>"0,0000"</f>
        <v>0,0000</v>
      </c>
      <c r="U7" s="25"/>
    </row>
    <row r="8" spans="1:21">
      <c r="A8" s="20" t="s">
        <v>30</v>
      </c>
      <c r="B8" s="19" t="s">
        <v>88</v>
      </c>
      <c r="C8" s="19" t="s">
        <v>100</v>
      </c>
      <c r="D8" s="19" t="s">
        <v>90</v>
      </c>
      <c r="E8" s="19" t="s">
        <v>356</v>
      </c>
      <c r="F8" s="19" t="s">
        <v>14</v>
      </c>
      <c r="G8" s="22" t="s">
        <v>59</v>
      </c>
      <c r="H8" s="22" t="s">
        <v>42</v>
      </c>
      <c r="I8" s="22" t="s">
        <v>91</v>
      </c>
      <c r="J8" s="20"/>
      <c r="K8" s="22" t="s">
        <v>92</v>
      </c>
      <c r="L8" s="23" t="s">
        <v>40</v>
      </c>
      <c r="M8" s="22" t="s">
        <v>40</v>
      </c>
      <c r="N8" s="20"/>
      <c r="O8" s="22" t="s">
        <v>93</v>
      </c>
      <c r="P8" s="22" t="s">
        <v>79</v>
      </c>
      <c r="Q8" s="22" t="s">
        <v>94</v>
      </c>
      <c r="R8" s="20"/>
      <c r="S8" s="36" t="str">
        <f>"227,5"</f>
        <v>227,5</v>
      </c>
      <c r="T8" s="20" t="str">
        <f>"284,3625"</f>
        <v>284,3625</v>
      </c>
      <c r="U8" s="19" t="s">
        <v>321</v>
      </c>
    </row>
    <row r="9" spans="1:21">
      <c r="B9" s="5" t="s">
        <v>31</v>
      </c>
    </row>
    <row r="10" spans="1:21" ht="16">
      <c r="A10" s="54" t="s">
        <v>101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21">
      <c r="A11" s="8" t="s">
        <v>30</v>
      </c>
      <c r="B11" s="7" t="s">
        <v>102</v>
      </c>
      <c r="C11" s="7" t="s">
        <v>103</v>
      </c>
      <c r="D11" s="7" t="s">
        <v>104</v>
      </c>
      <c r="E11" s="7" t="s">
        <v>357</v>
      </c>
      <c r="F11" s="7" t="s">
        <v>14</v>
      </c>
      <c r="G11" s="14" t="s">
        <v>42</v>
      </c>
      <c r="H11" s="15" t="s">
        <v>91</v>
      </c>
      <c r="I11" s="14" t="s">
        <v>91</v>
      </c>
      <c r="J11" s="8"/>
      <c r="K11" s="14" t="s">
        <v>40</v>
      </c>
      <c r="L11" s="14" t="s">
        <v>105</v>
      </c>
      <c r="M11" s="14" t="s">
        <v>41</v>
      </c>
      <c r="N11" s="8"/>
      <c r="O11" s="14" t="s">
        <v>60</v>
      </c>
      <c r="P11" s="14" t="s">
        <v>50</v>
      </c>
      <c r="Q11" s="14" t="s">
        <v>53</v>
      </c>
      <c r="R11" s="8"/>
      <c r="S11" s="31" t="str">
        <f>"202,5"</f>
        <v>202,5</v>
      </c>
      <c r="T11" s="8" t="str">
        <f>"229,9387"</f>
        <v>229,9387</v>
      </c>
      <c r="U11" s="7" t="s">
        <v>317</v>
      </c>
    </row>
    <row r="12" spans="1:21">
      <c r="B12" s="5" t="s">
        <v>31</v>
      </c>
    </row>
    <row r="13" spans="1:21" ht="16">
      <c r="A13" s="54" t="s">
        <v>106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21">
      <c r="A14" s="8" t="s">
        <v>30</v>
      </c>
      <c r="B14" s="7" t="s">
        <v>107</v>
      </c>
      <c r="C14" s="7" t="s">
        <v>108</v>
      </c>
      <c r="D14" s="7" t="s">
        <v>109</v>
      </c>
      <c r="E14" s="7" t="s">
        <v>355</v>
      </c>
      <c r="F14" s="7" t="s">
        <v>14</v>
      </c>
      <c r="G14" s="14" t="s">
        <v>69</v>
      </c>
      <c r="H14" s="14" t="s">
        <v>70</v>
      </c>
      <c r="I14" s="14" t="s">
        <v>77</v>
      </c>
      <c r="J14" s="8"/>
      <c r="K14" s="14" t="s">
        <v>62</v>
      </c>
      <c r="L14" s="14" t="s">
        <v>110</v>
      </c>
      <c r="M14" s="15" t="s">
        <v>111</v>
      </c>
      <c r="N14" s="8"/>
      <c r="O14" s="14" t="s">
        <v>70</v>
      </c>
      <c r="P14" s="14" t="s">
        <v>112</v>
      </c>
      <c r="Q14" s="15" t="s">
        <v>113</v>
      </c>
      <c r="R14" s="8"/>
      <c r="S14" s="31" t="str">
        <f>"412,5"</f>
        <v>412,5</v>
      </c>
      <c r="T14" s="8" t="str">
        <f>"294,1950"</f>
        <v>294,1950</v>
      </c>
      <c r="U14" s="7" t="s">
        <v>322</v>
      </c>
    </row>
    <row r="15" spans="1:21">
      <c r="B15" s="5" t="s">
        <v>31</v>
      </c>
    </row>
    <row r="16" spans="1:21" ht="16">
      <c r="A16" s="54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21">
      <c r="A17" s="8" t="s">
        <v>30</v>
      </c>
      <c r="B17" s="7" t="s">
        <v>114</v>
      </c>
      <c r="C17" s="7" t="s">
        <v>115</v>
      </c>
      <c r="D17" s="7" t="s">
        <v>116</v>
      </c>
      <c r="E17" s="7" t="s">
        <v>355</v>
      </c>
      <c r="F17" s="7" t="s">
        <v>14</v>
      </c>
      <c r="G17" s="14" t="s">
        <v>117</v>
      </c>
      <c r="H17" s="14" t="s">
        <v>118</v>
      </c>
      <c r="I17" s="8"/>
      <c r="J17" s="8"/>
      <c r="K17" s="14" t="s">
        <v>70</v>
      </c>
      <c r="L17" s="14" t="s">
        <v>77</v>
      </c>
      <c r="M17" s="14" t="s">
        <v>119</v>
      </c>
      <c r="N17" s="8"/>
      <c r="O17" s="14" t="s">
        <v>120</v>
      </c>
      <c r="P17" s="14" t="s">
        <v>121</v>
      </c>
      <c r="Q17" s="15" t="s">
        <v>122</v>
      </c>
      <c r="R17" s="8"/>
      <c r="S17" s="31" t="str">
        <f>"660,0"</f>
        <v>660,0</v>
      </c>
      <c r="T17" s="8" t="str">
        <f>"403,3260"</f>
        <v>403,3260</v>
      </c>
      <c r="U17" s="7"/>
    </row>
    <row r="18" spans="1:21">
      <c r="B18" s="5" t="s">
        <v>31</v>
      </c>
    </row>
    <row r="19" spans="1:21">
      <c r="B19" s="5" t="s">
        <v>31</v>
      </c>
    </row>
    <row r="20" spans="1:21">
      <c r="B20" s="5" t="s">
        <v>31</v>
      </c>
    </row>
    <row r="21" spans="1:21">
      <c r="B21" s="5" t="s">
        <v>31</v>
      </c>
    </row>
    <row r="22" spans="1:21">
      <c r="B22" s="5" t="s">
        <v>31</v>
      </c>
    </row>
    <row r="23" spans="1:21">
      <c r="B23" s="5" t="s">
        <v>31</v>
      </c>
    </row>
    <row r="24" spans="1:21">
      <c r="B24" s="5" t="s">
        <v>31</v>
      </c>
    </row>
    <row r="25" spans="1:21">
      <c r="B25" s="5" t="s">
        <v>31</v>
      </c>
    </row>
    <row r="26" spans="1:21">
      <c r="B26" s="5" t="s">
        <v>31</v>
      </c>
    </row>
  </sheetData>
  <mergeCells count="17">
    <mergeCell ref="A10:R10"/>
    <mergeCell ref="A13:R13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CE59-578B-486F-B667-8B8AD68ECD40}">
  <dimension ref="A1:M55"/>
  <sheetViews>
    <sheetView zoomScaleNormal="100"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43" t="s">
        <v>346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352</v>
      </c>
      <c r="H3" s="37"/>
      <c r="I3" s="37"/>
      <c r="J3" s="37"/>
      <c r="K3" s="37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188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189</v>
      </c>
      <c r="C6" s="7" t="s">
        <v>190</v>
      </c>
      <c r="D6" s="7" t="s">
        <v>292</v>
      </c>
      <c r="E6" s="7" t="s">
        <v>355</v>
      </c>
      <c r="F6" s="7" t="s">
        <v>192</v>
      </c>
      <c r="G6" s="14" t="s">
        <v>293</v>
      </c>
      <c r="H6" s="15" t="s">
        <v>39</v>
      </c>
      <c r="I6" s="8"/>
      <c r="J6" s="8"/>
      <c r="K6" s="8" t="str">
        <f>"27,5"</f>
        <v>27,5</v>
      </c>
      <c r="L6" s="8" t="str">
        <f>"30,9292"</f>
        <v>30,9292</v>
      </c>
      <c r="M6" s="7" t="s">
        <v>307</v>
      </c>
    </row>
    <row r="7" spans="1:13">
      <c r="B7" s="5" t="s">
        <v>31</v>
      </c>
    </row>
    <row r="8" spans="1:13" ht="16">
      <c r="A8" s="54" t="s">
        <v>45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8" t="s">
        <v>30</v>
      </c>
      <c r="B9" s="17" t="s">
        <v>294</v>
      </c>
      <c r="C9" s="17" t="s">
        <v>295</v>
      </c>
      <c r="D9" s="17" t="s">
        <v>296</v>
      </c>
      <c r="E9" s="17" t="s">
        <v>355</v>
      </c>
      <c r="F9" s="17" t="s">
        <v>14</v>
      </c>
      <c r="G9" s="24" t="s">
        <v>61</v>
      </c>
      <c r="H9" s="21" t="s">
        <v>36</v>
      </c>
      <c r="I9" s="24" t="s">
        <v>51</v>
      </c>
      <c r="J9" s="18"/>
      <c r="K9" s="18" t="str">
        <f>"55,0"</f>
        <v>55,0</v>
      </c>
      <c r="L9" s="18" t="str">
        <f>"42,1300"</f>
        <v>42,1300</v>
      </c>
      <c r="M9" s="17"/>
    </row>
    <row r="10" spans="1:13">
      <c r="A10" s="20" t="s">
        <v>30</v>
      </c>
      <c r="B10" s="19" t="s">
        <v>297</v>
      </c>
      <c r="C10" s="19" t="s">
        <v>336</v>
      </c>
      <c r="D10" s="19" t="s">
        <v>298</v>
      </c>
      <c r="E10" s="19" t="s">
        <v>356</v>
      </c>
      <c r="F10" s="19" t="s">
        <v>49</v>
      </c>
      <c r="G10" s="22" t="s">
        <v>299</v>
      </c>
      <c r="H10" s="22" t="s">
        <v>199</v>
      </c>
      <c r="I10" s="22" t="s">
        <v>300</v>
      </c>
      <c r="J10" s="20"/>
      <c r="K10" s="20" t="str">
        <f>"47,5"</f>
        <v>47,5</v>
      </c>
      <c r="L10" s="20" t="str">
        <f>"37,3006"</f>
        <v>37,3006</v>
      </c>
      <c r="M10" s="19"/>
    </row>
    <row r="11" spans="1:13">
      <c r="B11" s="5" t="s">
        <v>31</v>
      </c>
    </row>
    <row r="12" spans="1:13" ht="16">
      <c r="A12" s="54" t="s">
        <v>63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8" t="s">
        <v>30</v>
      </c>
      <c r="B13" s="7" t="s">
        <v>200</v>
      </c>
      <c r="C13" s="7" t="s">
        <v>337</v>
      </c>
      <c r="D13" s="7" t="s">
        <v>202</v>
      </c>
      <c r="E13" s="7" t="s">
        <v>360</v>
      </c>
      <c r="F13" s="7" t="s">
        <v>334</v>
      </c>
      <c r="G13" s="15" t="s">
        <v>199</v>
      </c>
      <c r="H13" s="14" t="s">
        <v>61</v>
      </c>
      <c r="I13" s="15" t="s">
        <v>98</v>
      </c>
      <c r="J13" s="8"/>
      <c r="K13" s="8" t="str">
        <f>"50,0"</f>
        <v>50,0</v>
      </c>
      <c r="L13" s="8" t="str">
        <f>"32,3575"</f>
        <v>32,3575</v>
      </c>
      <c r="M13" s="7"/>
    </row>
    <row r="14" spans="1:13">
      <c r="B14" s="5" t="s">
        <v>31</v>
      </c>
    </row>
    <row r="15" spans="1:13" ht="16">
      <c r="A15" s="54" t="s">
        <v>139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18" t="s">
        <v>30</v>
      </c>
      <c r="B16" s="17" t="s">
        <v>301</v>
      </c>
      <c r="C16" s="17" t="s">
        <v>338</v>
      </c>
      <c r="D16" s="17" t="s">
        <v>302</v>
      </c>
      <c r="E16" s="17" t="s">
        <v>357</v>
      </c>
      <c r="F16" s="17" t="s">
        <v>49</v>
      </c>
      <c r="G16" s="21" t="s">
        <v>51</v>
      </c>
      <c r="H16" s="21" t="s">
        <v>37</v>
      </c>
      <c r="I16" s="21" t="s">
        <v>38</v>
      </c>
      <c r="J16" s="18"/>
      <c r="K16" s="18" t="str">
        <f>"65,0"</f>
        <v>65,0</v>
      </c>
      <c r="L16" s="18" t="str">
        <f>"39,8190"</f>
        <v>39,8190</v>
      </c>
      <c r="M16" s="17"/>
    </row>
    <row r="17" spans="1:13">
      <c r="A17" s="20" t="s">
        <v>30</v>
      </c>
      <c r="B17" s="19" t="s">
        <v>282</v>
      </c>
      <c r="C17" s="19" t="s">
        <v>283</v>
      </c>
      <c r="D17" s="19" t="s">
        <v>284</v>
      </c>
      <c r="E17" s="19" t="s">
        <v>355</v>
      </c>
      <c r="F17" s="19" t="s">
        <v>14</v>
      </c>
      <c r="G17" s="22" t="s">
        <v>61</v>
      </c>
      <c r="H17" s="23" t="s">
        <v>59</v>
      </c>
      <c r="I17" s="23" t="s">
        <v>59</v>
      </c>
      <c r="J17" s="20"/>
      <c r="K17" s="20" t="str">
        <f>"50,0"</f>
        <v>50,0</v>
      </c>
      <c r="L17" s="20" t="str">
        <f>"31,1300"</f>
        <v>31,1300</v>
      </c>
      <c r="M17" s="19" t="s">
        <v>308</v>
      </c>
    </row>
    <row r="18" spans="1:13">
      <c r="B18" s="5" t="s">
        <v>31</v>
      </c>
    </row>
    <row r="19" spans="1:13" ht="16">
      <c r="A19" s="54" t="s">
        <v>10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3">
      <c r="A20" s="18" t="s">
        <v>30</v>
      </c>
      <c r="B20" s="17" t="s">
        <v>231</v>
      </c>
      <c r="C20" s="17" t="s">
        <v>232</v>
      </c>
      <c r="D20" s="17" t="s">
        <v>233</v>
      </c>
      <c r="E20" s="17" t="s">
        <v>355</v>
      </c>
      <c r="F20" s="17" t="s">
        <v>234</v>
      </c>
      <c r="G20" s="24" t="s">
        <v>59</v>
      </c>
      <c r="H20" s="21" t="s">
        <v>42</v>
      </c>
      <c r="I20" s="21" t="s">
        <v>60</v>
      </c>
      <c r="J20" s="18"/>
      <c r="K20" s="18" t="str">
        <f>"80,0"</f>
        <v>80,0</v>
      </c>
      <c r="L20" s="18" t="str">
        <f>"46,6440"</f>
        <v>46,6440</v>
      </c>
      <c r="M20" s="17"/>
    </row>
    <row r="21" spans="1:13">
      <c r="A21" s="20" t="s">
        <v>87</v>
      </c>
      <c r="B21" s="19" t="s">
        <v>303</v>
      </c>
      <c r="C21" s="19" t="s">
        <v>304</v>
      </c>
      <c r="D21" s="19" t="s">
        <v>305</v>
      </c>
      <c r="E21" s="19" t="s">
        <v>355</v>
      </c>
      <c r="F21" s="19" t="s">
        <v>306</v>
      </c>
      <c r="G21" s="22" t="s">
        <v>38</v>
      </c>
      <c r="H21" s="23" t="s">
        <v>42</v>
      </c>
      <c r="I21" s="23" t="s">
        <v>42</v>
      </c>
      <c r="J21" s="20"/>
      <c r="K21" s="20" t="str">
        <f>"65,0"</f>
        <v>65,0</v>
      </c>
      <c r="L21" s="20" t="str">
        <f>"38,3272"</f>
        <v>38,3272</v>
      </c>
      <c r="M21" s="19"/>
    </row>
    <row r="22" spans="1:13">
      <c r="B22" s="5" t="s">
        <v>31</v>
      </c>
    </row>
    <row r="23" spans="1:13">
      <c r="B23" s="5" t="s">
        <v>31</v>
      </c>
    </row>
    <row r="24" spans="1:13">
      <c r="B24" s="5" t="s">
        <v>31</v>
      </c>
    </row>
    <row r="25" spans="1:13">
      <c r="B25" s="5" t="s">
        <v>31</v>
      </c>
    </row>
    <row r="26" spans="1:13">
      <c r="B26" s="5" t="s">
        <v>31</v>
      </c>
    </row>
    <row r="27" spans="1:13">
      <c r="B27" s="5" t="s">
        <v>31</v>
      </c>
    </row>
    <row r="28" spans="1:13">
      <c r="B28" s="5" t="s">
        <v>31</v>
      </c>
    </row>
    <row r="29" spans="1:13">
      <c r="B29" s="5" t="s">
        <v>31</v>
      </c>
    </row>
    <row r="30" spans="1:13">
      <c r="B30" s="5" t="s">
        <v>31</v>
      </c>
    </row>
    <row r="31" spans="1:13" ht="18">
      <c r="C31" s="9"/>
      <c r="D31" s="9"/>
    </row>
    <row r="32" spans="1:13" ht="16">
      <c r="C32" s="16"/>
      <c r="D32" s="16"/>
    </row>
    <row r="33" spans="3:6" ht="14">
      <c r="C33" s="11"/>
      <c r="D33" s="12"/>
    </row>
    <row r="34" spans="3:6" ht="14">
      <c r="C34" s="1"/>
      <c r="D34" s="1"/>
      <c r="E34" s="1"/>
      <c r="F34" s="1"/>
    </row>
    <row r="35" spans="3:6">
      <c r="E35" s="6"/>
      <c r="F35" s="6"/>
    </row>
    <row r="38" spans="3:6" ht="16">
      <c r="C38" s="16"/>
      <c r="D38" s="16"/>
    </row>
    <row r="39" spans="3:6" ht="14">
      <c r="C39" s="11"/>
      <c r="D39" s="12"/>
    </row>
    <row r="40" spans="3:6" ht="14">
      <c r="C40" s="1"/>
      <c r="D40" s="1"/>
      <c r="E40" s="1"/>
      <c r="F40" s="1"/>
    </row>
    <row r="41" spans="3:6">
      <c r="E41" s="6"/>
      <c r="F41" s="6"/>
    </row>
    <row r="43" spans="3:6" ht="14">
      <c r="C43" s="11"/>
      <c r="D43" s="12"/>
    </row>
    <row r="44" spans="3:6" ht="14">
      <c r="C44" s="1"/>
      <c r="D44" s="1"/>
      <c r="E44" s="1"/>
      <c r="F44" s="1"/>
    </row>
    <row r="45" spans="3:6">
      <c r="E45" s="6"/>
      <c r="F45" s="6"/>
    </row>
    <row r="47" spans="3:6" ht="14">
      <c r="C47" s="11"/>
      <c r="D47" s="12"/>
    </row>
    <row r="48" spans="3:6" ht="14">
      <c r="C48" s="1"/>
      <c r="D48" s="1"/>
      <c r="E48" s="1"/>
      <c r="F48" s="1"/>
    </row>
    <row r="49" spans="3:6">
      <c r="E49" s="6"/>
      <c r="F49" s="6"/>
    </row>
    <row r="50" spans="3:6">
      <c r="E50" s="6"/>
      <c r="F50" s="6"/>
    </row>
    <row r="51" spans="3:6">
      <c r="E51" s="6"/>
      <c r="F51" s="6"/>
    </row>
    <row r="53" spans="3:6" ht="14">
      <c r="C53" s="11"/>
      <c r="D53" s="12"/>
    </row>
    <row r="54" spans="3:6" ht="14">
      <c r="C54" s="1"/>
      <c r="D54" s="1"/>
      <c r="E54" s="1"/>
      <c r="F54" s="1"/>
    </row>
    <row r="55" spans="3:6">
      <c r="E55" s="6"/>
      <c r="F55" s="6"/>
    </row>
  </sheetData>
  <mergeCells count="16">
    <mergeCell ref="A8:J8"/>
    <mergeCell ref="A12:J12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063C-4DA1-4A80-AF39-FCC65ECCEE36}">
  <dimension ref="A1:M40"/>
  <sheetViews>
    <sheetView tabSelected="1" zoomScaleNormal="100"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3" t="s">
        <v>347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352</v>
      </c>
      <c r="H3" s="37"/>
      <c r="I3" s="37"/>
      <c r="J3" s="37"/>
      <c r="K3" s="37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101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290</v>
      </c>
      <c r="C6" s="7" t="s">
        <v>335</v>
      </c>
      <c r="D6" s="7" t="s">
        <v>291</v>
      </c>
      <c r="E6" s="7" t="s">
        <v>360</v>
      </c>
      <c r="F6" s="7" t="s">
        <v>49</v>
      </c>
      <c r="G6" s="14" t="s">
        <v>199</v>
      </c>
      <c r="H6" s="15" t="s">
        <v>61</v>
      </c>
      <c r="I6" s="15" t="s">
        <v>61</v>
      </c>
      <c r="J6" s="8"/>
      <c r="K6" s="8" t="str">
        <f>"45,0"</f>
        <v>45,0</v>
      </c>
      <c r="L6" s="8" t="str">
        <f>"38,0363"</f>
        <v>38,0363</v>
      </c>
      <c r="M6" s="7" t="s">
        <v>309</v>
      </c>
    </row>
    <row r="7" spans="1:13">
      <c r="B7" s="5" t="s">
        <v>31</v>
      </c>
    </row>
    <row r="8" spans="1:13" ht="16">
      <c r="A8" s="54" t="s">
        <v>106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30</v>
      </c>
      <c r="B9" s="7" t="s">
        <v>133</v>
      </c>
      <c r="C9" s="7" t="s">
        <v>134</v>
      </c>
      <c r="D9" s="7" t="s">
        <v>135</v>
      </c>
      <c r="E9" s="7" t="s">
        <v>355</v>
      </c>
      <c r="F9" s="7" t="s">
        <v>49</v>
      </c>
      <c r="G9" s="14" t="s">
        <v>59</v>
      </c>
      <c r="H9" s="14" t="s">
        <v>38</v>
      </c>
      <c r="I9" s="15" t="s">
        <v>132</v>
      </c>
      <c r="J9" s="8"/>
      <c r="K9" s="8" t="str">
        <f>"65,0"</f>
        <v>65,0</v>
      </c>
      <c r="L9" s="8" t="str">
        <f>"45,2043"</f>
        <v>45,2043</v>
      </c>
      <c r="M9" s="7" t="s">
        <v>310</v>
      </c>
    </row>
    <row r="10" spans="1:13">
      <c r="B10" s="5" t="s">
        <v>31</v>
      </c>
    </row>
    <row r="11" spans="1:13" ht="16">
      <c r="A11" s="54" t="s">
        <v>63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30</v>
      </c>
      <c r="B12" s="7" t="s">
        <v>64</v>
      </c>
      <c r="C12" s="7" t="s">
        <v>65</v>
      </c>
      <c r="D12" s="7" t="s">
        <v>66</v>
      </c>
      <c r="E12" s="7" t="s">
        <v>355</v>
      </c>
      <c r="F12" s="7" t="s">
        <v>49</v>
      </c>
      <c r="G12" s="14" t="s">
        <v>61</v>
      </c>
      <c r="H12" s="14" t="s">
        <v>51</v>
      </c>
      <c r="I12" s="15" t="s">
        <v>37</v>
      </c>
      <c r="J12" s="8"/>
      <c r="K12" s="8" t="str">
        <f>"57,5"</f>
        <v>57,5</v>
      </c>
      <c r="L12" s="8" t="str">
        <f>"38,9476"</f>
        <v>38,9476</v>
      </c>
      <c r="M12" s="7" t="s">
        <v>311</v>
      </c>
    </row>
    <row r="13" spans="1:13">
      <c r="B13" s="5" t="s">
        <v>31</v>
      </c>
    </row>
    <row r="14" spans="1:13" ht="16">
      <c r="A14" s="54" t="s">
        <v>10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8" t="s">
        <v>30</v>
      </c>
      <c r="B15" s="17" t="s">
        <v>287</v>
      </c>
      <c r="C15" s="17" t="s">
        <v>288</v>
      </c>
      <c r="D15" s="17" t="s">
        <v>289</v>
      </c>
      <c r="E15" s="17" t="s">
        <v>355</v>
      </c>
      <c r="F15" s="17" t="s">
        <v>49</v>
      </c>
      <c r="G15" s="21" t="s">
        <v>38</v>
      </c>
      <c r="H15" s="21" t="s">
        <v>42</v>
      </c>
      <c r="I15" s="21" t="s">
        <v>43</v>
      </c>
      <c r="J15" s="18"/>
      <c r="K15" s="18" t="str">
        <f>"77,5"</f>
        <v>77,5</v>
      </c>
      <c r="L15" s="18" t="str">
        <f>"45,5894"</f>
        <v>45,5894</v>
      </c>
      <c r="M15" s="17"/>
    </row>
    <row r="16" spans="1:13">
      <c r="A16" s="20" t="s">
        <v>87</v>
      </c>
      <c r="B16" s="19" t="s">
        <v>144</v>
      </c>
      <c r="C16" s="19" t="s">
        <v>145</v>
      </c>
      <c r="D16" s="19" t="s">
        <v>13</v>
      </c>
      <c r="E16" s="19" t="s">
        <v>355</v>
      </c>
      <c r="F16" s="19" t="s">
        <v>146</v>
      </c>
      <c r="G16" s="23" t="s">
        <v>42</v>
      </c>
      <c r="H16" s="22" t="s">
        <v>42</v>
      </c>
      <c r="I16" s="23" t="s">
        <v>60</v>
      </c>
      <c r="J16" s="20"/>
      <c r="K16" s="20" t="str">
        <f>"70,0"</f>
        <v>70,0</v>
      </c>
      <c r="L16" s="20" t="str">
        <f>"40,6910"</f>
        <v>40,6910</v>
      </c>
      <c r="M16" s="19" t="s">
        <v>320</v>
      </c>
    </row>
    <row r="17" spans="1:13">
      <c r="B17" s="5" t="s">
        <v>31</v>
      </c>
    </row>
    <row r="18" spans="1:13" ht="16">
      <c r="A18" s="54" t="s">
        <v>175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8" t="s">
        <v>30</v>
      </c>
      <c r="B19" s="7" t="s">
        <v>176</v>
      </c>
      <c r="C19" s="7" t="s">
        <v>177</v>
      </c>
      <c r="D19" s="7" t="s">
        <v>178</v>
      </c>
      <c r="E19" s="7" t="s">
        <v>355</v>
      </c>
      <c r="F19" s="7" t="s">
        <v>49</v>
      </c>
      <c r="G19" s="14" t="s">
        <v>36</v>
      </c>
      <c r="H19" s="15" t="s">
        <v>59</v>
      </c>
      <c r="I19" s="14" t="s">
        <v>59</v>
      </c>
      <c r="J19" s="8"/>
      <c r="K19" s="8" t="str">
        <f>"60,0"</f>
        <v>60,0</v>
      </c>
      <c r="L19" s="8" t="str">
        <f>"32,8740"</f>
        <v>32,8740</v>
      </c>
      <c r="M19" s="7" t="s">
        <v>312</v>
      </c>
    </row>
    <row r="20" spans="1:13">
      <c r="B20" s="5" t="s">
        <v>31</v>
      </c>
    </row>
    <row r="21" spans="1:13">
      <c r="B21" s="5" t="s">
        <v>31</v>
      </c>
    </row>
    <row r="22" spans="1:13">
      <c r="B22" s="5" t="s">
        <v>31</v>
      </c>
    </row>
    <row r="23" spans="1:13">
      <c r="B23" s="5" t="s">
        <v>31</v>
      </c>
    </row>
    <row r="24" spans="1:13">
      <c r="B24" s="5" t="s">
        <v>31</v>
      </c>
    </row>
    <row r="25" spans="1:13">
      <c r="B25" s="5" t="s">
        <v>31</v>
      </c>
    </row>
    <row r="26" spans="1:13">
      <c r="B26" s="5" t="s">
        <v>31</v>
      </c>
    </row>
    <row r="27" spans="1:13">
      <c r="B27" s="5" t="s">
        <v>31</v>
      </c>
    </row>
    <row r="28" spans="1:13">
      <c r="B28" s="5" t="s">
        <v>31</v>
      </c>
    </row>
    <row r="29" spans="1:13" ht="18">
      <c r="B29" s="5" t="s">
        <v>31</v>
      </c>
      <c r="C29" s="9"/>
      <c r="D29" s="9"/>
    </row>
    <row r="30" spans="1:13" ht="16">
      <c r="B30" s="5" t="s">
        <v>31</v>
      </c>
      <c r="C30" s="16"/>
      <c r="D30" s="16"/>
    </row>
    <row r="31" spans="1:13" ht="14">
      <c r="B31" s="5" t="s">
        <v>31</v>
      </c>
      <c r="C31" s="11"/>
      <c r="D31" s="12"/>
    </row>
    <row r="32" spans="1:13" ht="14">
      <c r="B32" s="5" t="s">
        <v>31</v>
      </c>
      <c r="C32" s="1"/>
      <c r="D32" s="1"/>
      <c r="E32" s="1"/>
      <c r="F32" s="1"/>
    </row>
    <row r="33" spans="2:6">
      <c r="B33" s="5" t="s">
        <v>31</v>
      </c>
      <c r="E33" s="6"/>
      <c r="F33" s="6"/>
    </row>
    <row r="34" spans="2:6">
      <c r="B34" s="5" t="s">
        <v>31</v>
      </c>
    </row>
    <row r="35" spans="2:6" ht="14">
      <c r="B35" s="5" t="s">
        <v>31</v>
      </c>
      <c r="C35" s="11"/>
      <c r="D35" s="12"/>
    </row>
    <row r="36" spans="2:6" ht="14">
      <c r="B36" s="5" t="s">
        <v>31</v>
      </c>
      <c r="C36" s="1"/>
      <c r="D36" s="1"/>
      <c r="E36" s="1"/>
      <c r="F36" s="1"/>
    </row>
    <row r="37" spans="2:6">
      <c r="B37" s="5" t="s">
        <v>31</v>
      </c>
      <c r="E37" s="6"/>
      <c r="F37" s="6"/>
    </row>
    <row r="38" spans="2:6">
      <c r="B38" s="5" t="s">
        <v>31</v>
      </c>
      <c r="E38" s="6"/>
      <c r="F38" s="6"/>
    </row>
    <row r="39" spans="2:6">
      <c r="B39" s="5" t="s">
        <v>31</v>
      </c>
      <c r="E39" s="6"/>
      <c r="F39" s="6"/>
    </row>
    <row r="40" spans="2:6">
      <c r="B40" s="5" t="s">
        <v>31</v>
      </c>
    </row>
  </sheetData>
  <mergeCells count="16">
    <mergeCell ref="A8:J8"/>
    <mergeCell ref="A11:J11"/>
    <mergeCell ref="A14:J14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EB4A-2583-F949-BFFF-A220173AD8E5}">
  <dimension ref="A1:B9"/>
  <sheetViews>
    <sheetView workbookViewId="0">
      <selection sqref="A1:B2"/>
    </sheetView>
  </sheetViews>
  <sheetFormatPr baseColWidth="10" defaultRowHeight="13"/>
  <cols>
    <col min="1" max="1" width="31.1640625" customWidth="1"/>
    <col min="2" max="2" width="32.6640625" customWidth="1"/>
  </cols>
  <sheetData>
    <row r="1" spans="1:2" ht="28" customHeight="1">
      <c r="A1" s="63" t="s">
        <v>348</v>
      </c>
      <c r="B1" s="64"/>
    </row>
    <row r="2" spans="1:2" ht="36" customHeight="1">
      <c r="A2" s="65"/>
      <c r="B2" s="66"/>
    </row>
    <row r="4" spans="1:2">
      <c r="A4" t="s">
        <v>339</v>
      </c>
      <c r="B4" t="s">
        <v>350</v>
      </c>
    </row>
    <row r="5" spans="1:2">
      <c r="A5" t="s">
        <v>340</v>
      </c>
      <c r="B5" t="s">
        <v>341</v>
      </c>
    </row>
    <row r="6" spans="1:2">
      <c r="A6" t="s">
        <v>342</v>
      </c>
      <c r="B6" t="s">
        <v>349</v>
      </c>
    </row>
    <row r="7" spans="1:2">
      <c r="B7" t="s">
        <v>343</v>
      </c>
    </row>
    <row r="8" spans="1:2">
      <c r="B8" t="s">
        <v>344</v>
      </c>
    </row>
    <row r="9" spans="1:2">
      <c r="B9" t="s">
        <v>345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8B36-6D98-4B68-A53D-45B041FAAEFA}">
  <dimension ref="A1:U26"/>
  <sheetViews>
    <sheetView zoomScaleNormal="100"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9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43" t="s">
        <v>331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32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30</v>
      </c>
      <c r="B6" s="7" t="s">
        <v>33</v>
      </c>
      <c r="C6" s="7" t="s">
        <v>34</v>
      </c>
      <c r="D6" s="7" t="s">
        <v>35</v>
      </c>
      <c r="E6" s="7" t="s">
        <v>355</v>
      </c>
      <c r="F6" s="7" t="s">
        <v>14</v>
      </c>
      <c r="G6" s="14" t="s">
        <v>36</v>
      </c>
      <c r="H6" s="15" t="s">
        <v>37</v>
      </c>
      <c r="I6" s="15" t="s">
        <v>38</v>
      </c>
      <c r="J6" s="8"/>
      <c r="K6" s="15" t="s">
        <v>39</v>
      </c>
      <c r="L6" s="14" t="s">
        <v>40</v>
      </c>
      <c r="M6" s="15" t="s">
        <v>41</v>
      </c>
      <c r="N6" s="8"/>
      <c r="O6" s="14" t="s">
        <v>42</v>
      </c>
      <c r="P6" s="14" t="s">
        <v>43</v>
      </c>
      <c r="Q6" s="14" t="s">
        <v>44</v>
      </c>
      <c r="R6" s="8"/>
      <c r="S6" s="8" t="str">
        <f>"172,5"</f>
        <v>172,5</v>
      </c>
      <c r="T6" s="8" t="str">
        <f>"207,3278"</f>
        <v>207,3278</v>
      </c>
      <c r="U6" s="7" t="s">
        <v>313</v>
      </c>
    </row>
    <row r="7" spans="1:21">
      <c r="B7" s="5" t="s">
        <v>31</v>
      </c>
    </row>
    <row r="8" spans="1:21" ht="16">
      <c r="A8" s="54" t="s">
        <v>45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18" t="s">
        <v>30</v>
      </c>
      <c r="B9" s="17" t="s">
        <v>46</v>
      </c>
      <c r="C9" s="17" t="s">
        <v>47</v>
      </c>
      <c r="D9" s="17" t="s">
        <v>48</v>
      </c>
      <c r="E9" s="17" t="s">
        <v>358</v>
      </c>
      <c r="F9" s="17" t="s">
        <v>49</v>
      </c>
      <c r="G9" s="21" t="s">
        <v>43</v>
      </c>
      <c r="H9" s="21" t="s">
        <v>44</v>
      </c>
      <c r="I9" s="21" t="s">
        <v>50</v>
      </c>
      <c r="J9" s="18"/>
      <c r="K9" s="21" t="s">
        <v>51</v>
      </c>
      <c r="L9" s="21" t="s">
        <v>37</v>
      </c>
      <c r="M9" s="21" t="s">
        <v>52</v>
      </c>
      <c r="N9" s="21" t="s">
        <v>42</v>
      </c>
      <c r="O9" s="21" t="s">
        <v>53</v>
      </c>
      <c r="P9" s="21" t="s">
        <v>54</v>
      </c>
      <c r="Q9" s="21" t="s">
        <v>55</v>
      </c>
      <c r="R9" s="18"/>
      <c r="S9" s="18" t="str">
        <f>"247,5"</f>
        <v>247,5</v>
      </c>
      <c r="T9" s="18" t="str">
        <f>"202,4055"</f>
        <v>202,4055</v>
      </c>
      <c r="U9" s="17" t="s">
        <v>323</v>
      </c>
    </row>
    <row r="10" spans="1:21">
      <c r="A10" s="20" t="s">
        <v>87</v>
      </c>
      <c r="B10" s="19" t="s">
        <v>56</v>
      </c>
      <c r="C10" s="19" t="s">
        <v>57</v>
      </c>
      <c r="D10" s="19" t="s">
        <v>58</v>
      </c>
      <c r="E10" s="19" t="s">
        <v>358</v>
      </c>
      <c r="F10" s="19" t="s">
        <v>49</v>
      </c>
      <c r="G10" s="22" t="s">
        <v>59</v>
      </c>
      <c r="H10" s="22" t="s">
        <v>42</v>
      </c>
      <c r="I10" s="22" t="s">
        <v>60</v>
      </c>
      <c r="J10" s="20"/>
      <c r="K10" s="22" t="s">
        <v>61</v>
      </c>
      <c r="L10" s="22" t="s">
        <v>59</v>
      </c>
      <c r="M10" s="23" t="s">
        <v>42</v>
      </c>
      <c r="N10" s="20"/>
      <c r="O10" s="23" t="s">
        <v>50</v>
      </c>
      <c r="P10" s="22" t="s">
        <v>62</v>
      </c>
      <c r="Q10" s="22" t="s">
        <v>55</v>
      </c>
      <c r="R10" s="20"/>
      <c r="S10" s="20" t="str">
        <f>"235,0"</f>
        <v>235,0</v>
      </c>
      <c r="T10" s="20" t="str">
        <f>"187,1070"</f>
        <v>187,1070</v>
      </c>
      <c r="U10" s="19" t="s">
        <v>309</v>
      </c>
    </row>
    <row r="11" spans="1:21">
      <c r="B11" s="5" t="s">
        <v>31</v>
      </c>
    </row>
    <row r="12" spans="1:21" ht="16">
      <c r="A12" s="54" t="s">
        <v>63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21">
      <c r="A13" s="18" t="s">
        <v>30</v>
      </c>
      <c r="B13" s="17" t="s">
        <v>64</v>
      </c>
      <c r="C13" s="17" t="s">
        <v>65</v>
      </c>
      <c r="D13" s="17" t="s">
        <v>66</v>
      </c>
      <c r="E13" s="17" t="s">
        <v>355</v>
      </c>
      <c r="F13" s="17" t="s">
        <v>49</v>
      </c>
      <c r="G13" s="21" t="s">
        <v>15</v>
      </c>
      <c r="H13" s="21" t="s">
        <v>67</v>
      </c>
      <c r="I13" s="21" t="s">
        <v>21</v>
      </c>
      <c r="J13" s="18"/>
      <c r="K13" s="21" t="s">
        <v>68</v>
      </c>
      <c r="L13" s="21" t="s">
        <v>69</v>
      </c>
      <c r="M13" s="24" t="s">
        <v>70</v>
      </c>
      <c r="N13" s="18"/>
      <c r="O13" s="21" t="s">
        <v>71</v>
      </c>
      <c r="P13" s="21" t="s">
        <v>72</v>
      </c>
      <c r="Q13" s="24" t="s">
        <v>73</v>
      </c>
      <c r="R13" s="18"/>
      <c r="S13" s="18" t="str">
        <f>"550,0"</f>
        <v>550,0</v>
      </c>
      <c r="T13" s="18" t="str">
        <f>"385,9350"</f>
        <v>385,9350</v>
      </c>
      <c r="U13" s="17" t="s">
        <v>311</v>
      </c>
    </row>
    <row r="14" spans="1:21">
      <c r="A14" s="20" t="s">
        <v>87</v>
      </c>
      <c r="B14" s="19" t="s">
        <v>74</v>
      </c>
      <c r="C14" s="19" t="s">
        <v>75</v>
      </c>
      <c r="D14" s="19" t="s">
        <v>76</v>
      </c>
      <c r="E14" s="19" t="s">
        <v>355</v>
      </c>
      <c r="F14" s="19" t="s">
        <v>49</v>
      </c>
      <c r="G14" s="23" t="s">
        <v>77</v>
      </c>
      <c r="H14" s="22" t="s">
        <v>77</v>
      </c>
      <c r="I14" s="23" t="s">
        <v>78</v>
      </c>
      <c r="J14" s="20"/>
      <c r="K14" s="22" t="s">
        <v>79</v>
      </c>
      <c r="L14" s="23" t="s">
        <v>80</v>
      </c>
      <c r="M14" s="23" t="s">
        <v>80</v>
      </c>
      <c r="N14" s="20"/>
      <c r="O14" s="22" t="s">
        <v>17</v>
      </c>
      <c r="P14" s="22" t="s">
        <v>71</v>
      </c>
      <c r="Q14" s="23" t="s">
        <v>22</v>
      </c>
      <c r="R14" s="20"/>
      <c r="S14" s="20" t="str">
        <f>"465,0"</f>
        <v>465,0</v>
      </c>
      <c r="T14" s="20" t="str">
        <f>"315,2235"</f>
        <v>315,2235</v>
      </c>
      <c r="U14" s="19" t="s">
        <v>312</v>
      </c>
    </row>
    <row r="15" spans="1:21">
      <c r="B15" s="5" t="s">
        <v>31</v>
      </c>
    </row>
    <row r="16" spans="1:21" ht="16">
      <c r="A16" s="54" t="s">
        <v>10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21">
      <c r="A17" s="8" t="s">
        <v>30</v>
      </c>
      <c r="B17" s="7" t="s">
        <v>81</v>
      </c>
      <c r="C17" s="7" t="s">
        <v>82</v>
      </c>
      <c r="D17" s="7" t="s">
        <v>83</v>
      </c>
      <c r="E17" s="7" t="s">
        <v>355</v>
      </c>
      <c r="F17" s="7" t="s">
        <v>14</v>
      </c>
      <c r="G17" s="14" t="s">
        <v>68</v>
      </c>
      <c r="H17" s="14" t="s">
        <v>69</v>
      </c>
      <c r="I17" s="14" t="s">
        <v>70</v>
      </c>
      <c r="J17" s="8"/>
      <c r="K17" s="14" t="s">
        <v>84</v>
      </c>
      <c r="L17" s="14" t="s">
        <v>19</v>
      </c>
      <c r="M17" s="15" t="s">
        <v>20</v>
      </c>
      <c r="N17" s="8"/>
      <c r="O17" s="14" t="s">
        <v>69</v>
      </c>
      <c r="P17" s="14" t="s">
        <v>77</v>
      </c>
      <c r="Q17" s="15" t="s">
        <v>15</v>
      </c>
      <c r="R17" s="8"/>
      <c r="S17" s="8" t="str">
        <f>"417,5"</f>
        <v>417,5</v>
      </c>
      <c r="T17" s="8" t="str">
        <f>"259,6850"</f>
        <v>259,6850</v>
      </c>
      <c r="U17" s="7" t="s">
        <v>313</v>
      </c>
    </row>
    <row r="18" spans="1:21">
      <c r="B18" s="5" t="s">
        <v>31</v>
      </c>
    </row>
    <row r="19" spans="1:21">
      <c r="B19" s="5" t="s">
        <v>31</v>
      </c>
    </row>
    <row r="20" spans="1:21">
      <c r="B20" s="5" t="s">
        <v>31</v>
      </c>
    </row>
    <row r="21" spans="1:21">
      <c r="B21" s="5" t="s">
        <v>31</v>
      </c>
    </row>
    <row r="22" spans="1:21">
      <c r="B22" s="5" t="s">
        <v>31</v>
      </c>
    </row>
    <row r="23" spans="1:21">
      <c r="B23" s="5" t="s">
        <v>31</v>
      </c>
    </row>
    <row r="24" spans="1:21">
      <c r="B24" s="5" t="s">
        <v>31</v>
      </c>
    </row>
    <row r="25" spans="1:21">
      <c r="B25" s="5" t="s">
        <v>31</v>
      </c>
    </row>
    <row r="26" spans="1:21">
      <c r="B26" s="5" t="s">
        <v>31</v>
      </c>
    </row>
  </sheetData>
  <mergeCells count="17">
    <mergeCell ref="A8:R8"/>
    <mergeCell ref="A12:R12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20"/>
  <sheetViews>
    <sheetView zoomScaleNormal="100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5" style="5" bestFit="1" customWidth="1"/>
    <col min="22" max="16384" width="9.1640625" style="3"/>
  </cols>
  <sheetData>
    <row r="1" spans="1:21" s="2" customFormat="1" ht="29" customHeight="1">
      <c r="A1" s="43" t="s">
        <v>332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30</v>
      </c>
      <c r="B6" s="7" t="s">
        <v>11</v>
      </c>
      <c r="C6" s="7" t="s">
        <v>12</v>
      </c>
      <c r="D6" s="7" t="s">
        <v>13</v>
      </c>
      <c r="E6" s="7" t="s">
        <v>355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4" t="s">
        <v>19</v>
      </c>
      <c r="M6" s="15" t="s">
        <v>20</v>
      </c>
      <c r="N6" s="8"/>
      <c r="O6" s="14" t="s">
        <v>16</v>
      </c>
      <c r="P6" s="14" t="s">
        <v>21</v>
      </c>
      <c r="Q6" s="14" t="s">
        <v>22</v>
      </c>
      <c r="R6" s="8"/>
      <c r="S6" s="8" t="str">
        <f>"512,5"</f>
        <v>512,5</v>
      </c>
      <c r="T6" s="8" t="str">
        <f>"311,9075"</f>
        <v>311,9075</v>
      </c>
      <c r="U6" s="7"/>
    </row>
    <row r="7" spans="1:21">
      <c r="B7" s="5" t="s">
        <v>31</v>
      </c>
    </row>
    <row r="16" spans="1:21" ht="18">
      <c r="C16" s="9"/>
      <c r="D16" s="9"/>
    </row>
    <row r="17" spans="3:6" ht="16">
      <c r="C17" s="29"/>
      <c r="D17" s="29"/>
    </row>
    <row r="18" spans="3:6" ht="14">
      <c r="C18" s="11"/>
      <c r="D18" s="12"/>
    </row>
    <row r="19" spans="3:6" ht="14">
      <c r="C19" s="1"/>
      <c r="D19" s="1"/>
      <c r="E19" s="1"/>
      <c r="F19" s="1"/>
    </row>
    <row r="20" spans="3:6">
      <c r="E20" s="6"/>
      <c r="F20" s="6"/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4B94-B2F4-4B1A-8A5E-DE778E132D24}">
  <dimension ref="A1:Q23"/>
  <sheetViews>
    <sheetView zoomScaleNormal="100"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0" bestFit="1" customWidth="1"/>
    <col min="16" max="16" width="8.5" style="32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43" t="s">
        <v>324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58" t="s">
        <v>1</v>
      </c>
      <c r="P3" s="61" t="s">
        <v>3</v>
      </c>
      <c r="Q3" s="39" t="s">
        <v>2</v>
      </c>
    </row>
    <row r="4" spans="1:17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62"/>
      <c r="Q4" s="40"/>
    </row>
    <row r="5" spans="1:17" ht="16">
      <c r="A5" s="41" t="s">
        <v>32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30</v>
      </c>
      <c r="B6" s="7" t="s">
        <v>95</v>
      </c>
      <c r="C6" s="7" t="s">
        <v>96</v>
      </c>
      <c r="D6" s="7" t="s">
        <v>97</v>
      </c>
      <c r="E6" s="7" t="s">
        <v>355</v>
      </c>
      <c r="F6" s="7" t="s">
        <v>14</v>
      </c>
      <c r="G6" s="14" t="s">
        <v>98</v>
      </c>
      <c r="H6" s="14" t="s">
        <v>36</v>
      </c>
      <c r="I6" s="14" t="s">
        <v>51</v>
      </c>
      <c r="J6" s="8"/>
      <c r="K6" s="14" t="s">
        <v>79</v>
      </c>
      <c r="L6" s="14" t="s">
        <v>94</v>
      </c>
      <c r="M6" s="14" t="s">
        <v>99</v>
      </c>
      <c r="N6" s="8"/>
      <c r="O6" s="31">
        <v>182.5</v>
      </c>
      <c r="P6" s="33" t="e">
        <f>O6*E6</f>
        <v>#VALUE!</v>
      </c>
      <c r="Q6" s="7"/>
    </row>
    <row r="7" spans="1:17">
      <c r="B7" s="5" t="s">
        <v>31</v>
      </c>
    </row>
    <row r="8" spans="1:17" ht="16">
      <c r="A8" s="54" t="s">
        <v>106</v>
      </c>
      <c r="B8" s="54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8" t="s">
        <v>30</v>
      </c>
      <c r="B9" s="7" t="s">
        <v>275</v>
      </c>
      <c r="C9" s="7" t="s">
        <v>276</v>
      </c>
      <c r="D9" s="7" t="s">
        <v>277</v>
      </c>
      <c r="E9" s="7" t="s">
        <v>355</v>
      </c>
      <c r="F9" s="7" t="s">
        <v>49</v>
      </c>
      <c r="G9" s="14" t="s">
        <v>94</v>
      </c>
      <c r="H9" s="15" t="s">
        <v>99</v>
      </c>
      <c r="I9" s="15" t="s">
        <v>99</v>
      </c>
      <c r="J9" s="8"/>
      <c r="K9" s="14" t="s">
        <v>15</v>
      </c>
      <c r="L9" s="14" t="s">
        <v>278</v>
      </c>
      <c r="M9" s="14" t="s">
        <v>17</v>
      </c>
      <c r="N9" s="8"/>
      <c r="O9" s="31" t="str">
        <f>"307,5"</f>
        <v>307,5</v>
      </c>
      <c r="P9" s="33" t="str">
        <f>"221,4000"</f>
        <v>221,4000</v>
      </c>
      <c r="Q9" s="7"/>
    </row>
    <row r="10" spans="1:17">
      <c r="B10" s="5" t="s">
        <v>31</v>
      </c>
    </row>
    <row r="11" spans="1:17">
      <c r="B11" s="5" t="s">
        <v>31</v>
      </c>
    </row>
    <row r="12" spans="1:17">
      <c r="B12" s="5" t="s">
        <v>31</v>
      </c>
    </row>
    <row r="13" spans="1:17">
      <c r="B13" s="5" t="s">
        <v>31</v>
      </c>
    </row>
    <row r="14" spans="1:17">
      <c r="B14" s="5" t="s">
        <v>31</v>
      </c>
    </row>
    <row r="15" spans="1:17">
      <c r="B15" s="5" t="s">
        <v>31</v>
      </c>
    </row>
    <row r="16" spans="1:17">
      <c r="B16" s="5" t="s">
        <v>31</v>
      </c>
    </row>
    <row r="17" spans="2:6">
      <c r="B17" s="5" t="s">
        <v>31</v>
      </c>
    </row>
    <row r="18" spans="2:6">
      <c r="B18" s="5" t="s">
        <v>31</v>
      </c>
    </row>
    <row r="19" spans="2:6" ht="18">
      <c r="C19" s="9"/>
      <c r="D19" s="9"/>
    </row>
    <row r="20" spans="2:6" ht="16">
      <c r="C20" s="16"/>
      <c r="D20" s="16"/>
    </row>
    <row r="21" spans="2:6" ht="14">
      <c r="C21" s="11"/>
      <c r="D21" s="12"/>
    </row>
    <row r="22" spans="2:6" ht="14">
      <c r="C22" s="1"/>
      <c r="D22" s="1"/>
      <c r="E22" s="1"/>
      <c r="F22" s="1"/>
    </row>
    <row r="23" spans="2:6">
      <c r="E23" s="6"/>
      <c r="F23" s="6"/>
    </row>
  </sheetData>
  <mergeCells count="14">
    <mergeCell ref="A8:N8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19AC1-F20D-4D1E-893B-010754603726}">
  <dimension ref="A1:Q21"/>
  <sheetViews>
    <sheetView zoomScaleNormal="100"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0" bestFit="1" customWidth="1"/>
    <col min="16" max="16" width="8.5" style="6" bestFit="1" customWidth="1"/>
    <col min="17" max="17" width="20.6640625" style="5" customWidth="1"/>
    <col min="18" max="16384" width="9.1640625" style="3"/>
  </cols>
  <sheetData>
    <row r="1" spans="1:17" s="2" customFormat="1" ht="29" customHeight="1">
      <c r="A1" s="43" t="s">
        <v>325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58" t="s">
        <v>1</v>
      </c>
      <c r="P3" s="37" t="s">
        <v>3</v>
      </c>
      <c r="Q3" s="39" t="s">
        <v>2</v>
      </c>
    </row>
    <row r="4" spans="1:17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38"/>
      <c r="Q4" s="40"/>
    </row>
    <row r="5" spans="1:17" ht="16">
      <c r="A5" s="41" t="s">
        <v>156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18" t="s">
        <v>30</v>
      </c>
      <c r="B6" s="17" t="s">
        <v>157</v>
      </c>
      <c r="C6" s="17" t="s">
        <v>158</v>
      </c>
      <c r="D6" s="17" t="s">
        <v>159</v>
      </c>
      <c r="E6" s="17" t="s">
        <v>355</v>
      </c>
      <c r="F6" s="17" t="s">
        <v>146</v>
      </c>
      <c r="G6" s="21" t="s">
        <v>21</v>
      </c>
      <c r="H6" s="24" t="s">
        <v>123</v>
      </c>
      <c r="I6" s="24" t="s">
        <v>123</v>
      </c>
      <c r="J6" s="18"/>
      <c r="K6" s="21" t="s">
        <v>120</v>
      </c>
      <c r="L6" s="21" t="s">
        <v>160</v>
      </c>
      <c r="M6" s="21" t="s">
        <v>161</v>
      </c>
      <c r="N6" s="18"/>
      <c r="O6" s="34" t="str">
        <f>"462,5"</f>
        <v>462,5</v>
      </c>
      <c r="P6" s="18" t="str">
        <f>"272,5512"</f>
        <v>272,5512</v>
      </c>
      <c r="Q6" s="17"/>
    </row>
    <row r="7" spans="1:17">
      <c r="A7" s="20" t="s">
        <v>125</v>
      </c>
      <c r="B7" s="19" t="s">
        <v>166</v>
      </c>
      <c r="C7" s="19" t="s">
        <v>167</v>
      </c>
      <c r="D7" s="19" t="s">
        <v>168</v>
      </c>
      <c r="E7" s="19" t="s">
        <v>355</v>
      </c>
      <c r="F7" s="19" t="s">
        <v>14</v>
      </c>
      <c r="G7" s="22" t="s">
        <v>67</v>
      </c>
      <c r="H7" s="22" t="s">
        <v>17</v>
      </c>
      <c r="I7" s="23" t="s">
        <v>169</v>
      </c>
      <c r="J7" s="20"/>
      <c r="K7" s="23" t="s">
        <v>170</v>
      </c>
      <c r="L7" s="20"/>
      <c r="M7" s="20"/>
      <c r="N7" s="20"/>
      <c r="O7" s="36">
        <v>0</v>
      </c>
      <c r="P7" s="20" t="str">
        <f>"0,0000"</f>
        <v>0,0000</v>
      </c>
      <c r="Q7" s="19"/>
    </row>
    <row r="8" spans="1:17">
      <c r="B8" s="5" t="s">
        <v>31</v>
      </c>
    </row>
    <row r="9" spans="1:17">
      <c r="B9" s="5" t="s">
        <v>31</v>
      </c>
    </row>
    <row r="17" spans="3:6" ht="18">
      <c r="C17" s="9"/>
      <c r="D17" s="9"/>
    </row>
    <row r="18" spans="3:6" ht="16">
      <c r="C18" s="16"/>
      <c r="D18" s="16"/>
    </row>
    <row r="19" spans="3:6" ht="14">
      <c r="C19" s="11"/>
      <c r="D19" s="12"/>
    </row>
    <row r="20" spans="3:6" ht="14">
      <c r="C20" s="1"/>
      <c r="D20" s="1"/>
      <c r="E20" s="1"/>
      <c r="F20" s="1"/>
    </row>
    <row r="21" spans="3:6">
      <c r="E21" s="6"/>
      <c r="F21" s="6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29BE-D6D2-4742-8F19-6775698166BE}">
  <dimension ref="A1:M54"/>
  <sheetViews>
    <sheetView zoomScaleNormal="100"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24.83203125" style="5" bestFit="1" customWidth="1"/>
    <col min="3" max="3" width="29.5" style="5" bestFit="1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43" t="s">
        <v>328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8</v>
      </c>
      <c r="H3" s="37"/>
      <c r="I3" s="37"/>
      <c r="J3" s="37"/>
      <c r="K3" s="37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188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189</v>
      </c>
      <c r="C6" s="7" t="s">
        <v>190</v>
      </c>
      <c r="D6" s="7" t="s">
        <v>191</v>
      </c>
      <c r="E6" s="7" t="s">
        <v>355</v>
      </c>
      <c r="F6" s="7" t="s">
        <v>192</v>
      </c>
      <c r="G6" s="14" t="s">
        <v>98</v>
      </c>
      <c r="H6" s="14" t="s">
        <v>51</v>
      </c>
      <c r="I6" s="15" t="s">
        <v>59</v>
      </c>
      <c r="J6" s="8"/>
      <c r="K6" s="8" t="str">
        <f>"57,5"</f>
        <v>57,5</v>
      </c>
      <c r="L6" s="8" t="str">
        <f>"72,0015"</f>
        <v>72,0015</v>
      </c>
      <c r="M6" s="7" t="s">
        <v>315</v>
      </c>
    </row>
    <row r="7" spans="1:13">
      <c r="B7" s="5" t="s">
        <v>31</v>
      </c>
    </row>
    <row r="8" spans="1:13" ht="16">
      <c r="A8" s="54" t="s">
        <v>32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30</v>
      </c>
      <c r="B9" s="7" t="s">
        <v>193</v>
      </c>
      <c r="C9" s="7" t="s">
        <v>194</v>
      </c>
      <c r="D9" s="7" t="s">
        <v>195</v>
      </c>
      <c r="E9" s="7" t="s">
        <v>355</v>
      </c>
      <c r="F9" s="7" t="s">
        <v>192</v>
      </c>
      <c r="G9" s="14" t="s">
        <v>37</v>
      </c>
      <c r="H9" s="14" t="s">
        <v>38</v>
      </c>
      <c r="I9" s="14" t="s">
        <v>52</v>
      </c>
      <c r="J9" s="8"/>
      <c r="K9" s="8" t="str">
        <f>"67,5"</f>
        <v>67,5</v>
      </c>
      <c r="L9" s="8" t="str">
        <f>"79,9808"</f>
        <v>79,9808</v>
      </c>
      <c r="M9" s="7"/>
    </row>
    <row r="10" spans="1:13">
      <c r="B10" s="5" t="s">
        <v>31</v>
      </c>
    </row>
    <row r="11" spans="1:13" ht="16">
      <c r="A11" s="54" t="s">
        <v>101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30</v>
      </c>
      <c r="B12" s="7" t="s">
        <v>196</v>
      </c>
      <c r="C12" s="7" t="s">
        <v>197</v>
      </c>
      <c r="D12" s="7" t="s">
        <v>198</v>
      </c>
      <c r="E12" s="7" t="s">
        <v>357</v>
      </c>
      <c r="F12" s="7" t="s">
        <v>192</v>
      </c>
      <c r="G12" s="15" t="s">
        <v>199</v>
      </c>
      <c r="H12" s="14" t="s">
        <v>199</v>
      </c>
      <c r="I12" s="15" t="s">
        <v>98</v>
      </c>
      <c r="J12" s="8"/>
      <c r="K12" s="8" t="str">
        <f>"45,0"</f>
        <v>45,0</v>
      </c>
      <c r="L12" s="8" t="str">
        <f>"51,1695"</f>
        <v>51,1695</v>
      </c>
      <c r="M12" s="7" t="s">
        <v>307</v>
      </c>
    </row>
    <row r="13" spans="1:13">
      <c r="B13" s="5" t="s">
        <v>31</v>
      </c>
    </row>
    <row r="14" spans="1:13" ht="16">
      <c r="A14" s="54" t="s">
        <v>63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8" t="s">
        <v>30</v>
      </c>
      <c r="B15" s="17" t="s">
        <v>200</v>
      </c>
      <c r="C15" s="17" t="s">
        <v>201</v>
      </c>
      <c r="D15" s="17" t="s">
        <v>202</v>
      </c>
      <c r="E15" s="17" t="s">
        <v>358</v>
      </c>
      <c r="F15" s="17" t="s">
        <v>334</v>
      </c>
      <c r="G15" s="24" t="s">
        <v>93</v>
      </c>
      <c r="H15" s="21" t="s">
        <v>18</v>
      </c>
      <c r="I15" s="21" t="s">
        <v>84</v>
      </c>
      <c r="J15" s="18"/>
      <c r="K15" s="18" t="str">
        <f>"107,5"</f>
        <v>107,5</v>
      </c>
      <c r="L15" s="18" t="str">
        <f>"72,2830"</f>
        <v>72,2830</v>
      </c>
      <c r="M15" s="17"/>
    </row>
    <row r="16" spans="1:13">
      <c r="A16" s="26" t="s">
        <v>30</v>
      </c>
      <c r="B16" s="25" t="s">
        <v>203</v>
      </c>
      <c r="C16" s="25" t="s">
        <v>204</v>
      </c>
      <c r="D16" s="25" t="s">
        <v>205</v>
      </c>
      <c r="E16" s="25" t="s">
        <v>355</v>
      </c>
      <c r="F16" s="25" t="s">
        <v>14</v>
      </c>
      <c r="G16" s="28" t="s">
        <v>68</v>
      </c>
      <c r="H16" s="28" t="s">
        <v>155</v>
      </c>
      <c r="I16" s="28" t="s">
        <v>69</v>
      </c>
      <c r="J16" s="28" t="s">
        <v>206</v>
      </c>
      <c r="K16" s="26" t="str">
        <f>"140,0"</f>
        <v>140,0</v>
      </c>
      <c r="L16" s="26" t="str">
        <f>"94,6260"</f>
        <v>94,6260</v>
      </c>
      <c r="M16" s="25"/>
    </row>
    <row r="17" spans="1:13">
      <c r="A17" s="26" t="s">
        <v>87</v>
      </c>
      <c r="B17" s="25" t="s">
        <v>207</v>
      </c>
      <c r="C17" s="25" t="s">
        <v>208</v>
      </c>
      <c r="D17" s="25" t="s">
        <v>209</v>
      </c>
      <c r="E17" s="25" t="s">
        <v>355</v>
      </c>
      <c r="F17" s="25" t="s">
        <v>14</v>
      </c>
      <c r="G17" s="28" t="s">
        <v>210</v>
      </c>
      <c r="H17" s="28" t="s">
        <v>68</v>
      </c>
      <c r="I17" s="28" t="s">
        <v>211</v>
      </c>
      <c r="J17" s="26"/>
      <c r="K17" s="26" t="str">
        <f>"132,5"</f>
        <v>132,5</v>
      </c>
      <c r="L17" s="26" t="str">
        <f>"91,1070"</f>
        <v>91,1070</v>
      </c>
      <c r="M17" s="25" t="s">
        <v>313</v>
      </c>
    </row>
    <row r="18" spans="1:13">
      <c r="A18" s="26" t="s">
        <v>186</v>
      </c>
      <c r="B18" s="25" t="s">
        <v>212</v>
      </c>
      <c r="C18" s="25" t="s">
        <v>213</v>
      </c>
      <c r="D18" s="25" t="s">
        <v>214</v>
      </c>
      <c r="E18" s="25" t="s">
        <v>355</v>
      </c>
      <c r="F18" s="25" t="s">
        <v>49</v>
      </c>
      <c r="G18" s="28" t="s">
        <v>79</v>
      </c>
      <c r="H18" s="28" t="s">
        <v>20</v>
      </c>
      <c r="I18" s="27" t="s">
        <v>80</v>
      </c>
      <c r="J18" s="26"/>
      <c r="K18" s="26" t="str">
        <f>"115,0"</f>
        <v>115,0</v>
      </c>
      <c r="L18" s="26" t="str">
        <f>"79,1430"</f>
        <v>79,1430</v>
      </c>
      <c r="M18" s="25" t="s">
        <v>316</v>
      </c>
    </row>
    <row r="19" spans="1:13">
      <c r="A19" s="20" t="s">
        <v>30</v>
      </c>
      <c r="B19" s="19" t="s">
        <v>203</v>
      </c>
      <c r="C19" s="19" t="s">
        <v>215</v>
      </c>
      <c r="D19" s="19" t="s">
        <v>205</v>
      </c>
      <c r="E19" s="19" t="s">
        <v>356</v>
      </c>
      <c r="F19" s="19" t="s">
        <v>14</v>
      </c>
      <c r="G19" s="22" t="s">
        <v>68</v>
      </c>
      <c r="H19" s="22" t="s">
        <v>155</v>
      </c>
      <c r="I19" s="22" t="s">
        <v>69</v>
      </c>
      <c r="J19" s="22" t="s">
        <v>206</v>
      </c>
      <c r="K19" s="20" t="str">
        <f>"140,0"</f>
        <v>140,0</v>
      </c>
      <c r="L19" s="20" t="str">
        <f>"100,3036"</f>
        <v>100,3036</v>
      </c>
      <c r="M19" s="19"/>
    </row>
    <row r="20" spans="1:13">
      <c r="B20" s="5" t="s">
        <v>31</v>
      </c>
    </row>
    <row r="21" spans="1:13" ht="16">
      <c r="A21" s="54" t="s">
        <v>139</v>
      </c>
      <c r="B21" s="54"/>
      <c r="C21" s="55"/>
      <c r="D21" s="55"/>
      <c r="E21" s="55"/>
      <c r="F21" s="55"/>
      <c r="G21" s="55"/>
      <c r="H21" s="55"/>
      <c r="I21" s="55"/>
      <c r="J21" s="55"/>
    </row>
    <row r="22" spans="1:13">
      <c r="A22" s="18" t="s">
        <v>30</v>
      </c>
      <c r="B22" s="17" t="s">
        <v>216</v>
      </c>
      <c r="C22" s="17" t="s">
        <v>217</v>
      </c>
      <c r="D22" s="17" t="s">
        <v>218</v>
      </c>
      <c r="E22" s="17" t="s">
        <v>355</v>
      </c>
      <c r="F22" s="17" t="s">
        <v>14</v>
      </c>
      <c r="G22" s="21" t="s">
        <v>219</v>
      </c>
      <c r="H22" s="24" t="s">
        <v>220</v>
      </c>
      <c r="I22" s="21" t="s">
        <v>220</v>
      </c>
      <c r="J22" s="18"/>
      <c r="K22" s="18" t="str">
        <f>"152,5"</f>
        <v>152,5</v>
      </c>
      <c r="L22" s="18" t="str">
        <f>"100,4670"</f>
        <v>100,4670</v>
      </c>
      <c r="M22" s="17"/>
    </row>
    <row r="23" spans="1:13">
      <c r="A23" s="20" t="s">
        <v>30</v>
      </c>
      <c r="B23" s="19" t="s">
        <v>221</v>
      </c>
      <c r="C23" s="19" t="s">
        <v>222</v>
      </c>
      <c r="D23" s="19" t="s">
        <v>223</v>
      </c>
      <c r="E23" s="19" t="s">
        <v>356</v>
      </c>
      <c r="F23" s="19" t="s">
        <v>14</v>
      </c>
      <c r="G23" s="22" t="s">
        <v>80</v>
      </c>
      <c r="H23" s="22" t="s">
        <v>99</v>
      </c>
      <c r="I23" s="23" t="s">
        <v>211</v>
      </c>
      <c r="J23" s="20"/>
      <c r="K23" s="20" t="str">
        <f>"125,0"</f>
        <v>125,0</v>
      </c>
      <c r="L23" s="20" t="str">
        <f>"84,0942"</f>
        <v>84,0942</v>
      </c>
      <c r="M23" s="19"/>
    </row>
    <row r="24" spans="1:13">
      <c r="B24" s="5" t="s">
        <v>31</v>
      </c>
    </row>
    <row r="25" spans="1:13" ht="16">
      <c r="A25" s="54" t="s">
        <v>10</v>
      </c>
      <c r="B25" s="54"/>
      <c r="C25" s="55"/>
      <c r="D25" s="55"/>
      <c r="E25" s="55"/>
      <c r="F25" s="55"/>
      <c r="G25" s="55"/>
      <c r="H25" s="55"/>
      <c r="I25" s="55"/>
      <c r="J25" s="55"/>
    </row>
    <row r="26" spans="1:13">
      <c r="A26" s="18" t="s">
        <v>30</v>
      </c>
      <c r="B26" s="17" t="s">
        <v>224</v>
      </c>
      <c r="C26" s="17" t="s">
        <v>225</v>
      </c>
      <c r="D26" s="17" t="s">
        <v>226</v>
      </c>
      <c r="E26" s="17" t="s">
        <v>355</v>
      </c>
      <c r="F26" s="17" t="s">
        <v>14</v>
      </c>
      <c r="G26" s="21" t="s">
        <v>15</v>
      </c>
      <c r="H26" s="24" t="s">
        <v>227</v>
      </c>
      <c r="I26" s="24" t="s">
        <v>227</v>
      </c>
      <c r="J26" s="18"/>
      <c r="K26" s="18" t="str">
        <f>"170,0"</f>
        <v>170,0</v>
      </c>
      <c r="L26" s="18" t="str">
        <f>"105,6890"</f>
        <v>105,6890</v>
      </c>
      <c r="M26" s="17"/>
    </row>
    <row r="27" spans="1:13">
      <c r="A27" s="26" t="s">
        <v>87</v>
      </c>
      <c r="B27" s="25" t="s">
        <v>228</v>
      </c>
      <c r="C27" s="25" t="s">
        <v>229</v>
      </c>
      <c r="D27" s="25" t="s">
        <v>230</v>
      </c>
      <c r="E27" s="25" t="s">
        <v>355</v>
      </c>
      <c r="F27" s="25" t="s">
        <v>14</v>
      </c>
      <c r="G27" s="28" t="s">
        <v>219</v>
      </c>
      <c r="H27" s="28" t="s">
        <v>70</v>
      </c>
      <c r="I27" s="28" t="s">
        <v>77</v>
      </c>
      <c r="J27" s="26"/>
      <c r="K27" s="26" t="str">
        <f>"155,0"</f>
        <v>155,0</v>
      </c>
      <c r="L27" s="26" t="str">
        <f>"95,1080"</f>
        <v>95,1080</v>
      </c>
      <c r="M27" s="25"/>
    </row>
    <row r="28" spans="1:13">
      <c r="A28" s="26" t="s">
        <v>186</v>
      </c>
      <c r="B28" s="25" t="s">
        <v>231</v>
      </c>
      <c r="C28" s="25" t="s">
        <v>232</v>
      </c>
      <c r="D28" s="25" t="s">
        <v>233</v>
      </c>
      <c r="E28" s="25" t="s">
        <v>355</v>
      </c>
      <c r="F28" s="25" t="s">
        <v>234</v>
      </c>
      <c r="G28" s="27" t="s">
        <v>77</v>
      </c>
      <c r="H28" s="28" t="s">
        <v>77</v>
      </c>
      <c r="I28" s="27" t="s">
        <v>112</v>
      </c>
      <c r="J28" s="26"/>
      <c r="K28" s="26" t="str">
        <f>"155,0"</f>
        <v>155,0</v>
      </c>
      <c r="L28" s="26" t="str">
        <f>"94,5965"</f>
        <v>94,5965</v>
      </c>
      <c r="M28" s="25"/>
    </row>
    <row r="29" spans="1:13">
      <c r="A29" s="26" t="s">
        <v>187</v>
      </c>
      <c r="B29" s="25" t="s">
        <v>235</v>
      </c>
      <c r="C29" s="25" t="s">
        <v>236</v>
      </c>
      <c r="D29" s="25" t="s">
        <v>237</v>
      </c>
      <c r="E29" s="25" t="s">
        <v>355</v>
      </c>
      <c r="F29" s="25" t="s">
        <v>49</v>
      </c>
      <c r="G29" s="28" t="s">
        <v>155</v>
      </c>
      <c r="H29" s="28" t="s">
        <v>69</v>
      </c>
      <c r="I29" s="27" t="s">
        <v>219</v>
      </c>
      <c r="J29" s="26"/>
      <c r="K29" s="26" t="str">
        <f>"140,0"</f>
        <v>140,0</v>
      </c>
      <c r="L29" s="26" t="str">
        <f>"85,6520"</f>
        <v>85,6520</v>
      </c>
      <c r="M29" s="25"/>
    </row>
    <row r="30" spans="1:13">
      <c r="A30" s="20" t="s">
        <v>250</v>
      </c>
      <c r="B30" s="19" t="s">
        <v>238</v>
      </c>
      <c r="C30" s="19" t="s">
        <v>239</v>
      </c>
      <c r="D30" s="19" t="s">
        <v>240</v>
      </c>
      <c r="E30" s="19" t="s">
        <v>355</v>
      </c>
      <c r="F30" s="19" t="s">
        <v>14</v>
      </c>
      <c r="G30" s="22" t="s">
        <v>20</v>
      </c>
      <c r="H30" s="22" t="s">
        <v>80</v>
      </c>
      <c r="I30" s="23" t="s">
        <v>241</v>
      </c>
      <c r="J30" s="20"/>
      <c r="K30" s="20" t="str">
        <f>"120,0"</f>
        <v>120,0</v>
      </c>
      <c r="L30" s="20" t="str">
        <f>"75,4560"</f>
        <v>75,4560</v>
      </c>
      <c r="M30" s="19" t="s">
        <v>317</v>
      </c>
    </row>
    <row r="31" spans="1:13">
      <c r="B31" s="5" t="s">
        <v>31</v>
      </c>
    </row>
    <row r="32" spans="1:13" ht="16">
      <c r="A32" s="54" t="s">
        <v>242</v>
      </c>
      <c r="B32" s="54"/>
      <c r="C32" s="55"/>
      <c r="D32" s="55"/>
      <c r="E32" s="55"/>
      <c r="F32" s="55"/>
      <c r="G32" s="55"/>
      <c r="H32" s="55"/>
      <c r="I32" s="55"/>
      <c r="J32" s="55"/>
    </row>
    <row r="33" spans="1:13">
      <c r="A33" s="8" t="s">
        <v>30</v>
      </c>
      <c r="B33" s="7" t="s">
        <v>243</v>
      </c>
      <c r="C33" s="7" t="s">
        <v>244</v>
      </c>
      <c r="D33" s="7" t="s">
        <v>245</v>
      </c>
      <c r="E33" s="7" t="s">
        <v>355</v>
      </c>
      <c r="F33" s="7" t="s">
        <v>14</v>
      </c>
      <c r="G33" s="14" t="s">
        <v>16</v>
      </c>
      <c r="H33" s="14" t="s">
        <v>17</v>
      </c>
      <c r="I33" s="14" t="s">
        <v>169</v>
      </c>
      <c r="J33" s="8"/>
      <c r="K33" s="8" t="str">
        <f>"192,5"</f>
        <v>192,5</v>
      </c>
      <c r="L33" s="8" t="str">
        <f>"108,1080"</f>
        <v>108,1080</v>
      </c>
      <c r="M33" s="7"/>
    </row>
    <row r="34" spans="1:13">
      <c r="B34" s="5" t="s">
        <v>31</v>
      </c>
    </row>
    <row r="35" spans="1:13">
      <c r="B35" s="5" t="s">
        <v>31</v>
      </c>
    </row>
    <row r="36" spans="1:13">
      <c r="B36" s="5" t="s">
        <v>31</v>
      </c>
    </row>
    <row r="37" spans="1:13" ht="18">
      <c r="B37" s="9" t="s">
        <v>23</v>
      </c>
      <c r="C37" s="9"/>
    </row>
    <row r="38" spans="1:13" ht="16">
      <c r="B38" s="10" t="s">
        <v>24</v>
      </c>
      <c r="C38" s="10"/>
    </row>
    <row r="39" spans="1:13" ht="14">
      <c r="B39" s="11"/>
      <c r="C39" s="12" t="s">
        <v>25</v>
      </c>
    </row>
    <row r="40" spans="1:13" ht="14">
      <c r="B40" s="13" t="s">
        <v>26</v>
      </c>
      <c r="C40" s="13" t="s">
        <v>27</v>
      </c>
      <c r="D40" s="13" t="s">
        <v>333</v>
      </c>
      <c r="E40" s="13" t="s">
        <v>179</v>
      </c>
      <c r="F40" s="13" t="s">
        <v>28</v>
      </c>
    </row>
    <row r="41" spans="1:13">
      <c r="B41" s="5" t="s">
        <v>243</v>
      </c>
      <c r="C41" s="5" t="s">
        <v>25</v>
      </c>
      <c r="D41" s="6" t="s">
        <v>246</v>
      </c>
      <c r="E41" s="6" t="s">
        <v>169</v>
      </c>
      <c r="F41" s="6" t="s">
        <v>247</v>
      </c>
    </row>
    <row r="42" spans="1:13">
      <c r="B42" s="5" t="s">
        <v>224</v>
      </c>
      <c r="C42" s="5" t="s">
        <v>25</v>
      </c>
      <c r="D42" s="6" t="s">
        <v>29</v>
      </c>
      <c r="E42" s="6" t="s">
        <v>15</v>
      </c>
      <c r="F42" s="6" t="s">
        <v>248</v>
      </c>
    </row>
    <row r="43" spans="1:13">
      <c r="B43" s="5" t="s">
        <v>216</v>
      </c>
      <c r="C43" s="5" t="s">
        <v>25</v>
      </c>
      <c r="D43" s="6" t="s">
        <v>184</v>
      </c>
      <c r="E43" s="6" t="s">
        <v>220</v>
      </c>
      <c r="F43" s="6" t="s">
        <v>249</v>
      </c>
    </row>
    <row r="44" spans="1:13">
      <c r="B44" s="5" t="s">
        <v>31</v>
      </c>
    </row>
    <row r="45" spans="1:13">
      <c r="B45" s="5" t="s">
        <v>31</v>
      </c>
    </row>
    <row r="46" spans="1:13">
      <c r="B46" s="5" t="s">
        <v>31</v>
      </c>
    </row>
    <row r="47" spans="1:13">
      <c r="B47" s="5" t="s">
        <v>31</v>
      </c>
    </row>
    <row r="48" spans="1:13">
      <c r="B48" s="5" t="s">
        <v>31</v>
      </c>
    </row>
    <row r="49" spans="2:6">
      <c r="B49" s="5" t="s">
        <v>31</v>
      </c>
    </row>
    <row r="50" spans="2:6">
      <c r="B50" s="5" t="s">
        <v>31</v>
      </c>
    </row>
    <row r="51" spans="2:6" ht="14">
      <c r="C51" s="11"/>
      <c r="D51" s="12"/>
    </row>
    <row r="52" spans="2:6" ht="14">
      <c r="C52" s="1"/>
      <c r="D52" s="1"/>
      <c r="E52" s="1"/>
      <c r="F52" s="1"/>
    </row>
    <row r="53" spans="2:6">
      <c r="E53" s="6"/>
      <c r="F53" s="6"/>
    </row>
    <row r="54" spans="2:6">
      <c r="E54" s="6"/>
      <c r="F54" s="6"/>
    </row>
  </sheetData>
  <mergeCells count="18">
    <mergeCell ref="A32:J32"/>
    <mergeCell ref="B3:B4"/>
    <mergeCell ref="A8:J8"/>
    <mergeCell ref="A11:J11"/>
    <mergeCell ref="A14:J14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9892-3621-4608-9BFB-5A740030FC97}">
  <dimension ref="A1:M51"/>
  <sheetViews>
    <sheetView zoomScaleNormal="100"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10" width="5.5" style="6" customWidth="1"/>
    <col min="11" max="11" width="10.5" style="30" bestFit="1" customWidth="1"/>
    <col min="12" max="12" width="8.5" style="6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43" t="s">
        <v>329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8</v>
      </c>
      <c r="H3" s="37"/>
      <c r="I3" s="37"/>
      <c r="J3" s="37"/>
      <c r="K3" s="58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9"/>
      <c r="L4" s="38"/>
      <c r="M4" s="40"/>
    </row>
    <row r="5" spans="1:13" ht="16">
      <c r="A5" s="41" t="s">
        <v>32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126</v>
      </c>
      <c r="C6" s="7" t="s">
        <v>127</v>
      </c>
      <c r="D6" s="7" t="s">
        <v>128</v>
      </c>
      <c r="E6" s="7" t="s">
        <v>355</v>
      </c>
      <c r="F6" s="7" t="s">
        <v>14</v>
      </c>
      <c r="G6" s="14" t="s">
        <v>59</v>
      </c>
      <c r="H6" s="14" t="s">
        <v>38</v>
      </c>
      <c r="I6" s="15" t="s">
        <v>42</v>
      </c>
      <c r="J6" s="8"/>
      <c r="K6" s="31" t="str">
        <f>"65,0"</f>
        <v>65,0</v>
      </c>
      <c r="L6" s="8" t="str">
        <f>"78,3510"</f>
        <v>78,3510</v>
      </c>
      <c r="M6" s="7"/>
    </row>
    <row r="7" spans="1:13">
      <c r="B7" s="5" t="s">
        <v>31</v>
      </c>
    </row>
    <row r="8" spans="1:13" ht="16">
      <c r="A8" s="54" t="s">
        <v>101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30</v>
      </c>
      <c r="B9" s="7" t="s">
        <v>129</v>
      </c>
      <c r="C9" s="7" t="s">
        <v>130</v>
      </c>
      <c r="D9" s="7" t="s">
        <v>131</v>
      </c>
      <c r="E9" s="7" t="s">
        <v>355</v>
      </c>
      <c r="F9" s="7" t="s">
        <v>49</v>
      </c>
      <c r="G9" s="14" t="s">
        <v>38</v>
      </c>
      <c r="H9" s="14" t="s">
        <v>52</v>
      </c>
      <c r="I9" s="15" t="s">
        <v>132</v>
      </c>
      <c r="J9" s="8"/>
      <c r="K9" s="31" t="str">
        <f>"67,5"</f>
        <v>67,5</v>
      </c>
      <c r="L9" s="8" t="str">
        <f>"76,5450"</f>
        <v>76,5450</v>
      </c>
      <c r="M9" s="7" t="s">
        <v>318</v>
      </c>
    </row>
    <row r="10" spans="1:13">
      <c r="B10" s="5" t="s">
        <v>31</v>
      </c>
    </row>
    <row r="11" spans="1:13" ht="16">
      <c r="A11" s="54" t="s">
        <v>106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30</v>
      </c>
      <c r="B12" s="7" t="s">
        <v>133</v>
      </c>
      <c r="C12" s="7" t="s">
        <v>134</v>
      </c>
      <c r="D12" s="7" t="s">
        <v>135</v>
      </c>
      <c r="E12" s="7" t="s">
        <v>355</v>
      </c>
      <c r="F12" s="7" t="s">
        <v>49</v>
      </c>
      <c r="G12" s="15" t="s">
        <v>112</v>
      </c>
      <c r="H12" s="14" t="s">
        <v>113</v>
      </c>
      <c r="I12" s="14" t="s">
        <v>15</v>
      </c>
      <c r="J12" s="8"/>
      <c r="K12" s="31" t="str">
        <f>"170,0"</f>
        <v>170,0</v>
      </c>
      <c r="L12" s="8" t="str">
        <f>"122,2810"</f>
        <v>122,2810</v>
      </c>
      <c r="M12" s="7" t="s">
        <v>310</v>
      </c>
    </row>
    <row r="13" spans="1:13">
      <c r="B13" s="5" t="s">
        <v>31</v>
      </c>
    </row>
    <row r="14" spans="1:13" ht="16">
      <c r="A14" s="54" t="s">
        <v>63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8" t="s">
        <v>125</v>
      </c>
      <c r="B15" s="7" t="s">
        <v>136</v>
      </c>
      <c r="C15" s="7" t="s">
        <v>137</v>
      </c>
      <c r="D15" s="7" t="s">
        <v>138</v>
      </c>
      <c r="E15" s="7" t="s">
        <v>359</v>
      </c>
      <c r="F15" s="7" t="s">
        <v>49</v>
      </c>
      <c r="G15" s="15" t="s">
        <v>94</v>
      </c>
      <c r="H15" s="8"/>
      <c r="I15" s="8"/>
      <c r="J15" s="8"/>
      <c r="K15" s="31">
        <v>0</v>
      </c>
      <c r="L15" s="8" t="str">
        <f>"0,0000"</f>
        <v>0,0000</v>
      </c>
      <c r="M15" s="7"/>
    </row>
    <row r="16" spans="1:13">
      <c r="B16" s="5" t="s">
        <v>31</v>
      </c>
    </row>
    <row r="17" spans="1:13" ht="16">
      <c r="A17" s="54" t="s">
        <v>139</v>
      </c>
      <c r="B17" s="54"/>
      <c r="C17" s="55"/>
      <c r="D17" s="55"/>
      <c r="E17" s="55"/>
      <c r="F17" s="55"/>
      <c r="G17" s="55"/>
      <c r="H17" s="55"/>
      <c r="I17" s="55"/>
      <c r="J17" s="55"/>
    </row>
    <row r="18" spans="1:13">
      <c r="A18" s="8" t="s">
        <v>30</v>
      </c>
      <c r="B18" s="7" t="s">
        <v>140</v>
      </c>
      <c r="C18" s="7" t="s">
        <v>141</v>
      </c>
      <c r="D18" s="7" t="s">
        <v>142</v>
      </c>
      <c r="E18" s="7" t="s">
        <v>356</v>
      </c>
      <c r="F18" s="7" t="s">
        <v>49</v>
      </c>
      <c r="G18" s="14" t="s">
        <v>85</v>
      </c>
      <c r="H18" s="14" t="s">
        <v>143</v>
      </c>
      <c r="I18" s="14" t="s">
        <v>16</v>
      </c>
      <c r="J18" s="8"/>
      <c r="K18" s="31" t="str">
        <f>"180,0"</f>
        <v>180,0</v>
      </c>
      <c r="L18" s="8" t="str">
        <f>"118,6106"</f>
        <v>118,6106</v>
      </c>
      <c r="M18" s="7" t="s">
        <v>319</v>
      </c>
    </row>
    <row r="19" spans="1:13">
      <c r="B19" s="5" t="s">
        <v>31</v>
      </c>
    </row>
    <row r="20" spans="1:13" ht="16">
      <c r="A20" s="54" t="s">
        <v>10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3">
      <c r="A21" s="18" t="s">
        <v>30</v>
      </c>
      <c r="B21" s="17" t="s">
        <v>144</v>
      </c>
      <c r="C21" s="17" t="s">
        <v>145</v>
      </c>
      <c r="D21" s="17" t="s">
        <v>13</v>
      </c>
      <c r="E21" s="17" t="s">
        <v>355</v>
      </c>
      <c r="F21" s="17" t="s">
        <v>146</v>
      </c>
      <c r="G21" s="24" t="s">
        <v>147</v>
      </c>
      <c r="H21" s="21" t="s">
        <v>123</v>
      </c>
      <c r="I21" s="24" t="s">
        <v>148</v>
      </c>
      <c r="J21" s="18"/>
      <c r="K21" s="34" t="str">
        <f>"202,5"</f>
        <v>202,5</v>
      </c>
      <c r="L21" s="18" t="str">
        <f>"123,2415"</f>
        <v>123,2415</v>
      </c>
      <c r="M21" s="17" t="s">
        <v>320</v>
      </c>
    </row>
    <row r="22" spans="1:13">
      <c r="A22" s="26" t="s">
        <v>87</v>
      </c>
      <c r="B22" s="25" t="s">
        <v>149</v>
      </c>
      <c r="C22" s="25" t="s">
        <v>150</v>
      </c>
      <c r="D22" s="25" t="s">
        <v>151</v>
      </c>
      <c r="E22" s="25" t="s">
        <v>355</v>
      </c>
      <c r="F22" s="25" t="s">
        <v>14</v>
      </c>
      <c r="G22" s="28" t="s">
        <v>15</v>
      </c>
      <c r="H22" s="28" t="s">
        <v>143</v>
      </c>
      <c r="I22" s="27" t="s">
        <v>67</v>
      </c>
      <c r="J22" s="26"/>
      <c r="K22" s="35" t="str">
        <f>"177,5"</f>
        <v>177,5</v>
      </c>
      <c r="L22" s="26" t="str">
        <f>"109,1625"</f>
        <v>109,1625</v>
      </c>
      <c r="M22" s="25"/>
    </row>
    <row r="23" spans="1:13">
      <c r="A23" s="20" t="s">
        <v>30</v>
      </c>
      <c r="B23" s="19" t="s">
        <v>152</v>
      </c>
      <c r="C23" s="19" t="s">
        <v>153</v>
      </c>
      <c r="D23" s="19" t="s">
        <v>154</v>
      </c>
      <c r="E23" s="19" t="s">
        <v>356</v>
      </c>
      <c r="F23" s="19" t="s">
        <v>14</v>
      </c>
      <c r="G23" s="22" t="s">
        <v>99</v>
      </c>
      <c r="H23" s="23" t="s">
        <v>155</v>
      </c>
      <c r="I23" s="22" t="s">
        <v>155</v>
      </c>
      <c r="J23" s="20"/>
      <c r="K23" s="36" t="str">
        <f>"135,0"</f>
        <v>135,0</v>
      </c>
      <c r="L23" s="20" t="str">
        <f>"96,2460"</f>
        <v>96,2460</v>
      </c>
      <c r="M23" s="19"/>
    </row>
    <row r="24" spans="1:13">
      <c r="B24" s="5" t="s">
        <v>31</v>
      </c>
    </row>
    <row r="25" spans="1:13" ht="16">
      <c r="A25" s="54" t="s">
        <v>156</v>
      </c>
      <c r="B25" s="54"/>
      <c r="C25" s="55"/>
      <c r="D25" s="55"/>
      <c r="E25" s="55"/>
      <c r="F25" s="55"/>
      <c r="G25" s="55"/>
      <c r="H25" s="55"/>
      <c r="I25" s="55"/>
      <c r="J25" s="55"/>
    </row>
    <row r="26" spans="1:13">
      <c r="A26" s="18" t="s">
        <v>30</v>
      </c>
      <c r="B26" s="17" t="s">
        <v>157</v>
      </c>
      <c r="C26" s="17" t="s">
        <v>158</v>
      </c>
      <c r="D26" s="17" t="s">
        <v>159</v>
      </c>
      <c r="E26" s="17" t="s">
        <v>355</v>
      </c>
      <c r="F26" s="17" t="s">
        <v>146</v>
      </c>
      <c r="G26" s="21" t="s">
        <v>21</v>
      </c>
      <c r="H26" s="24" t="s">
        <v>123</v>
      </c>
      <c r="I26" s="24" t="s">
        <v>123</v>
      </c>
      <c r="J26" s="18"/>
      <c r="K26" s="34" t="str">
        <f>"195,0"</f>
        <v>195,0</v>
      </c>
      <c r="L26" s="18" t="str">
        <f>"114,9135"</f>
        <v>114,9135</v>
      </c>
      <c r="M26" s="17"/>
    </row>
    <row r="27" spans="1:13">
      <c r="A27" s="26" t="s">
        <v>87</v>
      </c>
      <c r="B27" s="25" t="s">
        <v>162</v>
      </c>
      <c r="C27" s="25" t="s">
        <v>163</v>
      </c>
      <c r="D27" s="25" t="s">
        <v>164</v>
      </c>
      <c r="E27" s="25" t="s">
        <v>355</v>
      </c>
      <c r="F27" s="25" t="s">
        <v>165</v>
      </c>
      <c r="G27" s="28" t="s">
        <v>67</v>
      </c>
      <c r="H27" s="27" t="s">
        <v>17</v>
      </c>
      <c r="I27" s="28" t="s">
        <v>17</v>
      </c>
      <c r="J27" s="27" t="s">
        <v>21</v>
      </c>
      <c r="K27" s="35" t="str">
        <f>"190,0"</f>
        <v>190,0</v>
      </c>
      <c r="L27" s="26" t="str">
        <f>"113,8480"</f>
        <v>113,8480</v>
      </c>
      <c r="M27" s="25" t="s">
        <v>310</v>
      </c>
    </row>
    <row r="28" spans="1:13">
      <c r="A28" s="26" t="s">
        <v>186</v>
      </c>
      <c r="B28" s="25" t="s">
        <v>166</v>
      </c>
      <c r="C28" s="25" t="s">
        <v>167</v>
      </c>
      <c r="D28" s="25" t="s">
        <v>168</v>
      </c>
      <c r="E28" s="25" t="s">
        <v>355</v>
      </c>
      <c r="F28" s="25" t="s">
        <v>14</v>
      </c>
      <c r="G28" s="28" t="s">
        <v>67</v>
      </c>
      <c r="H28" s="28" t="s">
        <v>17</v>
      </c>
      <c r="I28" s="27" t="s">
        <v>169</v>
      </c>
      <c r="J28" s="26"/>
      <c r="K28" s="35" t="str">
        <f>"190,0"</f>
        <v>190,0</v>
      </c>
      <c r="L28" s="26" t="str">
        <f>"112,4610"</f>
        <v>112,4610</v>
      </c>
      <c r="M28" s="25"/>
    </row>
    <row r="29" spans="1:13">
      <c r="A29" s="26" t="s">
        <v>187</v>
      </c>
      <c r="B29" s="25" t="s">
        <v>171</v>
      </c>
      <c r="C29" s="25" t="s">
        <v>172</v>
      </c>
      <c r="D29" s="25" t="s">
        <v>173</v>
      </c>
      <c r="E29" s="25" t="s">
        <v>355</v>
      </c>
      <c r="F29" s="25" t="s">
        <v>49</v>
      </c>
      <c r="G29" s="28" t="s">
        <v>15</v>
      </c>
      <c r="H29" s="28" t="s">
        <v>16</v>
      </c>
      <c r="I29" s="28" t="s">
        <v>67</v>
      </c>
      <c r="J29" s="26"/>
      <c r="K29" s="35" t="str">
        <f>"185,0"</f>
        <v>185,0</v>
      </c>
      <c r="L29" s="26" t="str">
        <f>"112,4060"</f>
        <v>112,4060</v>
      </c>
      <c r="M29" s="25" t="s">
        <v>310</v>
      </c>
    </row>
    <row r="30" spans="1:13">
      <c r="A30" s="20" t="s">
        <v>30</v>
      </c>
      <c r="B30" s="19" t="s">
        <v>171</v>
      </c>
      <c r="C30" s="19" t="s">
        <v>174</v>
      </c>
      <c r="D30" s="19" t="s">
        <v>173</v>
      </c>
      <c r="E30" s="19" t="s">
        <v>356</v>
      </c>
      <c r="F30" s="19" t="s">
        <v>49</v>
      </c>
      <c r="G30" s="22" t="s">
        <v>15</v>
      </c>
      <c r="H30" s="22" t="s">
        <v>16</v>
      </c>
      <c r="I30" s="22" t="s">
        <v>67</v>
      </c>
      <c r="J30" s="20"/>
      <c r="K30" s="36" t="str">
        <f>"185,0"</f>
        <v>185,0</v>
      </c>
      <c r="L30" s="20" t="str">
        <f>"115,5534"</f>
        <v>115,5534</v>
      </c>
      <c r="M30" s="19" t="s">
        <v>310</v>
      </c>
    </row>
    <row r="31" spans="1:13">
      <c r="B31" s="5" t="s">
        <v>31</v>
      </c>
    </row>
    <row r="32" spans="1:13" ht="16">
      <c r="A32" s="54" t="s">
        <v>175</v>
      </c>
      <c r="B32" s="54"/>
      <c r="C32" s="55"/>
      <c r="D32" s="55"/>
      <c r="E32" s="55"/>
      <c r="F32" s="55"/>
      <c r="G32" s="55"/>
      <c r="H32" s="55"/>
      <c r="I32" s="55"/>
      <c r="J32" s="55"/>
    </row>
    <row r="33" spans="1:13">
      <c r="A33" s="8" t="s">
        <v>30</v>
      </c>
      <c r="B33" s="7" t="s">
        <v>176</v>
      </c>
      <c r="C33" s="7" t="s">
        <v>177</v>
      </c>
      <c r="D33" s="7" t="s">
        <v>178</v>
      </c>
      <c r="E33" s="7" t="s">
        <v>355</v>
      </c>
      <c r="F33" s="7" t="s">
        <v>49</v>
      </c>
      <c r="G33" s="14" t="s">
        <v>20</v>
      </c>
      <c r="H33" s="14" t="s">
        <v>80</v>
      </c>
      <c r="I33" s="15" t="s">
        <v>99</v>
      </c>
      <c r="J33" s="8"/>
      <c r="K33" s="31" t="str">
        <f>"120,0"</f>
        <v>120,0</v>
      </c>
      <c r="L33" s="8" t="str">
        <f>"68,6280"</f>
        <v>68,6280</v>
      </c>
      <c r="M33" s="7" t="s">
        <v>312</v>
      </c>
    </row>
    <row r="34" spans="1:13">
      <c r="B34" s="5" t="s">
        <v>31</v>
      </c>
    </row>
    <row r="35" spans="1:13">
      <c r="B35" s="5" t="s">
        <v>31</v>
      </c>
    </row>
    <row r="36" spans="1:13">
      <c r="B36" s="5" t="s">
        <v>31</v>
      </c>
    </row>
    <row r="37" spans="1:13" ht="18">
      <c r="B37" s="9" t="s">
        <v>23</v>
      </c>
      <c r="C37" s="9"/>
    </row>
    <row r="38" spans="1:13" ht="16">
      <c r="B38" s="10" t="s">
        <v>24</v>
      </c>
      <c r="C38" s="10"/>
    </row>
    <row r="39" spans="1:13" ht="14">
      <c r="B39" s="11"/>
      <c r="C39" s="12" t="s">
        <v>25</v>
      </c>
    </row>
    <row r="40" spans="1:13" ht="14">
      <c r="B40" s="13" t="s">
        <v>26</v>
      </c>
      <c r="C40" s="13" t="s">
        <v>27</v>
      </c>
      <c r="D40" s="13" t="s">
        <v>333</v>
      </c>
      <c r="E40" s="13" t="s">
        <v>179</v>
      </c>
      <c r="F40" s="13" t="s">
        <v>28</v>
      </c>
    </row>
    <row r="41" spans="1:13">
      <c r="B41" s="5" t="s">
        <v>144</v>
      </c>
      <c r="C41" s="5" t="s">
        <v>25</v>
      </c>
      <c r="D41" s="6" t="s">
        <v>29</v>
      </c>
      <c r="E41" s="6" t="s">
        <v>123</v>
      </c>
      <c r="F41" s="6" t="s">
        <v>180</v>
      </c>
    </row>
    <row r="42" spans="1:13">
      <c r="B42" s="5" t="s">
        <v>133</v>
      </c>
      <c r="C42" s="5" t="s">
        <v>25</v>
      </c>
      <c r="D42" s="6" t="s">
        <v>124</v>
      </c>
      <c r="E42" s="6" t="s">
        <v>15</v>
      </c>
      <c r="F42" s="6" t="s">
        <v>181</v>
      </c>
    </row>
    <row r="43" spans="1:13">
      <c r="B43" s="5" t="s">
        <v>157</v>
      </c>
      <c r="C43" s="5" t="s">
        <v>25</v>
      </c>
      <c r="D43" s="6" t="s">
        <v>182</v>
      </c>
      <c r="E43" s="6" t="s">
        <v>21</v>
      </c>
      <c r="F43" s="6" t="s">
        <v>183</v>
      </c>
    </row>
    <row r="44" spans="1:13">
      <c r="B44" s="5" t="s">
        <v>31</v>
      </c>
    </row>
    <row r="45" spans="1:13">
      <c r="B45" s="5" t="s">
        <v>31</v>
      </c>
    </row>
    <row r="46" spans="1:13">
      <c r="B46" s="5" t="s">
        <v>31</v>
      </c>
    </row>
    <row r="47" spans="1:13">
      <c r="B47" s="5" t="s">
        <v>31</v>
      </c>
    </row>
    <row r="48" spans="1:13">
      <c r="B48" s="5" t="s">
        <v>31</v>
      </c>
    </row>
    <row r="49" spans="2:2">
      <c r="B49" s="5" t="s">
        <v>31</v>
      </c>
    </row>
    <row r="50" spans="2:2">
      <c r="B50" s="5" t="s">
        <v>31</v>
      </c>
    </row>
    <row r="51" spans="2:2">
      <c r="B51" s="5" t="s">
        <v>31</v>
      </c>
    </row>
  </sheetData>
  <mergeCells count="19">
    <mergeCell ref="A32:J32"/>
    <mergeCell ref="B3:B4"/>
    <mergeCell ref="A8:J8"/>
    <mergeCell ref="A11:J11"/>
    <mergeCell ref="A14:J14"/>
    <mergeCell ref="A17:J17"/>
    <mergeCell ref="A20:J20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5070F-DEFC-4046-ABAE-ED06CB896D7A}">
  <dimension ref="A1:M55"/>
  <sheetViews>
    <sheetView zoomScaleNormal="100"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43" t="s">
        <v>326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9</v>
      </c>
      <c r="H3" s="37"/>
      <c r="I3" s="37"/>
      <c r="J3" s="37"/>
      <c r="K3" s="37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188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262</v>
      </c>
      <c r="C6" s="7" t="s">
        <v>263</v>
      </c>
      <c r="D6" s="7" t="s">
        <v>264</v>
      </c>
      <c r="E6" s="7" t="s">
        <v>356</v>
      </c>
      <c r="F6" s="7" t="s">
        <v>14</v>
      </c>
      <c r="G6" s="14" t="s">
        <v>79</v>
      </c>
      <c r="H6" s="15" t="s">
        <v>80</v>
      </c>
      <c r="I6" s="15" t="s">
        <v>99</v>
      </c>
      <c r="J6" s="8"/>
      <c r="K6" s="8" t="str">
        <f>"110,0"</f>
        <v>110,0</v>
      </c>
      <c r="L6" s="8" t="str">
        <f>"146,8574"</f>
        <v>146,8574</v>
      </c>
      <c r="M6" s="7" t="s">
        <v>313</v>
      </c>
    </row>
    <row r="7" spans="1:13">
      <c r="B7" s="5" t="s">
        <v>31</v>
      </c>
    </row>
    <row r="8" spans="1:13" ht="16">
      <c r="A8" s="54" t="s">
        <v>32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8" t="s">
        <v>30</v>
      </c>
      <c r="B9" s="17" t="s">
        <v>95</v>
      </c>
      <c r="C9" s="17" t="s">
        <v>96</v>
      </c>
      <c r="D9" s="17" t="s">
        <v>97</v>
      </c>
      <c r="E9" s="17" t="s">
        <v>355</v>
      </c>
      <c r="F9" s="17" t="s">
        <v>14</v>
      </c>
      <c r="G9" s="21" t="s">
        <v>79</v>
      </c>
      <c r="H9" s="21" t="s">
        <v>94</v>
      </c>
      <c r="I9" s="21" t="s">
        <v>99</v>
      </c>
      <c r="J9" s="18"/>
      <c r="K9" s="18" t="str">
        <f>"125,0"</f>
        <v>125,0</v>
      </c>
      <c r="L9" s="18" t="str">
        <f>"150,8875"</f>
        <v>150,8875</v>
      </c>
      <c r="M9" s="17"/>
    </row>
    <row r="10" spans="1:13">
      <c r="A10" s="20" t="s">
        <v>87</v>
      </c>
      <c r="B10" s="19" t="s">
        <v>265</v>
      </c>
      <c r="C10" s="19" t="s">
        <v>266</v>
      </c>
      <c r="D10" s="19" t="s">
        <v>267</v>
      </c>
      <c r="E10" s="19" t="s">
        <v>355</v>
      </c>
      <c r="F10" s="19" t="s">
        <v>14</v>
      </c>
      <c r="G10" s="22" t="s">
        <v>38</v>
      </c>
      <c r="H10" s="22" t="s">
        <v>42</v>
      </c>
      <c r="I10" s="23" t="s">
        <v>91</v>
      </c>
      <c r="J10" s="20"/>
      <c r="K10" s="20" t="str">
        <f>"70,0"</f>
        <v>70,0</v>
      </c>
      <c r="L10" s="20" t="str">
        <f>"84,2520"</f>
        <v>84,2520</v>
      </c>
      <c r="M10" s="19" t="s">
        <v>314</v>
      </c>
    </row>
    <row r="11" spans="1:13">
      <c r="B11" s="5" t="s">
        <v>31</v>
      </c>
    </row>
    <row r="12" spans="1:13" ht="16">
      <c r="A12" s="54" t="s">
        <v>45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8" t="s">
        <v>30</v>
      </c>
      <c r="B13" s="7" t="s">
        <v>268</v>
      </c>
      <c r="C13" s="7" t="s">
        <v>269</v>
      </c>
      <c r="D13" s="7" t="s">
        <v>270</v>
      </c>
      <c r="E13" s="7" t="s">
        <v>355</v>
      </c>
      <c r="F13" s="7" t="s">
        <v>14</v>
      </c>
      <c r="G13" s="14" t="s">
        <v>80</v>
      </c>
      <c r="H13" s="14" t="s">
        <v>99</v>
      </c>
      <c r="I13" s="15" t="s">
        <v>68</v>
      </c>
      <c r="J13" s="8"/>
      <c r="K13" s="8" t="str">
        <f>"125,0"</f>
        <v>125,0</v>
      </c>
      <c r="L13" s="8" t="str">
        <f>"132,0500"</f>
        <v>132,0500</v>
      </c>
      <c r="M13" s="7" t="s">
        <v>314</v>
      </c>
    </row>
    <row r="14" spans="1:13">
      <c r="B14" s="5" t="s">
        <v>31</v>
      </c>
    </row>
    <row r="15" spans="1:13" ht="16">
      <c r="A15" s="54" t="s">
        <v>106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18" t="s">
        <v>30</v>
      </c>
      <c r="B16" s="17" t="s">
        <v>271</v>
      </c>
      <c r="C16" s="17" t="s">
        <v>272</v>
      </c>
      <c r="D16" s="17" t="s">
        <v>273</v>
      </c>
      <c r="E16" s="17" t="s">
        <v>355</v>
      </c>
      <c r="F16" s="17" t="s">
        <v>14</v>
      </c>
      <c r="G16" s="21" t="s">
        <v>254</v>
      </c>
      <c r="H16" s="21" t="s">
        <v>259</v>
      </c>
      <c r="I16" s="24" t="s">
        <v>274</v>
      </c>
      <c r="J16" s="18"/>
      <c r="K16" s="18" t="str">
        <f>"240,0"</f>
        <v>240,0</v>
      </c>
      <c r="L16" s="18" t="str">
        <f>"171,8160"</f>
        <v>171,8160</v>
      </c>
      <c r="M16" s="17"/>
    </row>
    <row r="17" spans="1:13">
      <c r="A17" s="20" t="s">
        <v>87</v>
      </c>
      <c r="B17" s="19" t="s">
        <v>275</v>
      </c>
      <c r="C17" s="19" t="s">
        <v>276</v>
      </c>
      <c r="D17" s="19" t="s">
        <v>277</v>
      </c>
      <c r="E17" s="19" t="s">
        <v>355</v>
      </c>
      <c r="F17" s="19" t="s">
        <v>49</v>
      </c>
      <c r="G17" s="22" t="s">
        <v>15</v>
      </c>
      <c r="H17" s="22" t="s">
        <v>278</v>
      </c>
      <c r="I17" s="22" t="s">
        <v>17</v>
      </c>
      <c r="J17" s="20"/>
      <c r="K17" s="20" t="str">
        <f>"190,0"</f>
        <v>190,0</v>
      </c>
      <c r="L17" s="20" t="str">
        <f>"136,8000"</f>
        <v>136,8000</v>
      </c>
      <c r="M17" s="19"/>
    </row>
    <row r="18" spans="1:13">
      <c r="B18" s="5" t="s">
        <v>31</v>
      </c>
    </row>
    <row r="19" spans="1:13" ht="16">
      <c r="A19" s="54" t="s">
        <v>63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3">
      <c r="A20" s="8" t="s">
        <v>30</v>
      </c>
      <c r="B20" s="7" t="s">
        <v>279</v>
      </c>
      <c r="C20" s="7" t="s">
        <v>280</v>
      </c>
      <c r="D20" s="7" t="s">
        <v>281</v>
      </c>
      <c r="E20" s="7" t="s">
        <v>355</v>
      </c>
      <c r="F20" s="7" t="s">
        <v>49</v>
      </c>
      <c r="G20" s="14" t="s">
        <v>67</v>
      </c>
      <c r="H20" s="14" t="s">
        <v>21</v>
      </c>
      <c r="I20" s="14" t="s">
        <v>22</v>
      </c>
      <c r="J20" s="8"/>
      <c r="K20" s="8" t="str">
        <f>"210,0"</f>
        <v>210,0</v>
      </c>
      <c r="L20" s="8" t="str">
        <f>"142,0440"</f>
        <v>142,0440</v>
      </c>
      <c r="M20" s="7"/>
    </row>
    <row r="21" spans="1:13">
      <c r="B21" s="5" t="s">
        <v>31</v>
      </c>
    </row>
    <row r="22" spans="1:13" ht="16">
      <c r="A22" s="54" t="s">
        <v>139</v>
      </c>
      <c r="B22" s="54"/>
      <c r="C22" s="55"/>
      <c r="D22" s="55"/>
      <c r="E22" s="55"/>
      <c r="F22" s="55"/>
      <c r="G22" s="55"/>
      <c r="H22" s="55"/>
      <c r="I22" s="55"/>
      <c r="J22" s="55"/>
    </row>
    <row r="23" spans="1:13">
      <c r="A23" s="8" t="s">
        <v>30</v>
      </c>
      <c r="B23" s="7" t="s">
        <v>282</v>
      </c>
      <c r="C23" s="7" t="s">
        <v>283</v>
      </c>
      <c r="D23" s="7" t="s">
        <v>284</v>
      </c>
      <c r="E23" s="7" t="s">
        <v>355</v>
      </c>
      <c r="F23" s="7" t="s">
        <v>14</v>
      </c>
      <c r="G23" s="14" t="s">
        <v>285</v>
      </c>
      <c r="H23" s="15" t="s">
        <v>72</v>
      </c>
      <c r="I23" s="15" t="s">
        <v>72</v>
      </c>
      <c r="J23" s="8"/>
      <c r="K23" s="8" t="str">
        <f>"205,0"</f>
        <v>205,0</v>
      </c>
      <c r="L23" s="8" t="str">
        <f>"132,9835"</f>
        <v>132,9835</v>
      </c>
      <c r="M23" s="7" t="s">
        <v>308</v>
      </c>
    </row>
    <row r="24" spans="1:13">
      <c r="B24" s="5" t="s">
        <v>31</v>
      </c>
    </row>
    <row r="25" spans="1:13" ht="16">
      <c r="A25" s="54" t="s">
        <v>10</v>
      </c>
      <c r="B25" s="54"/>
      <c r="C25" s="55"/>
      <c r="D25" s="55"/>
      <c r="E25" s="55"/>
      <c r="F25" s="55"/>
      <c r="G25" s="55"/>
      <c r="H25" s="55"/>
      <c r="I25" s="55"/>
      <c r="J25" s="55"/>
    </row>
    <row r="26" spans="1:13">
      <c r="A26" s="18" t="s">
        <v>30</v>
      </c>
      <c r="B26" s="17" t="s">
        <v>231</v>
      </c>
      <c r="C26" s="17" t="s">
        <v>232</v>
      </c>
      <c r="D26" s="17" t="s">
        <v>233</v>
      </c>
      <c r="E26" s="17" t="s">
        <v>355</v>
      </c>
      <c r="F26" s="17" t="s">
        <v>234</v>
      </c>
      <c r="G26" s="21" t="s">
        <v>286</v>
      </c>
      <c r="H26" s="21" t="s">
        <v>254</v>
      </c>
      <c r="I26" s="24" t="s">
        <v>86</v>
      </c>
      <c r="J26" s="18"/>
      <c r="K26" s="18" t="str">
        <f>"230,0"</f>
        <v>230,0</v>
      </c>
      <c r="L26" s="18" t="str">
        <f>"140,3690"</f>
        <v>140,3690</v>
      </c>
      <c r="M26" s="17"/>
    </row>
    <row r="27" spans="1:13">
      <c r="A27" s="20" t="s">
        <v>87</v>
      </c>
      <c r="B27" s="19" t="s">
        <v>287</v>
      </c>
      <c r="C27" s="19" t="s">
        <v>288</v>
      </c>
      <c r="D27" s="19" t="s">
        <v>289</v>
      </c>
      <c r="E27" s="19" t="s">
        <v>355</v>
      </c>
      <c r="F27" s="19" t="s">
        <v>49</v>
      </c>
      <c r="G27" s="22" t="s">
        <v>22</v>
      </c>
      <c r="H27" s="22" t="s">
        <v>286</v>
      </c>
      <c r="I27" s="20"/>
      <c r="J27" s="20"/>
      <c r="K27" s="20" t="str">
        <f>"220,0"</f>
        <v>220,0</v>
      </c>
      <c r="L27" s="20" t="str">
        <f>"135,4100"</f>
        <v>135,4100</v>
      </c>
      <c r="M27" s="19"/>
    </row>
    <row r="28" spans="1:13">
      <c r="B28" s="5" t="s">
        <v>31</v>
      </c>
    </row>
    <row r="37" spans="3:6" ht="18">
      <c r="C37" s="9"/>
      <c r="D37" s="9"/>
    </row>
    <row r="38" spans="3:6" ht="16">
      <c r="C38" s="16"/>
      <c r="D38" s="16"/>
    </row>
    <row r="39" spans="3:6" ht="14">
      <c r="C39" s="11"/>
      <c r="D39" s="12"/>
    </row>
    <row r="40" spans="3:6" ht="14">
      <c r="C40" s="1"/>
      <c r="D40" s="1"/>
      <c r="E40" s="1"/>
      <c r="F40" s="1"/>
    </row>
    <row r="41" spans="3:6">
      <c r="E41" s="6"/>
      <c r="F41" s="6"/>
    </row>
    <row r="42" spans="3:6">
      <c r="E42" s="6"/>
      <c r="F42" s="6"/>
    </row>
    <row r="43" spans="3:6">
      <c r="E43" s="6"/>
      <c r="F43" s="6"/>
    </row>
    <row r="45" spans="3:6" ht="14">
      <c r="C45" s="11"/>
      <c r="D45" s="12"/>
    </row>
    <row r="46" spans="3:6" ht="14">
      <c r="C46" s="1"/>
      <c r="D46" s="1"/>
      <c r="E46" s="1"/>
      <c r="F46" s="1"/>
    </row>
    <row r="47" spans="3:6">
      <c r="E47" s="6"/>
      <c r="F47" s="6"/>
    </row>
    <row r="50" spans="3:6" ht="16">
      <c r="C50" s="16"/>
      <c r="D50" s="16"/>
    </row>
    <row r="51" spans="3:6" ht="14">
      <c r="C51" s="11"/>
      <c r="D51" s="12"/>
    </row>
    <row r="52" spans="3:6" ht="14">
      <c r="C52" s="1"/>
      <c r="D52" s="1"/>
      <c r="E52" s="1"/>
      <c r="F52" s="1"/>
    </row>
    <row r="53" spans="3:6">
      <c r="E53" s="6"/>
      <c r="F53" s="6"/>
    </row>
    <row r="54" spans="3:6">
      <c r="E54" s="6"/>
      <c r="F54" s="6"/>
    </row>
    <row r="55" spans="3:6">
      <c r="E55" s="6"/>
      <c r="F55" s="6"/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2:J12"/>
    <mergeCell ref="A15:J15"/>
    <mergeCell ref="A19:J19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1B705-9258-4F35-8C62-AE2DB6FDBACF}">
  <dimension ref="A1:M38"/>
  <sheetViews>
    <sheetView zoomScaleNormal="100"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43" t="s">
        <v>327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351</v>
      </c>
      <c r="B3" s="56" t="s">
        <v>0</v>
      </c>
      <c r="C3" s="53" t="s">
        <v>353</v>
      </c>
      <c r="D3" s="53" t="s">
        <v>6</v>
      </c>
      <c r="E3" s="37" t="s">
        <v>354</v>
      </c>
      <c r="F3" s="37" t="s">
        <v>5</v>
      </c>
      <c r="G3" s="37" t="s">
        <v>9</v>
      </c>
      <c r="H3" s="37"/>
      <c r="I3" s="37"/>
      <c r="J3" s="37"/>
      <c r="K3" s="37" t="s">
        <v>185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32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30</v>
      </c>
      <c r="B6" s="7" t="s">
        <v>33</v>
      </c>
      <c r="C6" s="7" t="s">
        <v>34</v>
      </c>
      <c r="D6" s="7" t="s">
        <v>35</v>
      </c>
      <c r="E6" s="7" t="s">
        <v>355</v>
      </c>
      <c r="F6" s="7" t="s">
        <v>14</v>
      </c>
      <c r="G6" s="14" t="s">
        <v>42</v>
      </c>
      <c r="H6" s="14" t="s">
        <v>43</v>
      </c>
      <c r="I6" s="14" t="s">
        <v>44</v>
      </c>
      <c r="J6" s="8"/>
      <c r="K6" s="8" t="str">
        <f>"82,5"</f>
        <v>82,5</v>
      </c>
      <c r="L6" s="8" t="str">
        <f>"99,1568"</f>
        <v>99,1568</v>
      </c>
      <c r="M6" s="7" t="s">
        <v>313</v>
      </c>
    </row>
    <row r="7" spans="1:13">
      <c r="B7" s="5" t="s">
        <v>31</v>
      </c>
    </row>
    <row r="8" spans="1:13" ht="16">
      <c r="A8" s="54" t="s">
        <v>10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8" t="s">
        <v>30</v>
      </c>
      <c r="B9" s="17" t="s">
        <v>251</v>
      </c>
      <c r="C9" s="17" t="s">
        <v>252</v>
      </c>
      <c r="D9" s="17" t="s">
        <v>253</v>
      </c>
      <c r="E9" s="17" t="s">
        <v>355</v>
      </c>
      <c r="F9" s="17" t="s">
        <v>14</v>
      </c>
      <c r="G9" s="21" t="s">
        <v>254</v>
      </c>
      <c r="H9" s="21" t="s">
        <v>255</v>
      </c>
      <c r="I9" s="21" t="s">
        <v>120</v>
      </c>
      <c r="J9" s="18"/>
      <c r="K9" s="18" t="str">
        <f>"255,0"</f>
        <v>255,0</v>
      </c>
      <c r="L9" s="18" t="str">
        <f>"156,6210"</f>
        <v>156,6210</v>
      </c>
      <c r="M9" s="17"/>
    </row>
    <row r="10" spans="1:13">
      <c r="A10" s="20" t="s">
        <v>87</v>
      </c>
      <c r="B10" s="19" t="s">
        <v>81</v>
      </c>
      <c r="C10" s="19" t="s">
        <v>82</v>
      </c>
      <c r="D10" s="19" t="s">
        <v>83</v>
      </c>
      <c r="E10" s="19" t="s">
        <v>355</v>
      </c>
      <c r="F10" s="19" t="s">
        <v>14</v>
      </c>
      <c r="G10" s="22" t="s">
        <v>69</v>
      </c>
      <c r="H10" s="22" t="s">
        <v>77</v>
      </c>
      <c r="I10" s="23" t="s">
        <v>15</v>
      </c>
      <c r="J10" s="20"/>
      <c r="K10" s="20" t="str">
        <f>"155,0"</f>
        <v>155,0</v>
      </c>
      <c r="L10" s="20" t="str">
        <f>"96,4100"</f>
        <v>96,4100</v>
      </c>
      <c r="M10" s="19" t="s">
        <v>313</v>
      </c>
    </row>
    <row r="11" spans="1:13">
      <c r="B11" s="5" t="s">
        <v>31</v>
      </c>
    </row>
    <row r="12" spans="1:13" ht="16">
      <c r="A12" s="54" t="s">
        <v>156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8" t="s">
        <v>30</v>
      </c>
      <c r="B13" s="7" t="s">
        <v>157</v>
      </c>
      <c r="C13" s="7" t="s">
        <v>158</v>
      </c>
      <c r="D13" s="7" t="s">
        <v>159</v>
      </c>
      <c r="E13" s="7" t="s">
        <v>355</v>
      </c>
      <c r="F13" s="7" t="s">
        <v>146</v>
      </c>
      <c r="G13" s="14" t="s">
        <v>120</v>
      </c>
      <c r="H13" s="14" t="s">
        <v>160</v>
      </c>
      <c r="I13" s="14" t="s">
        <v>161</v>
      </c>
      <c r="J13" s="8"/>
      <c r="K13" s="8" t="str">
        <f>"267,5"</f>
        <v>267,5</v>
      </c>
      <c r="L13" s="8" t="str">
        <f>"157,6377"</f>
        <v>157,6377</v>
      </c>
      <c r="M13" s="7"/>
    </row>
    <row r="14" spans="1:13">
      <c r="B14" s="5" t="s">
        <v>31</v>
      </c>
    </row>
    <row r="15" spans="1:13" ht="16">
      <c r="A15" s="54" t="s">
        <v>175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8" t="s">
        <v>30</v>
      </c>
      <c r="B16" s="7" t="s">
        <v>256</v>
      </c>
      <c r="C16" s="7" t="s">
        <v>257</v>
      </c>
      <c r="D16" s="7" t="s">
        <v>258</v>
      </c>
      <c r="E16" s="7" t="s">
        <v>355</v>
      </c>
      <c r="F16" s="7" t="s">
        <v>14</v>
      </c>
      <c r="G16" s="14" t="s">
        <v>259</v>
      </c>
      <c r="H16" s="14" t="s">
        <v>260</v>
      </c>
      <c r="I16" s="14" t="s">
        <v>261</v>
      </c>
      <c r="J16" s="8"/>
      <c r="K16" s="8" t="str">
        <f>"260,0"</f>
        <v>260,0</v>
      </c>
      <c r="L16" s="8" t="str">
        <f>"150,5920"</f>
        <v>150,5920</v>
      </c>
      <c r="M16" s="7"/>
    </row>
    <row r="17" spans="2:6">
      <c r="B17" s="5" t="s">
        <v>31</v>
      </c>
    </row>
    <row r="26" spans="2:6" ht="18">
      <c r="C26" s="9"/>
      <c r="D26" s="9"/>
    </row>
    <row r="27" spans="2:6" ht="16">
      <c r="C27" s="16"/>
      <c r="D27" s="16"/>
    </row>
    <row r="28" spans="2:6" ht="14">
      <c r="C28" s="11"/>
      <c r="D28" s="12"/>
    </row>
    <row r="29" spans="2:6" ht="14">
      <c r="C29" s="1"/>
      <c r="D29" s="1"/>
      <c r="E29" s="1"/>
      <c r="F29" s="1"/>
    </row>
    <row r="30" spans="2:6">
      <c r="E30" s="6"/>
      <c r="F30" s="6"/>
    </row>
    <row r="33" spans="3:6" ht="16">
      <c r="C33" s="16"/>
      <c r="D33" s="16"/>
    </row>
    <row r="34" spans="3:6" ht="14">
      <c r="C34" s="11"/>
      <c r="D34" s="12"/>
    </row>
    <row r="35" spans="3:6" ht="14">
      <c r="C35" s="1"/>
      <c r="D35" s="1"/>
      <c r="E35" s="1"/>
      <c r="F35" s="1"/>
    </row>
    <row r="36" spans="3:6">
      <c r="E36" s="6"/>
      <c r="F36" s="6"/>
    </row>
    <row r="37" spans="3:6">
      <c r="E37" s="6"/>
      <c r="F37" s="6"/>
    </row>
    <row r="38" spans="3:6">
      <c r="E38" s="6"/>
      <c r="F38" s="6"/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Судейская коллегия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2022-05-25T16:17:42Z</dcterms:modified>
</cp:coreProperties>
</file>