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рт/"/>
    </mc:Choice>
  </mc:AlternateContent>
  <xr:revisionPtr revIDLastSave="0" documentId="13_ncr:1_{12FCBCA5-AB1A-9746-9874-51504FDDB8A1}" xr6:coauthVersionLast="45" xr6:coauthVersionMax="45" xr10:uidLastSave="{00000000-0000-0000-0000-000000000000}"/>
  <bookViews>
    <workbookView xWindow="480" yWindow="460" windowWidth="28320" windowHeight="16340" firstSheet="18" activeTab="24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Л в бинтах" sheetId="7" r:id="rId4"/>
    <sheet name="IPL Двоеборье без экип ДК" sheetId="18" r:id="rId5"/>
    <sheet name="IPL Двоеборье без экип" sheetId="17" r:id="rId6"/>
    <sheet name="IPL Присед без экипировки ДК" sheetId="16" r:id="rId7"/>
    <sheet name="IPL Присед без экипировки" sheetId="15" r:id="rId8"/>
    <sheet name="IPL Жим без экипировки ДК" sheetId="10" r:id="rId9"/>
    <sheet name="IPL Жим без экипировки" sheetId="9" r:id="rId10"/>
    <sheet name="IPL Жим однослой ДК" sheetId="12" r:id="rId11"/>
    <sheet name="IPL Жим однослой" sheetId="11" r:id="rId12"/>
    <sheet name="СПР Жим софт однопетельная ДК" sheetId="28" r:id="rId13"/>
    <sheet name="СПР Жим софт однопетельная" sheetId="27" r:id="rId14"/>
    <sheet name="СПР Жим софт многопетельная ДК" sheetId="30" r:id="rId15"/>
    <sheet name="СПР Жим софт многопетельная" sheetId="29" r:id="rId16"/>
    <sheet name="СПР Жим СФО" sheetId="55" r:id="rId17"/>
    <sheet name="IPL Тяга без экипировки ДК" sheetId="14" r:id="rId18"/>
    <sheet name="IPL Тяга без экипировки" sheetId="13" r:id="rId19"/>
    <sheet name="СПР Пауэрспорт ДК" sheetId="24" r:id="rId20"/>
    <sheet name="СПР Пауэрспорт" sheetId="23" r:id="rId21"/>
    <sheet name="СПР Жим стоя ДК" sheetId="20" r:id="rId22"/>
    <sheet name="СПР Жим стоя" sheetId="19" r:id="rId23"/>
    <sheet name="СПР Подъем на бицепс ДК" sheetId="22" r:id="rId24"/>
    <sheet name="СПР Подъем на бицепс" sheetId="21" r:id="rId25"/>
    <sheet name="ФЖД Армейский жим двоеборье" sheetId="33" r:id="rId26"/>
    <sheet name="ФЖД Армейский жим макс.ДК" sheetId="35" r:id="rId27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55" l="1"/>
  <c r="K16" i="55"/>
  <c r="L13" i="55"/>
  <c r="K13" i="55"/>
  <c r="L10" i="55"/>
  <c r="K10" i="55"/>
  <c r="L7" i="55"/>
  <c r="K7" i="55"/>
  <c r="L6" i="55"/>
  <c r="K6" i="55"/>
  <c r="L6" i="35"/>
  <c r="K6" i="35"/>
  <c r="N9" i="33"/>
  <c r="M9" i="33"/>
  <c r="N6" i="33"/>
  <c r="M6" i="33"/>
  <c r="L6" i="30"/>
  <c r="K6" i="30"/>
  <c r="L10" i="29"/>
  <c r="K10" i="29"/>
  <c r="L7" i="29"/>
  <c r="K7" i="29"/>
  <c r="L6" i="29"/>
  <c r="K6" i="29"/>
  <c r="L34" i="28"/>
  <c r="K34" i="28"/>
  <c r="L31" i="28"/>
  <c r="K31" i="28"/>
  <c r="L28" i="28"/>
  <c r="K28" i="28"/>
  <c r="L27" i="28"/>
  <c r="K27" i="28"/>
  <c r="L24" i="28"/>
  <c r="K24" i="28"/>
  <c r="L23" i="28"/>
  <c r="K23" i="28"/>
  <c r="L20" i="28"/>
  <c r="K20" i="28"/>
  <c r="L19" i="28"/>
  <c r="K19" i="28"/>
  <c r="L16" i="28"/>
  <c r="K16" i="28"/>
  <c r="L13" i="28"/>
  <c r="K13" i="28"/>
  <c r="L12" i="28"/>
  <c r="K12" i="28"/>
  <c r="L9" i="28"/>
  <c r="K9" i="28"/>
  <c r="L6" i="28"/>
  <c r="K6" i="28"/>
  <c r="L7" i="27"/>
  <c r="K7" i="27"/>
  <c r="L6" i="27"/>
  <c r="K6" i="27"/>
  <c r="P18" i="24"/>
  <c r="O18" i="24"/>
  <c r="P15" i="24"/>
  <c r="O15" i="24"/>
  <c r="P12" i="24"/>
  <c r="O12" i="24"/>
  <c r="P9" i="24"/>
  <c r="O9" i="24"/>
  <c r="P6" i="24"/>
  <c r="O6" i="24"/>
  <c r="P7" i="23"/>
  <c r="O7" i="23"/>
  <c r="P6" i="23"/>
  <c r="O6" i="23"/>
  <c r="L31" i="22"/>
  <c r="K31" i="22"/>
  <c r="L28" i="22"/>
  <c r="K28" i="22"/>
  <c r="L25" i="22"/>
  <c r="K25" i="22"/>
  <c r="L22" i="22"/>
  <c r="K22" i="22"/>
  <c r="L19" i="22"/>
  <c r="K19" i="22"/>
  <c r="L16" i="22"/>
  <c r="K16" i="22"/>
  <c r="L15" i="22"/>
  <c r="K15" i="22"/>
  <c r="L12" i="22"/>
  <c r="K12" i="22"/>
  <c r="L9" i="22"/>
  <c r="K9" i="22"/>
  <c r="L6" i="22"/>
  <c r="K6" i="22"/>
  <c r="L12" i="21"/>
  <c r="K12" i="21"/>
  <c r="L9" i="21"/>
  <c r="K9" i="21"/>
  <c r="L6" i="21"/>
  <c r="K6" i="21"/>
  <c r="L9" i="20"/>
  <c r="K9" i="20"/>
  <c r="L6" i="20"/>
  <c r="K6" i="20"/>
  <c r="L9" i="19"/>
  <c r="K9" i="19"/>
  <c r="L6" i="19"/>
  <c r="K6" i="19"/>
  <c r="P6" i="18"/>
  <c r="O6" i="18"/>
  <c r="P9" i="17"/>
  <c r="O9" i="17"/>
  <c r="P6" i="17"/>
  <c r="O6" i="17"/>
  <c r="L6" i="16"/>
  <c r="K6" i="16"/>
  <c r="L6" i="15"/>
  <c r="K6" i="15"/>
  <c r="L26" i="14"/>
  <c r="K26" i="14"/>
  <c r="L25" i="14"/>
  <c r="K25" i="14"/>
  <c r="L22" i="14"/>
  <c r="K22" i="14"/>
  <c r="L19" i="14"/>
  <c r="K19" i="14"/>
  <c r="L16" i="14"/>
  <c r="K16" i="14"/>
  <c r="L13" i="14"/>
  <c r="K13" i="14"/>
  <c r="L10" i="14"/>
  <c r="K10" i="14"/>
  <c r="L9" i="14"/>
  <c r="K9" i="14"/>
  <c r="L6" i="14"/>
  <c r="K6" i="14"/>
  <c r="L17" i="13"/>
  <c r="K17" i="13"/>
  <c r="L16" i="13"/>
  <c r="K16" i="13"/>
  <c r="L15" i="13"/>
  <c r="K15" i="13"/>
  <c r="L12" i="13"/>
  <c r="K12" i="13"/>
  <c r="L9" i="13"/>
  <c r="K9" i="13"/>
  <c r="L6" i="13"/>
  <c r="K6" i="13"/>
  <c r="L6" i="12"/>
  <c r="K6" i="12"/>
  <c r="L6" i="11"/>
  <c r="K6" i="11"/>
  <c r="L53" i="10"/>
  <c r="K53" i="10"/>
  <c r="L52" i="10"/>
  <c r="K52" i="10"/>
  <c r="L51" i="10"/>
  <c r="K51" i="10"/>
  <c r="L48" i="10"/>
  <c r="L45" i="10"/>
  <c r="K45" i="10"/>
  <c r="L44" i="10"/>
  <c r="K44" i="10"/>
  <c r="L43" i="10"/>
  <c r="L42" i="10"/>
  <c r="K42" i="10"/>
  <c r="L41" i="10"/>
  <c r="K41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2" i="10"/>
  <c r="K22" i="10"/>
  <c r="L21" i="10"/>
  <c r="K21" i="10"/>
  <c r="L20" i="10"/>
  <c r="K20" i="10"/>
  <c r="L19" i="10"/>
  <c r="K19" i="10"/>
  <c r="L18" i="10"/>
  <c r="L15" i="10"/>
  <c r="K15" i="10"/>
  <c r="L12" i="10"/>
  <c r="K12" i="10"/>
  <c r="L9" i="10"/>
  <c r="K9" i="10"/>
  <c r="L6" i="10"/>
  <c r="K6" i="10"/>
  <c r="L43" i="9"/>
  <c r="K43" i="9"/>
  <c r="L42" i="9"/>
  <c r="K42" i="9"/>
  <c r="L39" i="9"/>
  <c r="K39" i="9"/>
  <c r="L38" i="9"/>
  <c r="K38" i="9"/>
  <c r="L37" i="9"/>
  <c r="K37" i="9"/>
  <c r="L36" i="9"/>
  <c r="K36" i="9"/>
  <c r="L33" i="9"/>
  <c r="K33" i="9"/>
  <c r="L32" i="9"/>
  <c r="K32" i="9"/>
  <c r="L29" i="9"/>
  <c r="K29" i="9"/>
  <c r="L28" i="9"/>
  <c r="K28" i="9"/>
  <c r="L25" i="9"/>
  <c r="K25" i="9"/>
  <c r="L24" i="9"/>
  <c r="L23" i="9"/>
  <c r="K23" i="9"/>
  <c r="L22" i="9"/>
  <c r="K22" i="9"/>
  <c r="L19" i="9"/>
  <c r="K19" i="9"/>
  <c r="L18" i="9"/>
  <c r="K18" i="9"/>
  <c r="L17" i="9"/>
  <c r="K17" i="9"/>
  <c r="L14" i="9"/>
  <c r="K14" i="9"/>
  <c r="L11" i="9"/>
  <c r="K11" i="9"/>
  <c r="L10" i="9"/>
  <c r="K10" i="9"/>
  <c r="L7" i="9"/>
  <c r="K7" i="9"/>
  <c r="L6" i="9"/>
  <c r="K6" i="9"/>
  <c r="T6" i="8"/>
  <c r="S6" i="8"/>
  <c r="E6" i="8"/>
  <c r="T7" i="7"/>
  <c r="S7" i="7"/>
  <c r="T6" i="7"/>
  <c r="S6" i="7"/>
  <c r="T36" i="6"/>
  <c r="S36" i="6"/>
  <c r="T33" i="6"/>
  <c r="S33" i="6"/>
  <c r="T30" i="6"/>
  <c r="S30" i="6"/>
  <c r="T29" i="6"/>
  <c r="S29" i="6"/>
  <c r="T28" i="6"/>
  <c r="S28" i="6"/>
  <c r="T25" i="6"/>
  <c r="S25" i="6"/>
  <c r="T22" i="6"/>
  <c r="S22" i="6"/>
  <c r="T21" i="6"/>
  <c r="S21" i="6"/>
  <c r="T18" i="6"/>
  <c r="T15" i="6"/>
  <c r="S15" i="6"/>
  <c r="T12" i="6"/>
  <c r="S12" i="6"/>
  <c r="T9" i="6"/>
  <c r="S9" i="6"/>
  <c r="T6" i="6"/>
  <c r="S6" i="6"/>
  <c r="T18" i="5"/>
  <c r="S18" i="5"/>
  <c r="T15" i="5"/>
  <c r="S15" i="5"/>
  <c r="T14" i="5"/>
  <c r="S14" i="5"/>
  <c r="T13" i="5"/>
  <c r="S13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<sst xmlns="http://schemas.openxmlformats.org/spreadsheetml/2006/main" count="2084" uniqueCount="567">
  <si>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</si>
  <si>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</si>
  <si>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</si>
  <si>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</si>
  <si>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</si>
  <si>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</si>
  <si>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Вес</t>
  </si>
  <si>
    <t>Повторы</t>
  </si>
  <si>
    <t>Собственный 
вес</t>
  </si>
  <si>
    <t>Wilks</t>
  </si>
  <si>
    <t>Город/Страна</t>
  </si>
  <si>
    <t>Приседание</t>
  </si>
  <si>
    <t>Жим лёжа</t>
  </si>
  <si>
    <t>Становая тяга</t>
  </si>
  <si>
    <t>ВЕСОВАЯ КАТЕГОРИЯ   75</t>
  </si>
  <si>
    <t>Курносова Юлия</t>
  </si>
  <si>
    <t>Открытая (09.01.1988)/34</t>
  </si>
  <si>
    <t>68,60</t>
  </si>
  <si>
    <t>65,0</t>
  </si>
  <si>
    <t>72,5</t>
  </si>
  <si>
    <t>75,0</t>
  </si>
  <si>
    <t>35,0</t>
  </si>
  <si>
    <t>42,5</t>
  </si>
  <si>
    <t>80,0</t>
  </si>
  <si>
    <t>85,0</t>
  </si>
  <si>
    <t>ВЕСОВАЯ КАТЕГОРИЯ   67.5</t>
  </si>
  <si>
    <t>Шишикин Илья</t>
  </si>
  <si>
    <t>Открытая (12.08.1993)/28</t>
  </si>
  <si>
    <t>66,30</t>
  </si>
  <si>
    <t>180,0</t>
  </si>
  <si>
    <t>185,0</t>
  </si>
  <si>
    <t>120,0</t>
  </si>
  <si>
    <t>130,0</t>
  </si>
  <si>
    <t>200,0</t>
  </si>
  <si>
    <t>210,0</t>
  </si>
  <si>
    <t>ВЕСОВАЯ КАТЕГОРИЯ   90</t>
  </si>
  <si>
    <t>Миронов Владислав</t>
  </si>
  <si>
    <t>Юноши 15-19 (29.04.2004)/17</t>
  </si>
  <si>
    <t>84,10</t>
  </si>
  <si>
    <t>115,0</t>
  </si>
  <si>
    <t>125,0</t>
  </si>
  <si>
    <t>90,0</t>
  </si>
  <si>
    <t>100,0</t>
  </si>
  <si>
    <t>140,0</t>
  </si>
  <si>
    <t>Никишин Самир</t>
  </si>
  <si>
    <t>Открытая (14.04.1997)/24</t>
  </si>
  <si>
    <t>89,50</t>
  </si>
  <si>
    <t>220,0</t>
  </si>
  <si>
    <t>235,0</t>
  </si>
  <si>
    <t>155,0</t>
  </si>
  <si>
    <t>165,0</t>
  </si>
  <si>
    <t>170,0</t>
  </si>
  <si>
    <t>280,0</t>
  </si>
  <si>
    <t>300,0</t>
  </si>
  <si>
    <t xml:space="preserve">Сакгиев Р. </t>
  </si>
  <si>
    <t>Ковалев Максим</t>
  </si>
  <si>
    <t>Открытая (07.02.1995)/27</t>
  </si>
  <si>
    <t>88,70</t>
  </si>
  <si>
    <t>215,0</t>
  </si>
  <si>
    <t>160,0</t>
  </si>
  <si>
    <t>167,5</t>
  </si>
  <si>
    <t>175,0</t>
  </si>
  <si>
    <t>245,0</t>
  </si>
  <si>
    <t>255,0</t>
  </si>
  <si>
    <t>265,0</t>
  </si>
  <si>
    <t>Исаев Андрей</t>
  </si>
  <si>
    <t>95,0</t>
  </si>
  <si>
    <t>105,0</t>
  </si>
  <si>
    <t>135,0</t>
  </si>
  <si>
    <t>ВЕСОВАЯ КАТЕГОРИЯ   100</t>
  </si>
  <si>
    <t>Дыга Виталий</t>
  </si>
  <si>
    <t>Открытая (11.05.1989)/32</t>
  </si>
  <si>
    <t>97,50</t>
  </si>
  <si>
    <t>270,0</t>
  </si>
  <si>
    <t>290,0</t>
  </si>
  <si>
    <t>190,0</t>
  </si>
  <si>
    <t>310,0</t>
  </si>
  <si>
    <t>195,0</t>
  </si>
  <si>
    <t>1</t>
  </si>
  <si>
    <t/>
  </si>
  <si>
    <t>2</t>
  </si>
  <si>
    <t>ВЕСОВАЯ КАТЕГОРИЯ   56</t>
  </si>
  <si>
    <t>Наквакина Алёна</t>
  </si>
  <si>
    <t>Открытая (04.09.1993)/28</t>
  </si>
  <si>
    <t>52,90</t>
  </si>
  <si>
    <t>82,5</t>
  </si>
  <si>
    <t>40,0</t>
  </si>
  <si>
    <t>45,0</t>
  </si>
  <si>
    <t>ВЕСОВАЯ КАТЕГОРИЯ   60</t>
  </si>
  <si>
    <t>Бурочкина Мария</t>
  </si>
  <si>
    <t>Открытая (24.02.1990)/32</t>
  </si>
  <si>
    <t>58,70</t>
  </si>
  <si>
    <t>87,5</t>
  </si>
  <si>
    <t>50,0</t>
  </si>
  <si>
    <t>55,0</t>
  </si>
  <si>
    <t>57,5</t>
  </si>
  <si>
    <t>107,5</t>
  </si>
  <si>
    <t>ВЕСОВАЯ КАТЕГОРИЯ   82.5</t>
  </si>
  <si>
    <t>Чиркова Елена</t>
  </si>
  <si>
    <t>Открытая (16.05.1989)/32</t>
  </si>
  <si>
    <t>81,20</t>
  </si>
  <si>
    <t>60,0</t>
  </si>
  <si>
    <t>62,5</t>
  </si>
  <si>
    <t>150,0</t>
  </si>
  <si>
    <t>162,5</t>
  </si>
  <si>
    <t>Кутузов Никита</t>
  </si>
  <si>
    <t>Юноши 15-19 (07.07.2006)/15</t>
  </si>
  <si>
    <t>58,50</t>
  </si>
  <si>
    <t>70,0</t>
  </si>
  <si>
    <t>110,0</t>
  </si>
  <si>
    <t>Карякин Иван</t>
  </si>
  <si>
    <t>Юноши 15-19 (21.09.2005)/16</t>
  </si>
  <si>
    <t>65,80</t>
  </si>
  <si>
    <t>Чернявский Вадим</t>
  </si>
  <si>
    <t>80,30</t>
  </si>
  <si>
    <t xml:space="preserve">Егорова О. </t>
  </si>
  <si>
    <t>Кузнецов Павел</t>
  </si>
  <si>
    <t>Открытая (11.01.1989)/33</t>
  </si>
  <si>
    <t>81,00</t>
  </si>
  <si>
    <t>182,5</t>
  </si>
  <si>
    <t>187,5</t>
  </si>
  <si>
    <t>117,5</t>
  </si>
  <si>
    <t>122,5</t>
  </si>
  <si>
    <t>Дементьев Илья</t>
  </si>
  <si>
    <t>Юноши 15-19 (02.08.2005)/16</t>
  </si>
  <si>
    <t>86,90</t>
  </si>
  <si>
    <t>Бычковский Арсений</t>
  </si>
  <si>
    <t>Юноши 15-19 (29.06.2004)/17</t>
  </si>
  <si>
    <t>90,60</t>
  </si>
  <si>
    <t>145,0</t>
  </si>
  <si>
    <t>Кузеванов Дмитрий</t>
  </si>
  <si>
    <t>92,60</t>
  </si>
  <si>
    <t>Тресков Виктор</t>
  </si>
  <si>
    <t>Открытая (06.01.1971)/51</t>
  </si>
  <si>
    <t>97,80</t>
  </si>
  <si>
    <t>230,0</t>
  </si>
  <si>
    <t>250,0</t>
  </si>
  <si>
    <t>ВЕСОВАЯ КАТЕГОРИЯ   110</t>
  </si>
  <si>
    <t>Зайцев Владимир</t>
  </si>
  <si>
    <t>102,40</t>
  </si>
  <si>
    <t>ВЕСОВАЯ КАТЕГОРИЯ   125</t>
  </si>
  <si>
    <t>Крыцков Николай</t>
  </si>
  <si>
    <t>Открытая (19.06.1982)/39</t>
  </si>
  <si>
    <t>120,90</t>
  </si>
  <si>
    <t>240,0</t>
  </si>
  <si>
    <t>260,0</t>
  </si>
  <si>
    <t>217,5</t>
  </si>
  <si>
    <t>275,0</t>
  </si>
  <si>
    <t>-</t>
  </si>
  <si>
    <t>Лазарев Вячеслав</t>
  </si>
  <si>
    <t>97,30</t>
  </si>
  <si>
    <t>Емельянов Александр</t>
  </si>
  <si>
    <t>Открытая (21.08.1981)/40</t>
  </si>
  <si>
    <t>98,30</t>
  </si>
  <si>
    <t>152,5</t>
  </si>
  <si>
    <t>Сюсин Иван</t>
  </si>
  <si>
    <t>Открытая (18.01.1996)/26</t>
  </si>
  <si>
    <t>67,50</t>
  </si>
  <si>
    <t>127,5</t>
  </si>
  <si>
    <t>192,5</t>
  </si>
  <si>
    <t>197,5</t>
  </si>
  <si>
    <t>Хитрина Дарья</t>
  </si>
  <si>
    <t>Девушки 15-19 (25.07.2011)/10</t>
  </si>
  <si>
    <t>60,50</t>
  </si>
  <si>
    <t>32,5</t>
  </si>
  <si>
    <t>37,5</t>
  </si>
  <si>
    <t>Варакина Екатерина</t>
  </si>
  <si>
    <t>Открытая (14.07.1995)/26</t>
  </si>
  <si>
    <t>67,40</t>
  </si>
  <si>
    <t>Захарова Екатерина</t>
  </si>
  <si>
    <t>Открытая (01.08.1975)/46</t>
  </si>
  <si>
    <t>77,10</t>
  </si>
  <si>
    <t>ВЕСОВАЯ КАТЕГОРИЯ   52</t>
  </si>
  <si>
    <t>Кулешов Никита</t>
  </si>
  <si>
    <t>Юноши 15-19 (06.03.2008)/14</t>
  </si>
  <si>
    <t>40,50</t>
  </si>
  <si>
    <t>Таиров Дамир</t>
  </si>
  <si>
    <t>Юноши 15-19 (23.05.2005)/16</t>
  </si>
  <si>
    <t>70,90</t>
  </si>
  <si>
    <t>Аптекашев Никита</t>
  </si>
  <si>
    <t>Юноши 15-19 (14.04.2004)/17</t>
  </si>
  <si>
    <t>71,20</t>
  </si>
  <si>
    <t>Титов Алексей</t>
  </si>
  <si>
    <t>Открытая (28.01.1983)/39</t>
  </si>
  <si>
    <t>72,60</t>
  </si>
  <si>
    <t>132,5</t>
  </si>
  <si>
    <t>Плотников Владимир</t>
  </si>
  <si>
    <t>Открытая (24.06.1981)/40</t>
  </si>
  <si>
    <t>81,40</t>
  </si>
  <si>
    <t>Орехов Александр</t>
  </si>
  <si>
    <t>Открытая (22.07.1994)/27</t>
  </si>
  <si>
    <t>142,5</t>
  </si>
  <si>
    <t>Щербинин Александр</t>
  </si>
  <si>
    <t>Открытая (07.05.1987)/34</t>
  </si>
  <si>
    <t>81,30</t>
  </si>
  <si>
    <t>Ковалев Анатолий</t>
  </si>
  <si>
    <t>Мастера 80+ (11.08.1936)/85</t>
  </si>
  <si>
    <t>82,00</t>
  </si>
  <si>
    <t>Гусейнов Игорь</t>
  </si>
  <si>
    <t>Открытая (06.05.1988)/33</t>
  </si>
  <si>
    <t>88,50</t>
  </si>
  <si>
    <t>Шмелев Вячеслав</t>
  </si>
  <si>
    <t>88,10</t>
  </si>
  <si>
    <t>Прохода Андрей</t>
  </si>
  <si>
    <t>Открытая (24.04.1983)/38</t>
  </si>
  <si>
    <t>97,20</t>
  </si>
  <si>
    <t>Михин Михаил</t>
  </si>
  <si>
    <t>96,20</t>
  </si>
  <si>
    <t xml:space="preserve">Гаржа Л. </t>
  </si>
  <si>
    <t>Синельник Александр</t>
  </si>
  <si>
    <t>Открытая (14.10.1988)/33</t>
  </si>
  <si>
    <t>108,10</t>
  </si>
  <si>
    <t>Стецко Юрий</t>
  </si>
  <si>
    <t>Открытая (02.04.1986)/35</t>
  </si>
  <si>
    <t>109,90</t>
  </si>
  <si>
    <t>Потапов Денис</t>
  </si>
  <si>
    <t>Открытая (05.02.1990)/32</t>
  </si>
  <si>
    <t>107,90</t>
  </si>
  <si>
    <t>Захаров Виктор</t>
  </si>
  <si>
    <t>101,20</t>
  </si>
  <si>
    <t>Кулагин Андрей</t>
  </si>
  <si>
    <t>Открытая (19.09.1978)/43</t>
  </si>
  <si>
    <t>115,40</t>
  </si>
  <si>
    <t>225,0</t>
  </si>
  <si>
    <t>232,5</t>
  </si>
  <si>
    <t>237,5</t>
  </si>
  <si>
    <t>Результат</t>
  </si>
  <si>
    <t>3</t>
  </si>
  <si>
    <t>Замятина Наталья</t>
  </si>
  <si>
    <t>Открытая (14.04.1980)/41</t>
  </si>
  <si>
    <t>67,30</t>
  </si>
  <si>
    <t>Чернева Марина</t>
  </si>
  <si>
    <t>82,50</t>
  </si>
  <si>
    <t>Акбашев Эмиль</t>
  </si>
  <si>
    <t>Юноши 15-19 (06.03.2003)/19</t>
  </si>
  <si>
    <t>58,30</t>
  </si>
  <si>
    <t>97,5</t>
  </si>
  <si>
    <t>Соловьев Денис</t>
  </si>
  <si>
    <t>Юноши 15-19 (13.09.2004)/17</t>
  </si>
  <si>
    <t>74,10</t>
  </si>
  <si>
    <t>Власов Александр</t>
  </si>
  <si>
    <t>147,5</t>
  </si>
  <si>
    <t>Фоломеев Дмитрий</t>
  </si>
  <si>
    <t>Открытая (05.02.1981)/41</t>
  </si>
  <si>
    <t>73,90</t>
  </si>
  <si>
    <t>Жилютов Александр</t>
  </si>
  <si>
    <t>Открытая (05.04.1995)/26</t>
  </si>
  <si>
    <t>69,30</t>
  </si>
  <si>
    <t>Сокольников Николай</t>
  </si>
  <si>
    <t>74,20</t>
  </si>
  <si>
    <t>137,5</t>
  </si>
  <si>
    <t>Ошков Александр</t>
  </si>
  <si>
    <t>Юноши 15-19 (26.11.2003)/18</t>
  </si>
  <si>
    <t>80,50</t>
  </si>
  <si>
    <t>Осипов Алексей</t>
  </si>
  <si>
    <t>Открытая (21.07.1993)/28</t>
  </si>
  <si>
    <t>80,20</t>
  </si>
  <si>
    <t>Арзютов Илья</t>
  </si>
  <si>
    <t>Открытая (23.08.1985)/36</t>
  </si>
  <si>
    <t>81,60</t>
  </si>
  <si>
    <t>Аистов Артем</t>
  </si>
  <si>
    <t>Открытая (11.05.1996)/25</t>
  </si>
  <si>
    <t>80,60</t>
  </si>
  <si>
    <t>Федосеев Олег</t>
  </si>
  <si>
    <t>Открытая (05.04.1994)/27</t>
  </si>
  <si>
    <t>112,5</t>
  </si>
  <si>
    <t>Олейник Илья</t>
  </si>
  <si>
    <t>84,00</t>
  </si>
  <si>
    <t>Севрюков Евгений</t>
  </si>
  <si>
    <t>Открытая (08.07.1991)/30</t>
  </si>
  <si>
    <t>85,50</t>
  </si>
  <si>
    <t>202,5</t>
  </si>
  <si>
    <t>Карпухин Павел</t>
  </si>
  <si>
    <t>Открытая (16.10.1987)/34</t>
  </si>
  <si>
    <t>88,30</t>
  </si>
  <si>
    <t>Безовчук Антон</t>
  </si>
  <si>
    <t>Открытая (22.09.1985)/36</t>
  </si>
  <si>
    <t>85,40</t>
  </si>
  <si>
    <t>Максимов Виктор</t>
  </si>
  <si>
    <t>89,00</t>
  </si>
  <si>
    <t>Кошелев Александр</t>
  </si>
  <si>
    <t>88,20</t>
  </si>
  <si>
    <t>92,5</t>
  </si>
  <si>
    <t>102,5</t>
  </si>
  <si>
    <t>Бондаренко Максим</t>
  </si>
  <si>
    <t>Открытая (11.02.1993)/29</t>
  </si>
  <si>
    <t>Бутыркин Артем</t>
  </si>
  <si>
    <t>Открытая (08.04.1988)/33</t>
  </si>
  <si>
    <t>98,80</t>
  </si>
  <si>
    <t>Плотников Герман</t>
  </si>
  <si>
    <t>Открытая (08.05.1976)/45</t>
  </si>
  <si>
    <t>97,60</t>
  </si>
  <si>
    <t>177,5</t>
  </si>
  <si>
    <t>Мирзахметов Вадим</t>
  </si>
  <si>
    <t>99,10</t>
  </si>
  <si>
    <t>Агеев Дмитрий</t>
  </si>
  <si>
    <t>Открытая (30.01.1989)/33</t>
  </si>
  <si>
    <t>107,20</t>
  </si>
  <si>
    <t>Адамов Владимир</t>
  </si>
  <si>
    <t>Открытая (25.04.1986)/35</t>
  </si>
  <si>
    <t>121,70</t>
  </si>
  <si>
    <t>Тимофеев Александр</t>
  </si>
  <si>
    <t>Открытая (19.12.1994)/27</t>
  </si>
  <si>
    <t>114,80</t>
  </si>
  <si>
    <t>Бутузов Сергей</t>
  </si>
  <si>
    <t>115,50</t>
  </si>
  <si>
    <t>4</t>
  </si>
  <si>
    <t>5</t>
  </si>
  <si>
    <t>Яковлев Максим</t>
  </si>
  <si>
    <t>Открытая (17.06.1982)/39</t>
  </si>
  <si>
    <t>86,00</t>
  </si>
  <si>
    <t>Бакунц Гагик</t>
  </si>
  <si>
    <t>Открытая (22.03.1990)/32</t>
  </si>
  <si>
    <t>118,00</t>
  </si>
  <si>
    <t>Есин Иван</t>
  </si>
  <si>
    <t>Мастера 80+ (25.12.1938)/83</t>
  </si>
  <si>
    <t>71,80</t>
  </si>
  <si>
    <t>Мельников Павел</t>
  </si>
  <si>
    <t>Открытая (24.01.1991)/31</t>
  </si>
  <si>
    <t>79,10</t>
  </si>
  <si>
    <t>Нефедов Максим</t>
  </si>
  <si>
    <t>Открытая (07.11.1986)/35</t>
  </si>
  <si>
    <t>87,60</t>
  </si>
  <si>
    <t>205,0</t>
  </si>
  <si>
    <t>Елютин Андрей</t>
  </si>
  <si>
    <t>Открытая (13.02.1986)/36</t>
  </si>
  <si>
    <t>109,00</t>
  </si>
  <si>
    <t>285,0</t>
  </si>
  <si>
    <t>Колычин Дмитрий</t>
  </si>
  <si>
    <t>Открытая (26.11.1981)/40</t>
  </si>
  <si>
    <t>110,00</t>
  </si>
  <si>
    <t xml:space="preserve">Луговой А. </t>
  </si>
  <si>
    <t>Новлянский Виктор</t>
  </si>
  <si>
    <t>212,5</t>
  </si>
  <si>
    <t xml:space="preserve">Гераймас А. </t>
  </si>
  <si>
    <t>Самойленко Яна</t>
  </si>
  <si>
    <t>Открытая (22.05.1997)/24</t>
  </si>
  <si>
    <t>58,60</t>
  </si>
  <si>
    <t>Кнутова Татьяна</t>
  </si>
  <si>
    <t>Открытая (16.06.1972)/49</t>
  </si>
  <si>
    <t>172,5</t>
  </si>
  <si>
    <t>Давыдов Евгений</t>
  </si>
  <si>
    <t>Открытая (24.09.1996)/25</t>
  </si>
  <si>
    <t>75,00</t>
  </si>
  <si>
    <t xml:space="preserve">Гугняков А. </t>
  </si>
  <si>
    <t>Пузин Максим</t>
  </si>
  <si>
    <t>Открытая (23.09.1986)/35</t>
  </si>
  <si>
    <t>Ахметзянов Игорь</t>
  </si>
  <si>
    <t>Юноши 15-19 (11.09.2005)/16</t>
  </si>
  <si>
    <t>85,20</t>
  </si>
  <si>
    <t>Губанов Александр</t>
  </si>
  <si>
    <t>Гафаров Азат</t>
  </si>
  <si>
    <t>Юноши 15-19 (01.06.2004)/17</t>
  </si>
  <si>
    <t>76,80</t>
  </si>
  <si>
    <t xml:space="preserve">Ильясов М. </t>
  </si>
  <si>
    <t>Кузнецов Сергей</t>
  </si>
  <si>
    <t>Открытая (04.05.1994)/27</t>
  </si>
  <si>
    <t>Жим стоя</t>
  </si>
  <si>
    <t>Хомяков Виталий</t>
  </si>
  <si>
    <t>Открытая (19.05.1996)/25</t>
  </si>
  <si>
    <t>120,40</t>
  </si>
  <si>
    <t>Веткин Павел</t>
  </si>
  <si>
    <t>Открытая (16.04.1989)/32</t>
  </si>
  <si>
    <t>73,20</t>
  </si>
  <si>
    <t>77,5</t>
  </si>
  <si>
    <t>52,5</t>
  </si>
  <si>
    <t>Семенов Андрей</t>
  </si>
  <si>
    <t>81,90</t>
  </si>
  <si>
    <t>67,5</t>
  </si>
  <si>
    <t>Алмосов Илья</t>
  </si>
  <si>
    <t>Открытая (07.12.1982)/39</t>
  </si>
  <si>
    <t>59,60</t>
  </si>
  <si>
    <t>47,5</t>
  </si>
  <si>
    <t>Чемидронов Александр</t>
  </si>
  <si>
    <t>96,40</t>
  </si>
  <si>
    <t>Горожанина Ольга</t>
  </si>
  <si>
    <t>Открытая (05.11.1983)/38</t>
  </si>
  <si>
    <t>56,00</t>
  </si>
  <si>
    <t>27,5</t>
  </si>
  <si>
    <t>30,0</t>
  </si>
  <si>
    <t>25,0</t>
  </si>
  <si>
    <t>Расеев Никита</t>
  </si>
  <si>
    <t>65,70</t>
  </si>
  <si>
    <t>61,0</t>
  </si>
  <si>
    <t>62,0</t>
  </si>
  <si>
    <t>Открытая (23.05.2005)/16</t>
  </si>
  <si>
    <t>Сидоров Дмитрий</t>
  </si>
  <si>
    <t>Открытая (29.03.1988)/33</t>
  </si>
  <si>
    <t>89,80</t>
  </si>
  <si>
    <t>83,0</t>
  </si>
  <si>
    <t>Пожидаев Олег</t>
  </si>
  <si>
    <t>Открытая (25.06.1992)/29</t>
  </si>
  <si>
    <t>122,50</t>
  </si>
  <si>
    <t>Кублицкий Александр</t>
  </si>
  <si>
    <t>Гильмутдинов Руслан</t>
  </si>
  <si>
    <t>Открытая (08.01.1991)/31</t>
  </si>
  <si>
    <t>Борисов Дмитрий</t>
  </si>
  <si>
    <t>94,70</t>
  </si>
  <si>
    <t>Усачев Илья</t>
  </si>
  <si>
    <t>Открытая (26.01.1986)/36</t>
  </si>
  <si>
    <t>109,60</t>
  </si>
  <si>
    <t>Матвеев Александр</t>
  </si>
  <si>
    <t>77,80</t>
  </si>
  <si>
    <t>Луценко Сергей</t>
  </si>
  <si>
    <t>73,30</t>
  </si>
  <si>
    <t>Пархоменко Максим</t>
  </si>
  <si>
    <t>Открытая (21.09.1993)/28</t>
  </si>
  <si>
    <t>86,80</t>
  </si>
  <si>
    <t>Хитрин Дмитрий</t>
  </si>
  <si>
    <t>282,5</t>
  </si>
  <si>
    <t>Мифтахов Рустам</t>
  </si>
  <si>
    <t>Открытая (08.03.1985)/37</t>
  </si>
  <si>
    <t>320,0</t>
  </si>
  <si>
    <t>Грищенко Андрей</t>
  </si>
  <si>
    <t>Открытая (19.06.1996)/25</t>
  </si>
  <si>
    <t>88,90</t>
  </si>
  <si>
    <t>ВЕСОВАЯ КАТЕГОРИЯ   80</t>
  </si>
  <si>
    <t>Черняев Дмитрий</t>
  </si>
  <si>
    <t>Открытая (14.05.1985)/36</t>
  </si>
  <si>
    <t>73,40</t>
  </si>
  <si>
    <t>Попов Антон</t>
  </si>
  <si>
    <t>66,00</t>
  </si>
  <si>
    <t>Воровкин Максим</t>
  </si>
  <si>
    <t>Мастера 40-49 (31.03.1980)/41</t>
  </si>
  <si>
    <t>65,30</t>
  </si>
  <si>
    <t>Гугняков Александр</t>
  </si>
  <si>
    <t>Мастера 40-49 (17.09.1974)/47</t>
  </si>
  <si>
    <t>72,90</t>
  </si>
  <si>
    <t>157,5</t>
  </si>
  <si>
    <t>Титов Андрей</t>
  </si>
  <si>
    <t>Мастера 40-49 (15.11.1977)/44</t>
  </si>
  <si>
    <t>106,00</t>
  </si>
  <si>
    <t>ВЕСОВАЯ КАТЕГОРИЯ   140+</t>
  </si>
  <si>
    <t>Сурков Алексей</t>
  </si>
  <si>
    <t>Мастера 40-49 (15.08.1978)/43</t>
  </si>
  <si>
    <t>146,00</t>
  </si>
  <si>
    <t xml:space="preserve">Губанов А. </t>
  </si>
  <si>
    <t>Открытый Кубок Евразии
СПР Жим лежа среди спортсменов с физическими особенностями
Самара/Самарская область, 25-27 марта 2022 года</t>
  </si>
  <si>
    <t>Открытый Кубок Евразии
ФЖД Армейский жим на максимум ДК
Самара/Самарская область, 25-27 марта 2022 года</t>
  </si>
  <si>
    <t>Открытый Кубок Евразии
ФЖД Армейский жим двоеборье
Самара/Самарская область, 25-27 марта 2022 года</t>
  </si>
  <si>
    <t>Открытый Кубок Евразии
СПР Пауэрспорт ДК
Самара/Самарская область, 25-27 марта 2022 года</t>
  </si>
  <si>
    <t>Открытый Кубок Евразии
СПР Пауэрспорт
Самара/Самарская область, 25-27 марта 2022 года</t>
  </si>
  <si>
    <t>Открытый Кубок Евразии
СПР Строгий подъем штанги на бицепс ДК
Самара/Самарская область, 25-27 марта 2022 года</t>
  </si>
  <si>
    <t>Открытый Кубок Евразии
СПР Строгий подъем штанги на бицепс
Самара/Самарская область, 25-27 марта 2022 года</t>
  </si>
  <si>
    <t>Открытый Кубок Евразии
СПР Жим штанги стоя ДК
Самара/Самарская область, 25-27 марта 2022 года</t>
  </si>
  <si>
    <t>Открытый Кубок Евразии
СПР Жим штанги стоя
Самара/Самарская область, 25-27 марта 2022 года</t>
  </si>
  <si>
    <t>Открытый Кубок Евразии
IPL Силовое двоеборье без экипировки ДК
Самара/Самарская область, 25-27 марта 2022 года</t>
  </si>
  <si>
    <t>Открытый Кубок Евразии
IPL Силовое двоеборье без экипировки
Самара/Самарская область, 25-27 марта 2022 года</t>
  </si>
  <si>
    <t>Открытый Кубок Евразии
IPL Присед без экипировки ДК
Самара/Самарская область, 25-27 марта 2022 года</t>
  </si>
  <si>
    <t>Открытый Кубок Евразии
IPL Присед без экипировки
Самара/Самарская область, 25-27 марта 2022 года</t>
  </si>
  <si>
    <t>Открытый Кубок Евразии
IPL Становая тяга без экипировки ДК
Самара/Самарская область, 25-27 марта 2022 года</t>
  </si>
  <si>
    <t>Открытый Кубок Евразии
IPL Становая тяга без экипировки
Самара/Самарская область, 25-27 марта 2022 года</t>
  </si>
  <si>
    <t>Открытый Кубок Евразии
IPL Жим лежа в однослойной экипировке ДК
Самара/Самарская область, 25-27 марта 2022 года</t>
  </si>
  <si>
    <t>Открытый Кубок Евразии
IPL Жим лежа в однослойной экипировке
Самара/Самарская область, 25-27 марта 2022 года</t>
  </si>
  <si>
    <t>Открытый Кубок Евразии
IPL Жим лежа без экипировки ДК
Самара/Самарская область, 25-27 марта 2022 года</t>
  </si>
  <si>
    <t>Открытый Кубок Евразии
IPL Жим лежа без экипировки
Самара/Самарская область, 25-27 марта 2022 года</t>
  </si>
  <si>
    <t>Открытый Кубок Евразии
IPL Пауэрлифтинг в бинтах ДК
Самара/Самарская область, 25-27 марта 2022 года</t>
  </si>
  <si>
    <t>Открытый Кубок Евразии
IPL Пауэрлифтинг в бинтах
Самара/Самарская область, 25-27 марта 2022 года</t>
  </si>
  <si>
    <t>Открытый Кубок Евразии
IPL Пауэрлифтинг без экипировки ДК
Самара/Самарская область, 25-27 марта 2022 года</t>
  </si>
  <si>
    <t>Открытый Кубок Евразии
IPL Пауэрлифтинг без экипировки
Самара/Самарская область, 25-27 марта 2022 года</t>
  </si>
  <si>
    <t>Мастера 40-44 (15.10.1980)/41</t>
  </si>
  <si>
    <t>Мастера 40-44 (18.09.1981)/40</t>
  </si>
  <si>
    <t>Мастера 50-59 (27.09.1970)/51</t>
  </si>
  <si>
    <t>Юноши 13-19 (01.08.2002)/19</t>
  </si>
  <si>
    <t>Мастера 40-49 (26.02.1977)/45</t>
  </si>
  <si>
    <t>Мастера 40-49 (14.03.1974)/48</t>
  </si>
  <si>
    <t>Мастера 40-49 (04.05.1977)/44</t>
  </si>
  <si>
    <t>Мастера 40-49 (18.09.1981)/40</t>
  </si>
  <si>
    <t>Юноши 13-19 (23.05.2005)/16</t>
  </si>
  <si>
    <t>Юноши 13-19 (24.02.2003)/19</t>
  </si>
  <si>
    <t>Мастера 50-59 (07.09.1963)/58</t>
  </si>
  <si>
    <t>Мастера 70-74 (06.02.1951)/71</t>
  </si>
  <si>
    <t>Юниоры 20-23 (04.08.1998)/23</t>
  </si>
  <si>
    <t>Мастера 45-49 (16.06.1972)/49</t>
  </si>
  <si>
    <t>Мастера 55-59 (01.11.1965)/56</t>
  </si>
  <si>
    <t>Мастера 50-54 (27.09.1970)/51</t>
  </si>
  <si>
    <t>Юниоры 20-23 (18.10.1998)/23</t>
  </si>
  <si>
    <t>Мастера 50-54 (24.10.1970)/51</t>
  </si>
  <si>
    <t>Юниоры 20-23 (15.12.1999)/22</t>
  </si>
  <si>
    <t>Мастера 45-49 (25.03.1975)/47</t>
  </si>
  <si>
    <t>Мастера 45-49 (16.09.1975)/46</t>
  </si>
  <si>
    <t>Мастера 45-49 (08.05.1976)/45</t>
  </si>
  <si>
    <t>Мастера 40-44 (29.11.1981)/40</t>
  </si>
  <si>
    <t>Мастера 45-49 (01.08.1975)/46</t>
  </si>
  <si>
    <t>Мастера 40-44 (13.01.1980)/42</t>
  </si>
  <si>
    <t>Мастера 50-54 (21.07.1969)/52</t>
  </si>
  <si>
    <t>Мастера 45-49 (09.10.1976)/45</t>
  </si>
  <si>
    <t>Мастера 40-44 (19.09.1978)/43</t>
  </si>
  <si>
    <t>Юниоры 20-23 (21.05.1998)/23</t>
  </si>
  <si>
    <t>Юниоры 20-23 (01.11.2001)/20</t>
  </si>
  <si>
    <t>Мастера 70-74 (02.11.1949)/72</t>
  </si>
  <si>
    <t>Мастера 50-54 (30.03.1970)/51</t>
  </si>
  <si>
    <t>Гугняков А.</t>
  </si>
  <si>
    <t xml:space="preserve">Замятин И. </t>
  </si>
  <si>
    <t xml:space="preserve">Колосков В. </t>
  </si>
  <si>
    <t xml:space="preserve">Стецко Ю. </t>
  </si>
  <si>
    <t xml:space="preserve">Тимофеев Д. </t>
  </si>
  <si>
    <t xml:space="preserve">Пальцев Р. </t>
  </si>
  <si>
    <t xml:space="preserve">Аверьянов В. </t>
  </si>
  <si>
    <t xml:space="preserve">Лученинов С. </t>
  </si>
  <si>
    <t xml:space="preserve">Хитрин Д. </t>
  </si>
  <si>
    <t>Суслов Н.</t>
  </si>
  <si>
    <t xml:space="preserve">Кузеев В. </t>
  </si>
  <si>
    <t xml:space="preserve">Абдуллин М. </t>
  </si>
  <si>
    <t xml:space="preserve">Замятин И.  </t>
  </si>
  <si>
    <t xml:space="preserve">Ошков С. </t>
  </si>
  <si>
    <t xml:space="preserve">Кулагин А. </t>
  </si>
  <si>
    <t xml:space="preserve">Новлянский В. </t>
  </si>
  <si>
    <t>Тресков В.</t>
  </si>
  <si>
    <t xml:space="preserve">Кучин И. </t>
  </si>
  <si>
    <t xml:space="preserve">Дёмин Р. </t>
  </si>
  <si>
    <t xml:space="preserve">Трухтанов П. </t>
  </si>
  <si>
    <t xml:space="preserve">Мельников В. </t>
  </si>
  <si>
    <t xml:space="preserve">Графов Д. </t>
  </si>
  <si>
    <t xml:space="preserve">Трухтанов П.  </t>
  </si>
  <si>
    <t xml:space="preserve">Черняев Д. </t>
  </si>
  <si>
    <t xml:space="preserve">Тресков В. </t>
  </si>
  <si>
    <t xml:space="preserve">Образцов С. </t>
  </si>
  <si>
    <t>Открытый Кубок Евразии
СПР Жим лежа в многопетельной софт экипировке ДК
Самара/Самарская область, 25-27 марта 2022 года</t>
  </si>
  <si>
    <t>Открытый Кубок Евразии
СПР Жим лежа в многопетельной софт экипировке
Самара/Самарская область, 25-27 марта 2022 года</t>
  </si>
  <si>
    <t>Открытый Кубок Евразии
СПР Жим лежа в однопетельной софт экипировке ДК
Самара/Самарская область, 25-27 марта 2022 года</t>
  </si>
  <si>
    <t>Открытый Кубок Евразии
СПР Жим лежа в однопетельной софт экипировке
Самара/Самарская область, 25-27 марта 2022 года</t>
  </si>
  <si>
    <t xml:space="preserve">Брославский В. </t>
  </si>
  <si>
    <t>Многоповторный жим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</si>
  <si>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</si>
  <si>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</si>
  <si>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</si>
  <si>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</si>
  <si>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</si>
  <si>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</si>
  <si>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 xml:space="preserve">Самара </t>
  </si>
  <si>
    <t xml:space="preserve">  Оренбург </t>
  </si>
  <si>
    <t xml:space="preserve">Тольятти </t>
  </si>
  <si>
    <t xml:space="preserve"> Оренбург </t>
  </si>
  <si>
    <t xml:space="preserve">Пенза </t>
  </si>
  <si>
    <t xml:space="preserve">Туймазы </t>
  </si>
  <si>
    <t xml:space="preserve">Набережные Челны </t>
  </si>
  <si>
    <t xml:space="preserve">Сарапул </t>
  </si>
  <si>
    <t xml:space="preserve">Димитровград </t>
  </si>
  <si>
    <t xml:space="preserve">Ульяновск </t>
  </si>
  <si>
    <t xml:space="preserve">Сызрань </t>
  </si>
  <si>
    <t xml:space="preserve">Волжск </t>
  </si>
  <si>
    <t xml:space="preserve">Чапаевск </t>
  </si>
  <si>
    <t xml:space="preserve">Сорочинск </t>
  </si>
  <si>
    <t xml:space="preserve">Саратов </t>
  </si>
  <si>
    <t xml:space="preserve">Тверь </t>
  </si>
  <si>
    <t xml:space="preserve"> Инза </t>
  </si>
  <si>
    <t xml:space="preserve">Зеленодольск </t>
  </si>
  <si>
    <t xml:space="preserve"> Ульяновск </t>
  </si>
  <si>
    <t xml:space="preserve">Октябрьский </t>
  </si>
  <si>
    <t xml:space="preserve"> Тоцкое </t>
  </si>
  <si>
    <t xml:space="preserve"> Самара </t>
  </si>
  <si>
    <t xml:space="preserve"> Сызрань </t>
  </si>
  <si>
    <t xml:space="preserve">Москва </t>
  </si>
  <si>
    <t xml:space="preserve"> Дюртюли </t>
  </si>
  <si>
    <t xml:space="preserve"> Новокуйбышевск </t>
  </si>
  <si>
    <t xml:space="preserve">Новокуйбышевск </t>
  </si>
  <si>
    <t xml:space="preserve">Мурманск </t>
  </si>
  <si>
    <t xml:space="preserve">  Новокуйбышевск </t>
  </si>
  <si>
    <t>M7</t>
  </si>
  <si>
    <t>M3</t>
  </si>
  <si>
    <t>M2</t>
  </si>
  <si>
    <t>M1</t>
  </si>
  <si>
    <t>M9</t>
  </si>
  <si>
    <t>M4</t>
  </si>
  <si>
    <t>Жим</t>
  </si>
  <si>
    <t>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</si>
</sst>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U37"/>
  <sheetViews>
    <sheetView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5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7" bestFit="1" customWidth="1"/>
    <col min="20" max="20" width="8.5" style="6" bestFit="1" customWidth="1"/>
    <col min="21" max="21" width="26.6640625" style="5" bestFit="1" customWidth="1"/>
    <col min="22" max="16384" width="9.1640625" style="3"/>
  </cols>
  <sheetData>
    <row r="1" spans="1:21" s="2" customFormat="1" ht="29" customHeight="1">
      <c r="A1" s="46" t="s">
        <v>458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11</v>
      </c>
      <c r="H3" s="40"/>
      <c r="I3" s="40"/>
      <c r="J3" s="40"/>
      <c r="K3" s="40" t="s">
        <v>12</v>
      </c>
      <c r="L3" s="40"/>
      <c r="M3" s="40"/>
      <c r="N3" s="40"/>
      <c r="O3" s="40" t="s">
        <v>13</v>
      </c>
      <c r="P3" s="40"/>
      <c r="Q3" s="40"/>
      <c r="R3" s="40"/>
      <c r="S3" s="38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41"/>
      <c r="U4" s="43"/>
    </row>
    <row r="5" spans="1:21" ht="16">
      <c r="A5" s="44" t="s">
        <v>81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8" t="s">
        <v>78</v>
      </c>
      <c r="B6" s="7" t="s">
        <v>82</v>
      </c>
      <c r="C6" s="7" t="s">
        <v>83</v>
      </c>
      <c r="D6" s="7" t="s">
        <v>84</v>
      </c>
      <c r="E6" s="7" t="s">
        <v>527</v>
      </c>
      <c r="F6" s="7" t="s">
        <v>530</v>
      </c>
      <c r="G6" s="15" t="s">
        <v>20</v>
      </c>
      <c r="H6" s="15" t="s">
        <v>23</v>
      </c>
      <c r="I6" s="15" t="s">
        <v>85</v>
      </c>
      <c r="J6" s="8"/>
      <c r="K6" s="15" t="s">
        <v>86</v>
      </c>
      <c r="L6" s="16" t="s">
        <v>87</v>
      </c>
      <c r="M6" s="16" t="s">
        <v>87</v>
      </c>
      <c r="N6" s="8"/>
      <c r="O6" s="15" t="s">
        <v>24</v>
      </c>
      <c r="P6" s="15" t="s">
        <v>41</v>
      </c>
      <c r="Q6" s="15" t="s">
        <v>66</v>
      </c>
      <c r="R6" s="8"/>
      <c r="S6" s="30" t="str">
        <f>"217,5"</f>
        <v>217,5</v>
      </c>
      <c r="T6" s="8" t="str">
        <f>"267,5685"</f>
        <v>267,5685</v>
      </c>
      <c r="U6" s="7"/>
    </row>
    <row r="7" spans="1:21">
      <c r="B7" s="5" t="s">
        <v>79</v>
      </c>
    </row>
    <row r="8" spans="1:21" ht="16">
      <c r="A8" s="35" t="s">
        <v>88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8" t="s">
        <v>78</v>
      </c>
      <c r="B9" s="7" t="s">
        <v>89</v>
      </c>
      <c r="C9" s="7" t="s">
        <v>90</v>
      </c>
      <c r="D9" s="7" t="s">
        <v>91</v>
      </c>
      <c r="E9" s="7" t="s">
        <v>527</v>
      </c>
      <c r="F9" s="7" t="s">
        <v>530</v>
      </c>
      <c r="G9" s="15" t="s">
        <v>23</v>
      </c>
      <c r="H9" s="15" t="s">
        <v>24</v>
      </c>
      <c r="I9" s="16" t="s">
        <v>92</v>
      </c>
      <c r="J9" s="8"/>
      <c r="K9" s="15" t="s">
        <v>93</v>
      </c>
      <c r="L9" s="15" t="s">
        <v>94</v>
      </c>
      <c r="M9" s="16" t="s">
        <v>95</v>
      </c>
      <c r="N9" s="8"/>
      <c r="O9" s="15" t="s">
        <v>42</v>
      </c>
      <c r="P9" s="16" t="s">
        <v>96</v>
      </c>
      <c r="Q9" s="15" t="s">
        <v>39</v>
      </c>
      <c r="R9" s="8"/>
      <c r="S9" s="30" t="str">
        <f>"255,0"</f>
        <v>255,0</v>
      </c>
      <c r="T9" s="8" t="str">
        <f>"289,1700"</f>
        <v>289,1700</v>
      </c>
      <c r="U9" s="23" t="s">
        <v>492</v>
      </c>
    </row>
    <row r="10" spans="1:21">
      <c r="B10" s="5" t="s">
        <v>79</v>
      </c>
    </row>
    <row r="11" spans="1:21" ht="16">
      <c r="A11" s="35" t="s">
        <v>97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21">
      <c r="A12" s="8" t="s">
        <v>78</v>
      </c>
      <c r="B12" s="7" t="s">
        <v>98</v>
      </c>
      <c r="C12" s="7" t="s">
        <v>99</v>
      </c>
      <c r="D12" s="7" t="s">
        <v>100</v>
      </c>
      <c r="E12" s="7" t="s">
        <v>527</v>
      </c>
      <c r="F12" s="7" t="s">
        <v>530</v>
      </c>
      <c r="G12" s="15" t="s">
        <v>31</v>
      </c>
      <c r="H12" s="16" t="s">
        <v>40</v>
      </c>
      <c r="I12" s="15" t="s">
        <v>40</v>
      </c>
      <c r="J12" s="8"/>
      <c r="K12" s="15" t="s">
        <v>94</v>
      </c>
      <c r="L12" s="15" t="s">
        <v>101</v>
      </c>
      <c r="M12" s="16" t="s">
        <v>102</v>
      </c>
      <c r="N12" s="8"/>
      <c r="O12" s="15" t="s">
        <v>103</v>
      </c>
      <c r="P12" s="15" t="s">
        <v>104</v>
      </c>
      <c r="Q12" s="16" t="s">
        <v>50</v>
      </c>
      <c r="R12" s="8"/>
      <c r="S12" s="30" t="str">
        <f>"347,5"</f>
        <v>347,5</v>
      </c>
      <c r="T12" s="8" t="str">
        <f>"315,3910"</f>
        <v>315,3910</v>
      </c>
      <c r="U12" s="23" t="s">
        <v>493</v>
      </c>
    </row>
    <row r="13" spans="1:21">
      <c r="B13" s="5" t="s">
        <v>79</v>
      </c>
    </row>
    <row r="14" spans="1:21" ht="16">
      <c r="A14" s="35" t="s">
        <v>88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21">
      <c r="A15" s="8" t="s">
        <v>78</v>
      </c>
      <c r="B15" s="7" t="s">
        <v>105</v>
      </c>
      <c r="C15" s="7" t="s">
        <v>106</v>
      </c>
      <c r="D15" s="7" t="s">
        <v>107</v>
      </c>
      <c r="E15" s="7" t="s">
        <v>528</v>
      </c>
      <c r="F15" s="7" t="s">
        <v>530</v>
      </c>
      <c r="G15" s="16" t="s">
        <v>20</v>
      </c>
      <c r="H15" s="16" t="s">
        <v>24</v>
      </c>
      <c r="I15" s="15" t="s">
        <v>24</v>
      </c>
      <c r="J15" s="8"/>
      <c r="K15" s="16" t="s">
        <v>94</v>
      </c>
      <c r="L15" s="15" t="s">
        <v>18</v>
      </c>
      <c r="M15" s="15" t="s">
        <v>108</v>
      </c>
      <c r="N15" s="8"/>
      <c r="O15" s="15" t="s">
        <v>109</v>
      </c>
      <c r="P15" s="16" t="s">
        <v>31</v>
      </c>
      <c r="Q15" s="15" t="s">
        <v>31</v>
      </c>
      <c r="R15" s="8"/>
      <c r="S15" s="30" t="str">
        <f>"275,0"</f>
        <v>275,0</v>
      </c>
      <c r="T15" s="8" t="str">
        <f>"240,1025"</f>
        <v>240,1025</v>
      </c>
      <c r="U15" s="23" t="s">
        <v>494</v>
      </c>
    </row>
    <row r="16" spans="1:21">
      <c r="B16" s="5" t="s">
        <v>79</v>
      </c>
    </row>
    <row r="17" spans="1:21" ht="16">
      <c r="A17" s="35" t="s">
        <v>25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21">
      <c r="A18" s="8" t="s">
        <v>148</v>
      </c>
      <c r="B18" s="7" t="s">
        <v>110</v>
      </c>
      <c r="C18" s="7" t="s">
        <v>111</v>
      </c>
      <c r="D18" s="7" t="s">
        <v>112</v>
      </c>
      <c r="E18" s="7" t="s">
        <v>528</v>
      </c>
      <c r="F18" s="7" t="s">
        <v>530</v>
      </c>
      <c r="G18" s="16" t="s">
        <v>42</v>
      </c>
      <c r="H18" s="16" t="s">
        <v>67</v>
      </c>
      <c r="I18" s="16" t="s">
        <v>67</v>
      </c>
      <c r="J18" s="8"/>
      <c r="K18" s="16"/>
      <c r="L18" s="8"/>
      <c r="M18" s="8"/>
      <c r="N18" s="8"/>
      <c r="O18" s="16"/>
      <c r="P18" s="8"/>
      <c r="Q18" s="8"/>
      <c r="R18" s="8"/>
      <c r="S18" s="30">
        <v>0</v>
      </c>
      <c r="T18" s="8" t="str">
        <f>"0,0000"</f>
        <v>0,0000</v>
      </c>
      <c r="U18" s="23" t="s">
        <v>494</v>
      </c>
    </row>
    <row r="19" spans="1:21">
      <c r="B19" s="5" t="s">
        <v>79</v>
      </c>
    </row>
    <row r="20" spans="1:21" ht="16">
      <c r="A20" s="35" t="s">
        <v>97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21">
      <c r="A21" s="10" t="s">
        <v>78</v>
      </c>
      <c r="B21" s="9" t="s">
        <v>113</v>
      </c>
      <c r="C21" s="9" t="s">
        <v>472</v>
      </c>
      <c r="D21" s="9" t="s">
        <v>114</v>
      </c>
      <c r="E21" s="9" t="s">
        <v>529</v>
      </c>
      <c r="F21" s="9" t="s">
        <v>530</v>
      </c>
      <c r="G21" s="17" t="s">
        <v>50</v>
      </c>
      <c r="H21" s="18" t="s">
        <v>61</v>
      </c>
      <c r="I21" s="17" t="s">
        <v>61</v>
      </c>
      <c r="J21" s="10"/>
      <c r="K21" s="17" t="s">
        <v>42</v>
      </c>
      <c r="L21" s="17" t="s">
        <v>109</v>
      </c>
      <c r="M21" s="18" t="s">
        <v>31</v>
      </c>
      <c r="N21" s="10"/>
      <c r="O21" s="17" t="s">
        <v>50</v>
      </c>
      <c r="P21" s="17" t="s">
        <v>29</v>
      </c>
      <c r="Q21" s="18" t="s">
        <v>75</v>
      </c>
      <c r="R21" s="10"/>
      <c r="S21" s="28" t="str">
        <f>"465,0"</f>
        <v>465,0</v>
      </c>
      <c r="T21" s="10" t="str">
        <f>"316,7115"</f>
        <v>316,7115</v>
      </c>
      <c r="U21" s="9" t="s">
        <v>115</v>
      </c>
    </row>
    <row r="22" spans="1:21">
      <c r="A22" s="14" t="s">
        <v>78</v>
      </c>
      <c r="B22" s="13" t="s">
        <v>116</v>
      </c>
      <c r="C22" s="13" t="s">
        <v>117</v>
      </c>
      <c r="D22" s="13" t="s">
        <v>118</v>
      </c>
      <c r="E22" s="13" t="s">
        <v>527</v>
      </c>
      <c r="F22" s="13" t="s">
        <v>530</v>
      </c>
      <c r="G22" s="22" t="s">
        <v>61</v>
      </c>
      <c r="H22" s="22" t="s">
        <v>119</v>
      </c>
      <c r="I22" s="22" t="s">
        <v>120</v>
      </c>
      <c r="J22" s="14"/>
      <c r="K22" s="22" t="s">
        <v>121</v>
      </c>
      <c r="L22" s="21" t="s">
        <v>122</v>
      </c>
      <c r="M22" s="21" t="s">
        <v>122</v>
      </c>
      <c r="N22" s="14"/>
      <c r="O22" s="22" t="s">
        <v>75</v>
      </c>
      <c r="P22" s="22" t="s">
        <v>33</v>
      </c>
      <c r="Q22" s="22" t="s">
        <v>34</v>
      </c>
      <c r="R22" s="14"/>
      <c r="S22" s="29" t="str">
        <f>"515,0"</f>
        <v>515,0</v>
      </c>
      <c r="T22" s="14" t="str">
        <f>"348,8610"</f>
        <v>348,8610</v>
      </c>
      <c r="U22" s="24"/>
    </row>
    <row r="23" spans="1:21">
      <c r="B23" s="5" t="s">
        <v>79</v>
      </c>
    </row>
    <row r="24" spans="1:21" ht="16">
      <c r="A24" s="35" t="s">
        <v>35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21">
      <c r="A25" s="8" t="s">
        <v>78</v>
      </c>
      <c r="B25" s="7" t="s">
        <v>123</v>
      </c>
      <c r="C25" s="7" t="s">
        <v>124</v>
      </c>
      <c r="D25" s="7" t="s">
        <v>125</v>
      </c>
      <c r="E25" s="7" t="s">
        <v>528</v>
      </c>
      <c r="F25" s="7" t="s">
        <v>531</v>
      </c>
      <c r="G25" s="16" t="s">
        <v>51</v>
      </c>
      <c r="H25" s="16" t="s">
        <v>29</v>
      </c>
      <c r="I25" s="15" t="s">
        <v>29</v>
      </c>
      <c r="J25" s="8"/>
      <c r="K25" s="15" t="s">
        <v>109</v>
      </c>
      <c r="L25" s="15" t="s">
        <v>31</v>
      </c>
      <c r="M25" s="15" t="s">
        <v>32</v>
      </c>
      <c r="N25" s="8"/>
      <c r="O25" s="16" t="s">
        <v>33</v>
      </c>
      <c r="P25" s="15" t="s">
        <v>33</v>
      </c>
      <c r="Q25" s="15" t="s">
        <v>58</v>
      </c>
      <c r="R25" s="8"/>
      <c r="S25" s="30" t="str">
        <f>"525,0"</f>
        <v>525,0</v>
      </c>
      <c r="T25" s="8" t="str">
        <f>"341,4075"</f>
        <v>341,4075</v>
      </c>
      <c r="U25" s="23" t="s">
        <v>495</v>
      </c>
    </row>
    <row r="26" spans="1:21">
      <c r="B26" s="5" t="s">
        <v>79</v>
      </c>
    </row>
    <row r="27" spans="1:21" ht="16">
      <c r="A27" s="35" t="s">
        <v>69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21">
      <c r="A28" s="10" t="s">
        <v>78</v>
      </c>
      <c r="B28" s="9" t="s">
        <v>126</v>
      </c>
      <c r="C28" s="9" t="s">
        <v>127</v>
      </c>
      <c r="D28" s="9" t="s">
        <v>128</v>
      </c>
      <c r="E28" s="9" t="s">
        <v>528</v>
      </c>
      <c r="F28" s="9" t="s">
        <v>532</v>
      </c>
      <c r="G28" s="17" t="s">
        <v>68</v>
      </c>
      <c r="H28" s="17" t="s">
        <v>129</v>
      </c>
      <c r="I28" s="17" t="s">
        <v>103</v>
      </c>
      <c r="J28" s="10"/>
      <c r="K28" s="17" t="s">
        <v>42</v>
      </c>
      <c r="L28" s="17" t="s">
        <v>67</v>
      </c>
      <c r="M28" s="18" t="s">
        <v>109</v>
      </c>
      <c r="N28" s="10"/>
      <c r="O28" s="17" t="s">
        <v>50</v>
      </c>
      <c r="P28" s="17" t="s">
        <v>51</v>
      </c>
      <c r="Q28" s="10"/>
      <c r="R28" s="10"/>
      <c r="S28" s="28" t="str">
        <f>"425,0"</f>
        <v>425,0</v>
      </c>
      <c r="T28" s="10" t="str">
        <f>"270,4275"</f>
        <v>270,4275</v>
      </c>
      <c r="U28" s="9"/>
    </row>
    <row r="29" spans="1:21">
      <c r="A29" s="12" t="s">
        <v>78</v>
      </c>
      <c r="B29" s="11" t="s">
        <v>130</v>
      </c>
      <c r="C29" s="11" t="s">
        <v>489</v>
      </c>
      <c r="D29" s="11" t="s">
        <v>131</v>
      </c>
      <c r="E29" s="11" t="s">
        <v>529</v>
      </c>
      <c r="F29" s="11" t="s">
        <v>532</v>
      </c>
      <c r="G29" s="20" t="s">
        <v>40</v>
      </c>
      <c r="H29" s="20" t="s">
        <v>32</v>
      </c>
      <c r="I29" s="20" t="s">
        <v>68</v>
      </c>
      <c r="J29" s="12"/>
      <c r="K29" s="20" t="s">
        <v>66</v>
      </c>
      <c r="L29" s="20" t="s">
        <v>42</v>
      </c>
      <c r="M29" s="19" t="s">
        <v>67</v>
      </c>
      <c r="N29" s="12"/>
      <c r="O29" s="20" t="s">
        <v>51</v>
      </c>
      <c r="P29" s="20" t="s">
        <v>61</v>
      </c>
      <c r="Q29" s="20" t="s">
        <v>29</v>
      </c>
      <c r="R29" s="12"/>
      <c r="S29" s="31" t="str">
        <f>"415,0"</f>
        <v>415,0</v>
      </c>
      <c r="T29" s="12" t="str">
        <f>"261,2425"</f>
        <v>261,2425</v>
      </c>
      <c r="U29" s="25" t="s">
        <v>496</v>
      </c>
    </row>
    <row r="30" spans="1:21">
      <c r="A30" s="14" t="s">
        <v>78</v>
      </c>
      <c r="B30" s="13" t="s">
        <v>132</v>
      </c>
      <c r="C30" s="13" t="s">
        <v>133</v>
      </c>
      <c r="D30" s="13" t="s">
        <v>134</v>
      </c>
      <c r="E30" s="13" t="s">
        <v>527</v>
      </c>
      <c r="F30" s="13" t="s">
        <v>533</v>
      </c>
      <c r="G30" s="22" t="s">
        <v>75</v>
      </c>
      <c r="H30" s="22" t="s">
        <v>33</v>
      </c>
      <c r="I30" s="22" t="s">
        <v>34</v>
      </c>
      <c r="J30" s="14"/>
      <c r="K30" s="22" t="s">
        <v>32</v>
      </c>
      <c r="L30" s="22" t="s">
        <v>43</v>
      </c>
      <c r="M30" s="22" t="s">
        <v>129</v>
      </c>
      <c r="N30" s="14"/>
      <c r="O30" s="22" t="s">
        <v>34</v>
      </c>
      <c r="P30" s="22" t="s">
        <v>135</v>
      </c>
      <c r="Q30" s="21" t="s">
        <v>136</v>
      </c>
      <c r="R30" s="14"/>
      <c r="S30" s="29" t="str">
        <f>"585,0"</f>
        <v>585,0</v>
      </c>
      <c r="T30" s="14" t="str">
        <f>"359,3070"</f>
        <v>359,3070</v>
      </c>
      <c r="U30" s="13"/>
    </row>
    <row r="31" spans="1:21">
      <c r="B31" s="5" t="s">
        <v>79</v>
      </c>
    </row>
    <row r="32" spans="1:21" ht="16">
      <c r="A32" s="35" t="s">
        <v>137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21">
      <c r="A33" s="8" t="s">
        <v>78</v>
      </c>
      <c r="B33" s="7" t="s">
        <v>138</v>
      </c>
      <c r="C33" s="7" t="s">
        <v>490</v>
      </c>
      <c r="D33" s="7" t="s">
        <v>139</v>
      </c>
      <c r="E33" s="7" t="s">
        <v>559</v>
      </c>
      <c r="F33" s="7" t="s">
        <v>530</v>
      </c>
      <c r="G33" s="15" t="s">
        <v>67</v>
      </c>
      <c r="H33" s="16" t="s">
        <v>39</v>
      </c>
      <c r="I33" s="15" t="s">
        <v>40</v>
      </c>
      <c r="J33" s="8"/>
      <c r="K33" s="15" t="s">
        <v>66</v>
      </c>
      <c r="L33" s="15" t="s">
        <v>67</v>
      </c>
      <c r="M33" s="15" t="s">
        <v>109</v>
      </c>
      <c r="N33" s="8"/>
      <c r="O33" s="15" t="s">
        <v>49</v>
      </c>
      <c r="P33" s="15" t="s">
        <v>59</v>
      </c>
      <c r="Q33" s="8"/>
      <c r="R33" s="8"/>
      <c r="S33" s="30" t="str">
        <f>"395,0"</f>
        <v>395,0</v>
      </c>
      <c r="T33" s="8" t="str">
        <f>"423,9693"</f>
        <v>423,9693</v>
      </c>
      <c r="U33" s="7"/>
    </row>
    <row r="34" spans="1:21">
      <c r="B34" s="5" t="s">
        <v>79</v>
      </c>
    </row>
    <row r="35" spans="1:21" ht="16">
      <c r="A35" s="35" t="s">
        <v>140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21">
      <c r="A36" s="8" t="s">
        <v>78</v>
      </c>
      <c r="B36" s="7" t="s">
        <v>141</v>
      </c>
      <c r="C36" s="7" t="s">
        <v>142</v>
      </c>
      <c r="D36" s="7" t="s">
        <v>143</v>
      </c>
      <c r="E36" s="7" t="s">
        <v>527</v>
      </c>
      <c r="F36" s="7" t="s">
        <v>530</v>
      </c>
      <c r="G36" s="15" t="s">
        <v>34</v>
      </c>
      <c r="H36" s="15" t="s">
        <v>47</v>
      </c>
      <c r="I36" s="8"/>
      <c r="J36" s="8"/>
      <c r="K36" s="15" t="s">
        <v>29</v>
      </c>
      <c r="L36" s="16" t="s">
        <v>75</v>
      </c>
      <c r="M36" s="16" t="s">
        <v>75</v>
      </c>
      <c r="N36" s="8"/>
      <c r="O36" s="15" t="s">
        <v>144</v>
      </c>
      <c r="P36" s="15" t="s">
        <v>145</v>
      </c>
      <c r="Q36" s="16" t="s">
        <v>73</v>
      </c>
      <c r="R36" s="8"/>
      <c r="S36" s="30" t="str">
        <f>"660,0"</f>
        <v>660,0</v>
      </c>
      <c r="T36" s="8" t="str">
        <f>"378,7740"</f>
        <v>378,7740</v>
      </c>
      <c r="U36" s="7"/>
    </row>
    <row r="37" spans="1:21">
      <c r="B37" s="5" t="s">
        <v>79</v>
      </c>
    </row>
  </sheetData>
  <mergeCells count="23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7:R27"/>
    <mergeCell ref="A32:R32"/>
    <mergeCell ref="A35:R35"/>
    <mergeCell ref="B3:B4"/>
    <mergeCell ref="A8:R8"/>
    <mergeCell ref="A11:R11"/>
    <mergeCell ref="A14:R14"/>
    <mergeCell ref="A17:R17"/>
    <mergeCell ref="A20:R20"/>
    <mergeCell ref="A24:R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44"/>
  <sheetViews>
    <sheetView workbookViewId="0">
      <selection activeCell="A45" sqref="A45:XFD56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" style="5" customWidth="1"/>
    <col min="7" max="9" width="5.5" style="6" customWidth="1"/>
    <col min="10" max="10" width="4.83203125" style="6" customWidth="1"/>
    <col min="11" max="11" width="11.33203125" style="27" bestFit="1" customWidth="1"/>
    <col min="12" max="12" width="12" style="6" customWidth="1"/>
    <col min="13" max="13" width="24.33203125" style="5" customWidth="1"/>
    <col min="14" max="16384" width="9.1640625" style="3"/>
  </cols>
  <sheetData>
    <row r="1" spans="1:13" s="2" customFormat="1" ht="29" customHeight="1">
      <c r="A1" s="46" t="s">
        <v>455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38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25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0" t="s">
        <v>78</v>
      </c>
      <c r="B6" s="9" t="s">
        <v>161</v>
      </c>
      <c r="C6" s="9" t="s">
        <v>162</v>
      </c>
      <c r="D6" s="9" t="s">
        <v>163</v>
      </c>
      <c r="E6" s="9" t="s">
        <v>528</v>
      </c>
      <c r="F6" s="9" t="s">
        <v>530</v>
      </c>
      <c r="G6" s="17" t="s">
        <v>164</v>
      </c>
      <c r="H6" s="17" t="s">
        <v>21</v>
      </c>
      <c r="I6" s="18" t="s">
        <v>165</v>
      </c>
      <c r="J6" s="10"/>
      <c r="K6" s="28" t="str">
        <f>"35,0"</f>
        <v>35,0</v>
      </c>
      <c r="L6" s="10" t="str">
        <f>"38,7730"</f>
        <v>38,7730</v>
      </c>
      <c r="M6" s="26" t="s">
        <v>500</v>
      </c>
    </row>
    <row r="7" spans="1:13">
      <c r="A7" s="14" t="s">
        <v>78</v>
      </c>
      <c r="B7" s="13" t="s">
        <v>166</v>
      </c>
      <c r="C7" s="13" t="s">
        <v>167</v>
      </c>
      <c r="D7" s="13" t="s">
        <v>168</v>
      </c>
      <c r="E7" s="13" t="s">
        <v>527</v>
      </c>
      <c r="F7" s="13" t="s">
        <v>547</v>
      </c>
      <c r="G7" s="22" t="s">
        <v>109</v>
      </c>
      <c r="H7" s="21" t="s">
        <v>39</v>
      </c>
      <c r="I7" s="21" t="s">
        <v>121</v>
      </c>
      <c r="J7" s="14"/>
      <c r="K7" s="29" t="str">
        <f>"110,0"</f>
        <v>110,0</v>
      </c>
      <c r="L7" s="14" t="str">
        <f>"112,3870"</f>
        <v>112,3870</v>
      </c>
      <c r="M7" s="24" t="s">
        <v>501</v>
      </c>
    </row>
    <row r="8" spans="1:13">
      <c r="B8" s="5" t="s">
        <v>79</v>
      </c>
    </row>
    <row r="9" spans="1:13" ht="16">
      <c r="A9" s="35" t="s">
        <v>97</v>
      </c>
      <c r="B9" s="35"/>
      <c r="C9" s="35"/>
      <c r="D9" s="35"/>
      <c r="E9" s="35"/>
      <c r="F9" s="35"/>
      <c r="G9" s="35"/>
      <c r="H9" s="35"/>
      <c r="I9" s="35"/>
      <c r="J9" s="35"/>
    </row>
    <row r="10" spans="1:13">
      <c r="A10" s="10" t="s">
        <v>78</v>
      </c>
      <c r="B10" s="9" t="s">
        <v>169</v>
      </c>
      <c r="C10" s="9" t="s">
        <v>170</v>
      </c>
      <c r="D10" s="9" t="s">
        <v>171</v>
      </c>
      <c r="E10" s="9" t="s">
        <v>527</v>
      </c>
      <c r="F10" s="9" t="s">
        <v>530</v>
      </c>
      <c r="G10" s="17" t="s">
        <v>108</v>
      </c>
      <c r="H10" s="17" t="s">
        <v>20</v>
      </c>
      <c r="I10" s="17" t="s">
        <v>23</v>
      </c>
      <c r="J10" s="10"/>
      <c r="K10" s="28" t="str">
        <f>"80,0"</f>
        <v>80,0</v>
      </c>
      <c r="L10" s="10" t="str">
        <f>"74,7760"</f>
        <v>74,7760</v>
      </c>
      <c r="M10" s="9"/>
    </row>
    <row r="11" spans="1:13">
      <c r="A11" s="14" t="s">
        <v>78</v>
      </c>
      <c r="B11" s="13" t="s">
        <v>169</v>
      </c>
      <c r="C11" s="13" t="s">
        <v>483</v>
      </c>
      <c r="D11" s="13" t="s">
        <v>171</v>
      </c>
      <c r="E11" s="13" t="s">
        <v>561</v>
      </c>
      <c r="F11" s="13" t="s">
        <v>530</v>
      </c>
      <c r="G11" s="22" t="s">
        <v>108</v>
      </c>
      <c r="H11" s="22" t="s">
        <v>20</v>
      </c>
      <c r="I11" s="22" t="s">
        <v>23</v>
      </c>
      <c r="J11" s="14"/>
      <c r="K11" s="29" t="str">
        <f>"80,0"</f>
        <v>80,0</v>
      </c>
      <c r="L11" s="14" t="str">
        <f>"80,6085"</f>
        <v>80,6085</v>
      </c>
      <c r="M11" s="13"/>
    </row>
    <row r="12" spans="1:13">
      <c r="B12" s="5" t="s">
        <v>79</v>
      </c>
    </row>
    <row r="13" spans="1:13" ht="16">
      <c r="A13" s="35" t="s">
        <v>172</v>
      </c>
      <c r="B13" s="35"/>
      <c r="C13" s="35"/>
      <c r="D13" s="35"/>
      <c r="E13" s="35"/>
      <c r="F13" s="35"/>
      <c r="G13" s="35"/>
      <c r="H13" s="35"/>
      <c r="I13" s="35"/>
      <c r="J13" s="35"/>
    </row>
    <row r="14" spans="1:13">
      <c r="A14" s="8" t="s">
        <v>78</v>
      </c>
      <c r="B14" s="7" t="s">
        <v>173</v>
      </c>
      <c r="C14" s="7" t="s">
        <v>174</v>
      </c>
      <c r="D14" s="7" t="s">
        <v>175</v>
      </c>
      <c r="E14" s="7" t="s">
        <v>528</v>
      </c>
      <c r="F14" s="7" t="s">
        <v>530</v>
      </c>
      <c r="G14" s="15" t="s">
        <v>165</v>
      </c>
      <c r="H14" s="15" t="s">
        <v>86</v>
      </c>
      <c r="I14" s="15" t="s">
        <v>22</v>
      </c>
      <c r="J14" s="8"/>
      <c r="K14" s="30" t="str">
        <f>"42,5"</f>
        <v>42,5</v>
      </c>
      <c r="L14" s="8" t="str">
        <f>"55,8450"</f>
        <v>55,8450</v>
      </c>
      <c r="M14" s="7"/>
    </row>
    <row r="15" spans="1:13">
      <c r="B15" s="5" t="s">
        <v>79</v>
      </c>
    </row>
    <row r="16" spans="1:13" ht="16">
      <c r="A16" s="35" t="s">
        <v>14</v>
      </c>
      <c r="B16" s="35"/>
      <c r="C16" s="35"/>
      <c r="D16" s="35"/>
      <c r="E16" s="35"/>
      <c r="F16" s="35"/>
      <c r="G16" s="35"/>
      <c r="H16" s="35"/>
      <c r="I16" s="35"/>
      <c r="J16" s="35"/>
    </row>
    <row r="17" spans="1:13">
      <c r="A17" s="10" t="s">
        <v>78</v>
      </c>
      <c r="B17" s="9" t="s">
        <v>176</v>
      </c>
      <c r="C17" s="9" t="s">
        <v>177</v>
      </c>
      <c r="D17" s="9" t="s">
        <v>178</v>
      </c>
      <c r="E17" s="9" t="s">
        <v>528</v>
      </c>
      <c r="F17" s="9" t="s">
        <v>548</v>
      </c>
      <c r="G17" s="18" t="s">
        <v>68</v>
      </c>
      <c r="H17" s="17" t="s">
        <v>68</v>
      </c>
      <c r="I17" s="18" t="s">
        <v>129</v>
      </c>
      <c r="J17" s="10"/>
      <c r="K17" s="28" t="str">
        <f>"135,0"</f>
        <v>135,0</v>
      </c>
      <c r="L17" s="10" t="str">
        <f>"100,1970"</f>
        <v>100,1970</v>
      </c>
      <c r="M17" s="26" t="s">
        <v>502</v>
      </c>
    </row>
    <row r="18" spans="1:13">
      <c r="A18" s="12" t="s">
        <v>80</v>
      </c>
      <c r="B18" s="11" t="s">
        <v>179</v>
      </c>
      <c r="C18" s="11" t="s">
        <v>180</v>
      </c>
      <c r="D18" s="11" t="s">
        <v>181</v>
      </c>
      <c r="E18" s="11" t="s">
        <v>528</v>
      </c>
      <c r="F18" s="11" t="s">
        <v>549</v>
      </c>
      <c r="G18" s="20" t="s">
        <v>20</v>
      </c>
      <c r="H18" s="19" t="s">
        <v>24</v>
      </c>
      <c r="I18" s="19" t="s">
        <v>24</v>
      </c>
      <c r="J18" s="12"/>
      <c r="K18" s="31" t="str">
        <f>"75,0"</f>
        <v>75,0</v>
      </c>
      <c r="L18" s="12" t="str">
        <f>"55,4850"</f>
        <v>55,4850</v>
      </c>
      <c r="M18" s="25" t="s">
        <v>354</v>
      </c>
    </row>
    <row r="19" spans="1:13">
      <c r="A19" s="14" t="s">
        <v>78</v>
      </c>
      <c r="B19" s="13" t="s">
        <v>182</v>
      </c>
      <c r="C19" s="13" t="s">
        <v>183</v>
      </c>
      <c r="D19" s="13" t="s">
        <v>184</v>
      </c>
      <c r="E19" s="13" t="s">
        <v>527</v>
      </c>
      <c r="F19" s="13" t="s">
        <v>530</v>
      </c>
      <c r="G19" s="22" t="s">
        <v>40</v>
      </c>
      <c r="H19" s="21" t="s">
        <v>185</v>
      </c>
      <c r="I19" s="21" t="s">
        <v>185</v>
      </c>
      <c r="J19" s="14"/>
      <c r="K19" s="29" t="str">
        <f>"125,0"</f>
        <v>125,0</v>
      </c>
      <c r="L19" s="14" t="str">
        <f>"91,1625"</f>
        <v>91,1625</v>
      </c>
      <c r="M19" s="13"/>
    </row>
    <row r="20" spans="1:13">
      <c r="B20" s="5" t="s">
        <v>79</v>
      </c>
    </row>
    <row r="21" spans="1:13" ht="16">
      <c r="A21" s="35" t="s">
        <v>97</v>
      </c>
      <c r="B21" s="35"/>
      <c r="C21" s="35"/>
      <c r="D21" s="35"/>
      <c r="E21" s="35"/>
      <c r="F21" s="35"/>
      <c r="G21" s="35"/>
      <c r="H21" s="35"/>
      <c r="I21" s="35"/>
      <c r="J21" s="35"/>
    </row>
    <row r="22" spans="1:13">
      <c r="A22" s="10" t="s">
        <v>78</v>
      </c>
      <c r="B22" s="9" t="s">
        <v>186</v>
      </c>
      <c r="C22" s="9" t="s">
        <v>187</v>
      </c>
      <c r="D22" s="9" t="s">
        <v>188</v>
      </c>
      <c r="E22" s="9" t="s">
        <v>527</v>
      </c>
      <c r="F22" s="9" t="s">
        <v>530</v>
      </c>
      <c r="G22" s="17" t="s">
        <v>103</v>
      </c>
      <c r="H22" s="18" t="s">
        <v>154</v>
      </c>
      <c r="I22" s="18" t="s">
        <v>104</v>
      </c>
      <c r="J22" s="10"/>
      <c r="K22" s="28" t="str">
        <f>"150,0"</f>
        <v>150,0</v>
      </c>
      <c r="L22" s="10" t="str">
        <f>"101,3100"</f>
        <v>101,3100</v>
      </c>
      <c r="M22" s="9"/>
    </row>
    <row r="23" spans="1:13">
      <c r="A23" s="12" t="s">
        <v>80</v>
      </c>
      <c r="B23" s="11" t="s">
        <v>189</v>
      </c>
      <c r="C23" s="11" t="s">
        <v>190</v>
      </c>
      <c r="D23" s="11" t="s">
        <v>118</v>
      </c>
      <c r="E23" s="11" t="s">
        <v>527</v>
      </c>
      <c r="F23" s="11" t="s">
        <v>530</v>
      </c>
      <c r="G23" s="20" t="s">
        <v>32</v>
      </c>
      <c r="H23" s="19" t="s">
        <v>191</v>
      </c>
      <c r="I23" s="19" t="s">
        <v>191</v>
      </c>
      <c r="J23" s="12"/>
      <c r="K23" s="31" t="str">
        <f>"130,0"</f>
        <v>130,0</v>
      </c>
      <c r="L23" s="12" t="str">
        <f>"88,0620"</f>
        <v>88,0620</v>
      </c>
      <c r="M23" s="25"/>
    </row>
    <row r="24" spans="1:13">
      <c r="A24" s="12" t="s">
        <v>148</v>
      </c>
      <c r="B24" s="11" t="s">
        <v>192</v>
      </c>
      <c r="C24" s="11" t="s">
        <v>193</v>
      </c>
      <c r="D24" s="11" t="s">
        <v>194</v>
      </c>
      <c r="E24" s="11" t="s">
        <v>527</v>
      </c>
      <c r="F24" s="11" t="s">
        <v>530</v>
      </c>
      <c r="G24" s="19" t="s">
        <v>68</v>
      </c>
      <c r="H24" s="19" t="s">
        <v>43</v>
      </c>
      <c r="I24" s="19" t="s">
        <v>43</v>
      </c>
      <c r="J24" s="12"/>
      <c r="K24" s="31">
        <v>0</v>
      </c>
      <c r="L24" s="12" t="str">
        <f>"0,0000"</f>
        <v>0,0000</v>
      </c>
      <c r="M24" s="11"/>
    </row>
    <row r="25" spans="1:13">
      <c r="A25" s="14" t="s">
        <v>78</v>
      </c>
      <c r="B25" s="13" t="s">
        <v>195</v>
      </c>
      <c r="C25" s="13" t="s">
        <v>196</v>
      </c>
      <c r="D25" s="13" t="s">
        <v>197</v>
      </c>
      <c r="E25" s="13" t="s">
        <v>563</v>
      </c>
      <c r="F25" s="13" t="s">
        <v>530</v>
      </c>
      <c r="G25" s="22" t="s">
        <v>23</v>
      </c>
      <c r="H25" s="22" t="s">
        <v>24</v>
      </c>
      <c r="I25" s="22" t="s">
        <v>41</v>
      </c>
      <c r="J25" s="14"/>
      <c r="K25" s="29" t="str">
        <f>"90,0"</f>
        <v>90,0</v>
      </c>
      <c r="L25" s="14" t="str">
        <f>"124,6630"</f>
        <v>124,6630</v>
      </c>
      <c r="M25" s="24"/>
    </row>
    <row r="26" spans="1:13">
      <c r="B26" s="5" t="s">
        <v>79</v>
      </c>
    </row>
    <row r="27" spans="1:13" ht="16">
      <c r="A27" s="35" t="s">
        <v>35</v>
      </c>
      <c r="B27" s="35"/>
      <c r="C27" s="35"/>
      <c r="D27" s="35"/>
      <c r="E27" s="35"/>
      <c r="F27" s="35"/>
      <c r="G27" s="35"/>
      <c r="H27" s="35"/>
      <c r="I27" s="35"/>
      <c r="J27" s="35"/>
    </row>
    <row r="28" spans="1:13">
      <c r="A28" s="10" t="s">
        <v>78</v>
      </c>
      <c r="B28" s="9" t="s">
        <v>198</v>
      </c>
      <c r="C28" s="9" t="s">
        <v>199</v>
      </c>
      <c r="D28" s="9" t="s">
        <v>200</v>
      </c>
      <c r="E28" s="9" t="s">
        <v>527</v>
      </c>
      <c r="F28" s="9" t="s">
        <v>530</v>
      </c>
      <c r="G28" s="18" t="s">
        <v>33</v>
      </c>
      <c r="H28" s="17" t="s">
        <v>33</v>
      </c>
      <c r="I28" s="18" t="s">
        <v>34</v>
      </c>
      <c r="J28" s="10"/>
      <c r="K28" s="28" t="str">
        <f>"200,0"</f>
        <v>200,0</v>
      </c>
      <c r="L28" s="10" t="str">
        <f>"128,8000"</f>
        <v>128,8000</v>
      </c>
      <c r="M28" s="9"/>
    </row>
    <row r="29" spans="1:13">
      <c r="A29" s="14" t="s">
        <v>78</v>
      </c>
      <c r="B29" s="13" t="s">
        <v>201</v>
      </c>
      <c r="C29" s="13" t="s">
        <v>484</v>
      </c>
      <c r="D29" s="13" t="s">
        <v>202</v>
      </c>
      <c r="E29" s="13" t="s">
        <v>562</v>
      </c>
      <c r="F29" s="13" t="s">
        <v>530</v>
      </c>
      <c r="G29" s="22" t="s">
        <v>50</v>
      </c>
      <c r="H29" s="21" t="s">
        <v>51</v>
      </c>
      <c r="I29" s="21" t="s">
        <v>51</v>
      </c>
      <c r="J29" s="14"/>
      <c r="K29" s="29" t="str">
        <f>"165,0"</f>
        <v>165,0</v>
      </c>
      <c r="L29" s="14" t="str">
        <f>"107,9986"</f>
        <v>107,9986</v>
      </c>
      <c r="M29" s="13"/>
    </row>
    <row r="30" spans="1:13">
      <c r="B30" s="5" t="s">
        <v>79</v>
      </c>
    </row>
    <row r="31" spans="1:13" ht="16">
      <c r="A31" s="35" t="s">
        <v>69</v>
      </c>
      <c r="B31" s="35"/>
      <c r="C31" s="35"/>
      <c r="D31" s="35"/>
      <c r="E31" s="35"/>
      <c r="F31" s="35"/>
      <c r="G31" s="35"/>
      <c r="H31" s="35"/>
      <c r="I31" s="35"/>
      <c r="J31" s="35"/>
    </row>
    <row r="32" spans="1:13">
      <c r="A32" s="10" t="s">
        <v>78</v>
      </c>
      <c r="B32" s="9" t="s">
        <v>203</v>
      </c>
      <c r="C32" s="9" t="s">
        <v>204</v>
      </c>
      <c r="D32" s="9" t="s">
        <v>205</v>
      </c>
      <c r="E32" s="9" t="s">
        <v>527</v>
      </c>
      <c r="F32" s="9" t="s">
        <v>530</v>
      </c>
      <c r="G32" s="17" t="s">
        <v>49</v>
      </c>
      <c r="H32" s="17" t="s">
        <v>59</v>
      </c>
      <c r="I32" s="17" t="s">
        <v>51</v>
      </c>
      <c r="J32" s="10"/>
      <c r="K32" s="28" t="str">
        <f>"170,0"</f>
        <v>170,0</v>
      </c>
      <c r="L32" s="10" t="str">
        <f>"104,6860"</f>
        <v>104,6860</v>
      </c>
      <c r="M32" s="9"/>
    </row>
    <row r="33" spans="1:13">
      <c r="A33" s="14" t="s">
        <v>78</v>
      </c>
      <c r="B33" s="13" t="s">
        <v>206</v>
      </c>
      <c r="C33" s="13" t="s">
        <v>485</v>
      </c>
      <c r="D33" s="13" t="s">
        <v>207</v>
      </c>
      <c r="E33" s="13" t="s">
        <v>560</v>
      </c>
      <c r="F33" s="13" t="s">
        <v>530</v>
      </c>
      <c r="G33" s="22" t="s">
        <v>68</v>
      </c>
      <c r="H33" s="22" t="s">
        <v>129</v>
      </c>
      <c r="I33" s="22" t="s">
        <v>154</v>
      </c>
      <c r="J33" s="14"/>
      <c r="K33" s="29" t="str">
        <f>"152,5"</f>
        <v>152,5</v>
      </c>
      <c r="L33" s="14" t="str">
        <f>"111,9774"</f>
        <v>111,9774</v>
      </c>
      <c r="M33" s="13" t="s">
        <v>208</v>
      </c>
    </row>
    <row r="34" spans="1:13">
      <c r="B34" s="5" t="s">
        <v>79</v>
      </c>
    </row>
    <row r="35" spans="1:13" ht="16">
      <c r="A35" s="35" t="s">
        <v>137</v>
      </c>
      <c r="B35" s="35"/>
      <c r="C35" s="35"/>
      <c r="D35" s="35"/>
      <c r="E35" s="35"/>
      <c r="F35" s="35"/>
      <c r="G35" s="35"/>
      <c r="H35" s="35"/>
      <c r="I35" s="35"/>
      <c r="J35" s="35"/>
    </row>
    <row r="36" spans="1:13">
      <c r="A36" s="10" t="s">
        <v>78</v>
      </c>
      <c r="B36" s="9" t="s">
        <v>209</v>
      </c>
      <c r="C36" s="9" t="s">
        <v>210</v>
      </c>
      <c r="D36" s="9" t="s">
        <v>211</v>
      </c>
      <c r="E36" s="9" t="s">
        <v>527</v>
      </c>
      <c r="F36" s="9" t="s">
        <v>534</v>
      </c>
      <c r="G36" s="17" t="s">
        <v>34</v>
      </c>
      <c r="H36" s="10"/>
      <c r="I36" s="10"/>
      <c r="J36" s="10"/>
      <c r="K36" s="28" t="str">
        <f>"210,0"</f>
        <v>210,0</v>
      </c>
      <c r="L36" s="10" t="str">
        <f>"124,2570"</f>
        <v>124,2570</v>
      </c>
      <c r="M36" s="26" t="s">
        <v>503</v>
      </c>
    </row>
    <row r="37" spans="1:13">
      <c r="A37" s="12" t="s">
        <v>80</v>
      </c>
      <c r="B37" s="11" t="s">
        <v>212</v>
      </c>
      <c r="C37" s="11" t="s">
        <v>213</v>
      </c>
      <c r="D37" s="11" t="s">
        <v>214</v>
      </c>
      <c r="E37" s="11" t="s">
        <v>527</v>
      </c>
      <c r="F37" s="11" t="s">
        <v>550</v>
      </c>
      <c r="G37" s="20" t="s">
        <v>33</v>
      </c>
      <c r="H37" s="12"/>
      <c r="I37" s="12"/>
      <c r="J37" s="12"/>
      <c r="K37" s="31" t="str">
        <f>"200,0"</f>
        <v>200,0</v>
      </c>
      <c r="L37" s="12" t="str">
        <f>"117,7400"</f>
        <v>117,7400</v>
      </c>
      <c r="M37" s="11"/>
    </row>
    <row r="38" spans="1:13">
      <c r="A38" s="12" t="s">
        <v>227</v>
      </c>
      <c r="B38" s="11" t="s">
        <v>215</v>
      </c>
      <c r="C38" s="11" t="s">
        <v>216</v>
      </c>
      <c r="D38" s="11" t="s">
        <v>217</v>
      </c>
      <c r="E38" s="11" t="s">
        <v>527</v>
      </c>
      <c r="F38" s="11" t="s">
        <v>551</v>
      </c>
      <c r="G38" s="20" t="s">
        <v>30</v>
      </c>
      <c r="H38" s="20" t="s">
        <v>75</v>
      </c>
      <c r="I38" s="19" t="s">
        <v>33</v>
      </c>
      <c r="J38" s="12"/>
      <c r="K38" s="31" t="str">
        <f>"190,0"</f>
        <v>190,0</v>
      </c>
      <c r="L38" s="12" t="str">
        <f>"112,4990"</f>
        <v>112,4990</v>
      </c>
      <c r="M38" s="11"/>
    </row>
    <row r="39" spans="1:13">
      <c r="A39" s="14" t="s">
        <v>78</v>
      </c>
      <c r="B39" s="13" t="s">
        <v>218</v>
      </c>
      <c r="C39" s="13" t="s">
        <v>486</v>
      </c>
      <c r="D39" s="13" t="s">
        <v>219</v>
      </c>
      <c r="E39" s="13" t="s">
        <v>561</v>
      </c>
      <c r="F39" s="13" t="s">
        <v>530</v>
      </c>
      <c r="G39" s="22" t="s">
        <v>68</v>
      </c>
      <c r="H39" s="22" t="s">
        <v>129</v>
      </c>
      <c r="I39" s="22" t="s">
        <v>49</v>
      </c>
      <c r="J39" s="14"/>
      <c r="K39" s="29" t="str">
        <f>"155,0"</f>
        <v>155,0</v>
      </c>
      <c r="L39" s="14" t="str">
        <f>"99,5165"</f>
        <v>99,5165</v>
      </c>
      <c r="M39" s="13"/>
    </row>
    <row r="40" spans="1:13">
      <c r="B40" s="5" t="s">
        <v>79</v>
      </c>
    </row>
    <row r="41" spans="1:13" ht="16">
      <c r="A41" s="35" t="s">
        <v>140</v>
      </c>
      <c r="B41" s="35"/>
      <c r="C41" s="35"/>
      <c r="D41" s="35"/>
      <c r="E41" s="35"/>
      <c r="F41" s="35"/>
      <c r="G41" s="35"/>
      <c r="H41" s="35"/>
      <c r="I41" s="35"/>
      <c r="J41" s="35"/>
    </row>
    <row r="42" spans="1:13">
      <c r="A42" s="10" t="s">
        <v>78</v>
      </c>
      <c r="B42" s="9" t="s">
        <v>220</v>
      </c>
      <c r="C42" s="9" t="s">
        <v>221</v>
      </c>
      <c r="D42" s="9" t="s">
        <v>222</v>
      </c>
      <c r="E42" s="9" t="s">
        <v>527</v>
      </c>
      <c r="F42" s="9" t="s">
        <v>530</v>
      </c>
      <c r="G42" s="17" t="s">
        <v>223</v>
      </c>
      <c r="H42" s="17" t="s">
        <v>224</v>
      </c>
      <c r="I42" s="18" t="s">
        <v>225</v>
      </c>
      <c r="J42" s="10"/>
      <c r="K42" s="28" t="str">
        <f>"232,5"</f>
        <v>232,5</v>
      </c>
      <c r="L42" s="10" t="str">
        <f>"134,9663"</f>
        <v>134,9663</v>
      </c>
      <c r="M42" s="26" t="s">
        <v>504</v>
      </c>
    </row>
    <row r="43" spans="1:13">
      <c r="A43" s="14" t="s">
        <v>78</v>
      </c>
      <c r="B43" s="13" t="s">
        <v>220</v>
      </c>
      <c r="C43" s="13" t="s">
        <v>487</v>
      </c>
      <c r="D43" s="13" t="s">
        <v>222</v>
      </c>
      <c r="E43" s="13" t="s">
        <v>562</v>
      </c>
      <c r="F43" s="13" t="s">
        <v>530</v>
      </c>
      <c r="G43" s="22" t="s">
        <v>223</v>
      </c>
      <c r="H43" s="22" t="s">
        <v>224</v>
      </c>
      <c r="I43" s="21" t="s">
        <v>225</v>
      </c>
      <c r="J43" s="14"/>
      <c r="K43" s="29" t="str">
        <f>"232,5"</f>
        <v>232,5</v>
      </c>
      <c r="L43" s="14" t="str">
        <f>"138,7453"</f>
        <v>138,7453</v>
      </c>
      <c r="M43" s="24" t="s">
        <v>504</v>
      </c>
    </row>
    <row r="44" spans="1:13">
      <c r="B44" s="5" t="s">
        <v>79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5:J35"/>
    <mergeCell ref="A41:J41"/>
    <mergeCell ref="B3:B4"/>
    <mergeCell ref="A9:J9"/>
    <mergeCell ref="A13:J13"/>
    <mergeCell ref="A16:J16"/>
    <mergeCell ref="A21:J21"/>
    <mergeCell ref="A27:J27"/>
    <mergeCell ref="A31:J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3.6640625" style="5" customWidth="1"/>
    <col min="7" max="7" width="5.5" style="6" customWidth="1"/>
    <col min="8" max="9" width="5.33203125" style="6" customWidth="1"/>
    <col min="10" max="10" width="4.83203125" style="6" customWidth="1"/>
    <col min="11" max="11" width="11.3320312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6" t="s">
        <v>452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140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311</v>
      </c>
      <c r="C6" s="7" t="s">
        <v>312</v>
      </c>
      <c r="D6" s="7" t="s">
        <v>313</v>
      </c>
      <c r="E6" s="7" t="s">
        <v>527</v>
      </c>
      <c r="F6" s="7" t="s">
        <v>530</v>
      </c>
      <c r="G6" s="15" t="s">
        <v>34</v>
      </c>
      <c r="H6" s="8"/>
      <c r="I6" s="8"/>
      <c r="J6" s="8"/>
      <c r="K6" s="8" t="str">
        <f>"210,0"</f>
        <v>210,0</v>
      </c>
      <c r="L6" s="8" t="str">
        <f>"121,2120"</f>
        <v>121,2120</v>
      </c>
      <c r="M6" s="7"/>
    </row>
    <row r="7" spans="1:13">
      <c r="B7" s="5" t="s">
        <v>79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33203125" style="5" customWidth="1"/>
    <col min="7" max="9" width="5.5" style="6" customWidth="1"/>
    <col min="10" max="10" width="4.83203125" style="6" customWidth="1"/>
    <col min="11" max="11" width="11.33203125" style="6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6" t="s">
        <v>453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35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308</v>
      </c>
      <c r="C6" s="7" t="s">
        <v>309</v>
      </c>
      <c r="D6" s="7" t="s">
        <v>310</v>
      </c>
      <c r="E6" s="7" t="s">
        <v>527</v>
      </c>
      <c r="F6" s="7" t="s">
        <v>530</v>
      </c>
      <c r="G6" s="15" t="s">
        <v>51</v>
      </c>
      <c r="H6" s="15" t="s">
        <v>29</v>
      </c>
      <c r="I6" s="16" t="s">
        <v>75</v>
      </c>
      <c r="J6" s="8"/>
      <c r="K6" s="8" t="str">
        <f>"180,0"</f>
        <v>180,0</v>
      </c>
      <c r="L6" s="8" t="str">
        <f>"117,7200"</f>
        <v>117,7200</v>
      </c>
      <c r="M6" s="23" t="s">
        <v>511</v>
      </c>
    </row>
    <row r="7" spans="1:13">
      <c r="B7" s="5" t="s">
        <v>79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3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46" t="s">
        <v>520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81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375</v>
      </c>
      <c r="C6" s="7" t="s">
        <v>376</v>
      </c>
      <c r="D6" s="7" t="s">
        <v>377</v>
      </c>
      <c r="E6" s="7" t="s">
        <v>527</v>
      </c>
      <c r="F6" s="7" t="s">
        <v>539</v>
      </c>
      <c r="G6" s="15" t="s">
        <v>101</v>
      </c>
      <c r="H6" s="15" t="s">
        <v>18</v>
      </c>
      <c r="I6" s="16" t="s">
        <v>108</v>
      </c>
      <c r="J6" s="8"/>
      <c r="K6" s="8" t="str">
        <f>"65,0"</f>
        <v>65,0</v>
      </c>
      <c r="L6" s="8" t="str">
        <f>"67,8535"</f>
        <v>67,8535</v>
      </c>
      <c r="M6" s="7"/>
    </row>
    <row r="7" spans="1:13">
      <c r="B7" s="5" t="s">
        <v>79</v>
      </c>
    </row>
    <row r="8" spans="1:13" ht="16">
      <c r="A8" s="35" t="s">
        <v>25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8" t="s">
        <v>78</v>
      </c>
      <c r="B9" s="7" t="s">
        <v>228</v>
      </c>
      <c r="C9" s="7" t="s">
        <v>229</v>
      </c>
      <c r="D9" s="7" t="s">
        <v>230</v>
      </c>
      <c r="E9" s="7" t="s">
        <v>527</v>
      </c>
      <c r="F9" s="7" t="s">
        <v>530</v>
      </c>
      <c r="G9" s="15" t="s">
        <v>31</v>
      </c>
      <c r="H9" s="16" t="s">
        <v>40</v>
      </c>
      <c r="I9" s="15" t="s">
        <v>40</v>
      </c>
      <c r="J9" s="8"/>
      <c r="K9" s="8" t="str">
        <f>"125,0"</f>
        <v>125,0</v>
      </c>
      <c r="L9" s="8" t="str">
        <f>"112,7188"</f>
        <v>112,7188</v>
      </c>
      <c r="M9" s="7" t="s">
        <v>493</v>
      </c>
    </row>
    <row r="10" spans="1:13">
      <c r="B10" s="5" t="s">
        <v>79</v>
      </c>
    </row>
    <row r="11" spans="1:13" ht="16">
      <c r="A11" s="35" t="s">
        <v>97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>
      <c r="A12" s="10" t="s">
        <v>78</v>
      </c>
      <c r="B12" s="9" t="s">
        <v>98</v>
      </c>
      <c r="C12" s="9" t="s">
        <v>99</v>
      </c>
      <c r="D12" s="9" t="s">
        <v>100</v>
      </c>
      <c r="E12" s="9" t="s">
        <v>527</v>
      </c>
      <c r="F12" s="9" t="s">
        <v>530</v>
      </c>
      <c r="G12" s="17" t="s">
        <v>108</v>
      </c>
      <c r="H12" s="17" t="s">
        <v>20</v>
      </c>
      <c r="I12" s="17" t="s">
        <v>24</v>
      </c>
      <c r="J12" s="10"/>
      <c r="K12" s="10" t="str">
        <f>"85,0"</f>
        <v>85,0</v>
      </c>
      <c r="L12" s="10" t="str">
        <f>"67,5155"</f>
        <v>67,5155</v>
      </c>
      <c r="M12" s="9" t="s">
        <v>493</v>
      </c>
    </row>
    <row r="13" spans="1:13">
      <c r="A13" s="14" t="s">
        <v>78</v>
      </c>
      <c r="B13" s="13" t="s">
        <v>231</v>
      </c>
      <c r="C13" s="13" t="s">
        <v>462</v>
      </c>
      <c r="D13" s="13" t="s">
        <v>232</v>
      </c>
      <c r="E13" s="13" t="s">
        <v>561</v>
      </c>
      <c r="F13" s="13" t="s">
        <v>538</v>
      </c>
      <c r="G13" s="21" t="s">
        <v>39</v>
      </c>
      <c r="H13" s="22" t="s">
        <v>39</v>
      </c>
      <c r="I13" s="22" t="s">
        <v>31</v>
      </c>
      <c r="J13" s="14"/>
      <c r="K13" s="14" t="str">
        <f>"120,0"</f>
        <v>120,0</v>
      </c>
      <c r="L13" s="14" t="str">
        <f>"108,2607"</f>
        <v>108,2607</v>
      </c>
      <c r="M13" s="13"/>
    </row>
    <row r="14" spans="1:13">
      <c r="B14" s="5" t="s">
        <v>79</v>
      </c>
    </row>
    <row r="15" spans="1:13" ht="16">
      <c r="A15" s="35" t="s">
        <v>14</v>
      </c>
      <c r="B15" s="35"/>
      <c r="C15" s="35"/>
      <c r="D15" s="35"/>
      <c r="E15" s="35"/>
      <c r="F15" s="35"/>
      <c r="G15" s="35"/>
      <c r="H15" s="35"/>
      <c r="I15" s="35"/>
      <c r="J15" s="35"/>
    </row>
    <row r="16" spans="1:13">
      <c r="A16" s="8" t="s">
        <v>78</v>
      </c>
      <c r="B16" s="7" t="s">
        <v>403</v>
      </c>
      <c r="C16" s="7" t="s">
        <v>463</v>
      </c>
      <c r="D16" s="7" t="s">
        <v>404</v>
      </c>
      <c r="E16" s="7" t="s">
        <v>528</v>
      </c>
      <c r="F16" s="7" t="s">
        <v>530</v>
      </c>
      <c r="G16" s="15" t="s">
        <v>43</v>
      </c>
      <c r="H16" s="16" t="s">
        <v>104</v>
      </c>
      <c r="I16" s="16" t="s">
        <v>104</v>
      </c>
      <c r="J16" s="8"/>
      <c r="K16" s="8" t="str">
        <f>"140,0"</f>
        <v>140,0</v>
      </c>
      <c r="L16" s="8" t="str">
        <f>"98,0630"</f>
        <v>98,0630</v>
      </c>
      <c r="M16" s="7" t="s">
        <v>500</v>
      </c>
    </row>
    <row r="17" spans="1:13">
      <c r="B17" s="5" t="s">
        <v>79</v>
      </c>
    </row>
    <row r="18" spans="1:13" ht="16">
      <c r="A18" s="35" t="s">
        <v>97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3">
      <c r="A19" s="10" t="s">
        <v>78</v>
      </c>
      <c r="B19" s="9" t="s">
        <v>186</v>
      </c>
      <c r="C19" s="9" t="s">
        <v>187</v>
      </c>
      <c r="D19" s="9" t="s">
        <v>188</v>
      </c>
      <c r="E19" s="9" t="s">
        <v>527</v>
      </c>
      <c r="F19" s="9" t="s">
        <v>530</v>
      </c>
      <c r="G19" s="17" t="s">
        <v>75</v>
      </c>
      <c r="H19" s="10"/>
      <c r="I19" s="10"/>
      <c r="J19" s="10"/>
      <c r="K19" s="10" t="str">
        <f>"190,0"</f>
        <v>190,0</v>
      </c>
      <c r="L19" s="10" t="str">
        <f>"123,5475"</f>
        <v>123,5475</v>
      </c>
      <c r="M19" s="9"/>
    </row>
    <row r="20" spans="1:13">
      <c r="A20" s="14" t="s">
        <v>80</v>
      </c>
      <c r="B20" s="13" t="s">
        <v>257</v>
      </c>
      <c r="C20" s="13" t="s">
        <v>258</v>
      </c>
      <c r="D20" s="13" t="s">
        <v>259</v>
      </c>
      <c r="E20" s="13" t="s">
        <v>527</v>
      </c>
      <c r="F20" s="13" t="s">
        <v>530</v>
      </c>
      <c r="G20" s="22" t="s">
        <v>61</v>
      </c>
      <c r="H20" s="22" t="s">
        <v>119</v>
      </c>
      <c r="I20" s="14"/>
      <c r="J20" s="14"/>
      <c r="K20" s="14" t="str">
        <f>"182,5"</f>
        <v>182,5</v>
      </c>
      <c r="L20" s="14" t="str">
        <f>"118,4881"</f>
        <v>118,4881</v>
      </c>
      <c r="M20" s="13" t="s">
        <v>506</v>
      </c>
    </row>
    <row r="21" spans="1:13">
      <c r="B21" s="5" t="s">
        <v>79</v>
      </c>
    </row>
    <row r="22" spans="1:13" ht="16">
      <c r="A22" s="35" t="s">
        <v>35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3">
      <c r="A23" s="10" t="s">
        <v>78</v>
      </c>
      <c r="B23" s="9" t="s">
        <v>272</v>
      </c>
      <c r="C23" s="9" t="s">
        <v>273</v>
      </c>
      <c r="D23" s="9" t="s">
        <v>274</v>
      </c>
      <c r="E23" s="9" t="s">
        <v>527</v>
      </c>
      <c r="F23" s="9" t="s">
        <v>552</v>
      </c>
      <c r="G23" s="18" t="s">
        <v>145</v>
      </c>
      <c r="H23" s="17" t="s">
        <v>145</v>
      </c>
      <c r="I23" s="17" t="s">
        <v>147</v>
      </c>
      <c r="J23" s="10"/>
      <c r="K23" s="10" t="str">
        <f>"275,0"</f>
        <v>275,0</v>
      </c>
      <c r="L23" s="10" t="str">
        <f>"170,0737"</f>
        <v>170,0737</v>
      </c>
      <c r="M23" s="9"/>
    </row>
    <row r="24" spans="1:13">
      <c r="A24" s="14" t="s">
        <v>80</v>
      </c>
      <c r="B24" s="13" t="s">
        <v>405</v>
      </c>
      <c r="C24" s="13" t="s">
        <v>406</v>
      </c>
      <c r="D24" s="13" t="s">
        <v>407</v>
      </c>
      <c r="E24" s="13" t="s">
        <v>527</v>
      </c>
      <c r="F24" s="13" t="s">
        <v>530</v>
      </c>
      <c r="G24" s="22" t="s">
        <v>58</v>
      </c>
      <c r="H24" s="22" t="s">
        <v>146</v>
      </c>
      <c r="I24" s="22" t="s">
        <v>47</v>
      </c>
      <c r="J24" s="14"/>
      <c r="K24" s="14" t="str">
        <f>"220,0"</f>
        <v>220,0</v>
      </c>
      <c r="L24" s="14" t="str">
        <f>"137,4230"</f>
        <v>137,4230</v>
      </c>
      <c r="M24" s="13"/>
    </row>
    <row r="25" spans="1:13">
      <c r="B25" s="5" t="s">
        <v>79</v>
      </c>
    </row>
    <row r="26" spans="1:13" ht="16">
      <c r="A26" s="35" t="s">
        <v>69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3">
      <c r="A27" s="10" t="s">
        <v>78</v>
      </c>
      <c r="B27" s="9" t="s">
        <v>345</v>
      </c>
      <c r="C27" s="9" t="s">
        <v>346</v>
      </c>
      <c r="D27" s="9" t="s">
        <v>150</v>
      </c>
      <c r="E27" s="9" t="s">
        <v>527</v>
      </c>
      <c r="F27" s="9" t="s">
        <v>530</v>
      </c>
      <c r="G27" s="18" t="s">
        <v>51</v>
      </c>
      <c r="H27" s="17" t="s">
        <v>292</v>
      </c>
      <c r="I27" s="18" t="s">
        <v>29</v>
      </c>
      <c r="J27" s="10"/>
      <c r="K27" s="10" t="str">
        <f>"177,5"</f>
        <v>177,5</v>
      </c>
      <c r="L27" s="10" t="str">
        <f>"104,4144"</f>
        <v>104,4144</v>
      </c>
      <c r="M27" s="9" t="s">
        <v>493</v>
      </c>
    </row>
    <row r="28" spans="1:13">
      <c r="A28" s="14" t="s">
        <v>78</v>
      </c>
      <c r="B28" s="13" t="s">
        <v>408</v>
      </c>
      <c r="C28" s="13" t="s">
        <v>464</v>
      </c>
      <c r="D28" s="13" t="s">
        <v>288</v>
      </c>
      <c r="E28" s="13" t="s">
        <v>562</v>
      </c>
      <c r="F28" s="13" t="s">
        <v>530</v>
      </c>
      <c r="G28" s="22" t="s">
        <v>271</v>
      </c>
      <c r="H28" s="21" t="s">
        <v>58</v>
      </c>
      <c r="I28" s="21" t="s">
        <v>58</v>
      </c>
      <c r="J28" s="14"/>
      <c r="K28" s="14" t="str">
        <f>"202,5"</f>
        <v>202,5</v>
      </c>
      <c r="L28" s="14" t="str">
        <f>"124,8284"</f>
        <v>124,8284</v>
      </c>
      <c r="M28" s="13"/>
    </row>
    <row r="29" spans="1:13">
      <c r="B29" s="5" t="s">
        <v>79</v>
      </c>
    </row>
    <row r="30" spans="1:13" ht="16">
      <c r="A30" s="35" t="s">
        <v>137</v>
      </c>
      <c r="B30" s="35"/>
      <c r="C30" s="35"/>
      <c r="D30" s="35"/>
      <c r="E30" s="35"/>
      <c r="F30" s="35"/>
      <c r="G30" s="35"/>
      <c r="H30" s="35"/>
      <c r="I30" s="35"/>
      <c r="J30" s="35"/>
    </row>
    <row r="31" spans="1:13">
      <c r="A31" s="8" t="s">
        <v>78</v>
      </c>
      <c r="B31" s="7" t="s">
        <v>398</v>
      </c>
      <c r="C31" s="7" t="s">
        <v>399</v>
      </c>
      <c r="D31" s="7" t="s">
        <v>400</v>
      </c>
      <c r="E31" s="7" t="s">
        <v>527</v>
      </c>
      <c r="F31" s="7" t="s">
        <v>530</v>
      </c>
      <c r="G31" s="15" t="s">
        <v>64</v>
      </c>
      <c r="H31" s="15" t="s">
        <v>409</v>
      </c>
      <c r="I31" s="8"/>
      <c r="J31" s="8"/>
      <c r="K31" s="8" t="str">
        <f>"282,5"</f>
        <v>282,5</v>
      </c>
      <c r="L31" s="8" t="str">
        <f>"159,0757"</f>
        <v>159,0757</v>
      </c>
      <c r="M31" s="7" t="s">
        <v>517</v>
      </c>
    </row>
    <row r="32" spans="1:13">
      <c r="B32" s="5" t="s">
        <v>79</v>
      </c>
    </row>
    <row r="33" spans="1:13" ht="16">
      <c r="A33" s="35" t="s">
        <v>140</v>
      </c>
      <c r="B33" s="35"/>
      <c r="C33" s="35"/>
      <c r="D33" s="35"/>
      <c r="E33" s="35"/>
      <c r="F33" s="35"/>
      <c r="G33" s="35"/>
      <c r="H33" s="35"/>
      <c r="I33" s="35"/>
      <c r="J33" s="35"/>
    </row>
    <row r="34" spans="1:13">
      <c r="A34" s="8" t="s">
        <v>78</v>
      </c>
      <c r="B34" s="7" t="s">
        <v>311</v>
      </c>
      <c r="C34" s="7" t="s">
        <v>312</v>
      </c>
      <c r="D34" s="7" t="s">
        <v>313</v>
      </c>
      <c r="E34" s="7" t="s">
        <v>527</v>
      </c>
      <c r="F34" s="7" t="s">
        <v>530</v>
      </c>
      <c r="G34" s="15" t="s">
        <v>224</v>
      </c>
      <c r="H34" s="16" t="s">
        <v>136</v>
      </c>
      <c r="I34" s="16" t="s">
        <v>136</v>
      </c>
      <c r="J34" s="8"/>
      <c r="K34" s="8" t="str">
        <f>"232,5"</f>
        <v>232,5</v>
      </c>
      <c r="L34" s="8" t="str">
        <f>"128,5725"</f>
        <v>128,5725</v>
      </c>
      <c r="M34" s="7"/>
    </row>
    <row r="35" spans="1:13">
      <c r="B35" s="5" t="s">
        <v>79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0:J30"/>
    <mergeCell ref="A33:J33"/>
    <mergeCell ref="B3:B4"/>
    <mergeCell ref="A8:J8"/>
    <mergeCell ref="A11:J11"/>
    <mergeCell ref="A15:J15"/>
    <mergeCell ref="A18:J18"/>
    <mergeCell ref="A22:J22"/>
    <mergeCell ref="A26:J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46" t="s">
        <v>521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97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0" t="s">
        <v>78</v>
      </c>
      <c r="B6" s="9" t="s">
        <v>186</v>
      </c>
      <c r="C6" s="9" t="s">
        <v>187</v>
      </c>
      <c r="D6" s="9" t="s">
        <v>188</v>
      </c>
      <c r="E6" s="9" t="s">
        <v>527</v>
      </c>
      <c r="F6" s="9" t="s">
        <v>530</v>
      </c>
      <c r="G6" s="17" t="s">
        <v>75</v>
      </c>
      <c r="H6" s="10"/>
      <c r="I6" s="10"/>
      <c r="J6" s="10"/>
      <c r="K6" s="10" t="str">
        <f>"190,0"</f>
        <v>190,0</v>
      </c>
      <c r="L6" s="10" t="str">
        <f>"123,5475"</f>
        <v>123,5475</v>
      </c>
      <c r="M6" s="9"/>
    </row>
    <row r="7" spans="1:13">
      <c r="A7" s="14" t="s">
        <v>78</v>
      </c>
      <c r="B7" s="13" t="s">
        <v>401</v>
      </c>
      <c r="C7" s="13" t="s">
        <v>465</v>
      </c>
      <c r="D7" s="13" t="s">
        <v>402</v>
      </c>
      <c r="E7" s="13" t="s">
        <v>562</v>
      </c>
      <c r="F7" s="13" t="s">
        <v>553</v>
      </c>
      <c r="G7" s="22" t="s">
        <v>34</v>
      </c>
      <c r="H7" s="21" t="s">
        <v>47</v>
      </c>
      <c r="I7" s="21" t="s">
        <v>47</v>
      </c>
      <c r="J7" s="14"/>
      <c r="K7" s="14" t="str">
        <f>"210,0"</f>
        <v>210,0</v>
      </c>
      <c r="L7" s="14" t="str">
        <f>"154,4861"</f>
        <v>154,4861</v>
      </c>
      <c r="M7" s="13"/>
    </row>
    <row r="8" spans="1:13">
      <c r="B8" s="5" t="s">
        <v>79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6" t="s">
        <v>518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97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186</v>
      </c>
      <c r="C6" s="7" t="s">
        <v>187</v>
      </c>
      <c r="D6" s="7" t="s">
        <v>188</v>
      </c>
      <c r="E6" s="7" t="s">
        <v>527</v>
      </c>
      <c r="F6" s="7" t="s">
        <v>530</v>
      </c>
      <c r="G6" s="15" t="s">
        <v>75</v>
      </c>
      <c r="H6" s="8"/>
      <c r="I6" s="8"/>
      <c r="J6" s="8"/>
      <c r="K6" s="8" t="str">
        <f>"190,0"</f>
        <v>190,0</v>
      </c>
      <c r="L6" s="8" t="str">
        <f>"123,5475"</f>
        <v>123,5475</v>
      </c>
      <c r="M6" s="7"/>
    </row>
    <row r="7" spans="1:13">
      <c r="B7" s="5" t="s">
        <v>79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1640625" style="5" bestFit="1" customWidth="1"/>
    <col min="14" max="16384" width="9.1640625" style="3"/>
  </cols>
  <sheetData>
    <row r="1" spans="1:13" s="2" customFormat="1" ht="29" customHeight="1">
      <c r="A1" s="46" t="s">
        <v>519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97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0" t="s">
        <v>78</v>
      </c>
      <c r="B6" s="9" t="s">
        <v>410</v>
      </c>
      <c r="C6" s="9" t="s">
        <v>411</v>
      </c>
      <c r="D6" s="9" t="s">
        <v>188</v>
      </c>
      <c r="E6" s="9" t="s">
        <v>527</v>
      </c>
      <c r="F6" s="9" t="s">
        <v>554</v>
      </c>
      <c r="G6" s="17" t="s">
        <v>52</v>
      </c>
      <c r="H6" s="17" t="s">
        <v>53</v>
      </c>
      <c r="I6" s="18" t="s">
        <v>412</v>
      </c>
      <c r="J6" s="10"/>
      <c r="K6" s="10" t="str">
        <f>"300,0"</f>
        <v>300,0</v>
      </c>
      <c r="L6" s="10" t="str">
        <f>"195,0750"</f>
        <v>195,0750</v>
      </c>
      <c r="M6" s="9"/>
    </row>
    <row r="7" spans="1:13">
      <c r="A7" s="14" t="s">
        <v>80</v>
      </c>
      <c r="B7" s="13" t="s">
        <v>186</v>
      </c>
      <c r="C7" s="13" t="s">
        <v>187</v>
      </c>
      <c r="D7" s="13" t="s">
        <v>188</v>
      </c>
      <c r="E7" s="13" t="s">
        <v>527</v>
      </c>
      <c r="F7" s="13" t="s">
        <v>530</v>
      </c>
      <c r="G7" s="22" t="s">
        <v>75</v>
      </c>
      <c r="H7" s="14"/>
      <c r="I7" s="14"/>
      <c r="J7" s="14"/>
      <c r="K7" s="14" t="str">
        <f>"190,0"</f>
        <v>190,0</v>
      </c>
      <c r="L7" s="14" t="str">
        <f>"123,5475"</f>
        <v>123,5475</v>
      </c>
      <c r="M7" s="13"/>
    </row>
    <row r="8" spans="1:13">
      <c r="B8" s="5" t="s">
        <v>79</v>
      </c>
    </row>
    <row r="9" spans="1:13" ht="16">
      <c r="A9" s="35" t="s">
        <v>35</v>
      </c>
      <c r="B9" s="35"/>
      <c r="C9" s="35"/>
      <c r="D9" s="35"/>
      <c r="E9" s="35"/>
      <c r="F9" s="35"/>
      <c r="G9" s="35"/>
      <c r="H9" s="35"/>
      <c r="I9" s="35"/>
      <c r="J9" s="35"/>
    </row>
    <row r="10" spans="1:13">
      <c r="A10" s="8" t="s">
        <v>78</v>
      </c>
      <c r="B10" s="7" t="s">
        <v>413</v>
      </c>
      <c r="C10" s="7" t="s">
        <v>414</v>
      </c>
      <c r="D10" s="7" t="s">
        <v>415</v>
      </c>
      <c r="E10" s="7" t="s">
        <v>527</v>
      </c>
      <c r="F10" s="7" t="s">
        <v>532</v>
      </c>
      <c r="G10" s="15" t="s">
        <v>136</v>
      </c>
      <c r="H10" s="15" t="s">
        <v>73</v>
      </c>
      <c r="I10" s="16" t="s">
        <v>74</v>
      </c>
      <c r="J10" s="8"/>
      <c r="K10" s="8" t="str">
        <f>"270,0"</f>
        <v>270,0</v>
      </c>
      <c r="L10" s="8" t="str">
        <f>"166,3335"</f>
        <v>166,3335</v>
      </c>
      <c r="M10" s="7" t="s">
        <v>522</v>
      </c>
    </row>
    <row r="11" spans="1:13">
      <c r="B11" s="5" t="s">
        <v>79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5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1640625" style="5" customWidth="1"/>
    <col min="14" max="16384" width="9.1640625" style="3"/>
  </cols>
  <sheetData>
    <row r="1" spans="1:13" s="2" customFormat="1" ht="29" customHeight="1">
      <c r="A1" s="46" t="s">
        <v>437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25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0" t="s">
        <v>78</v>
      </c>
      <c r="B6" s="9" t="s">
        <v>420</v>
      </c>
      <c r="C6" s="9" t="s">
        <v>117</v>
      </c>
      <c r="D6" s="9" t="s">
        <v>421</v>
      </c>
      <c r="E6" s="9" t="s">
        <v>527</v>
      </c>
      <c r="F6" s="9" t="s">
        <v>555</v>
      </c>
      <c r="G6" s="17" t="s">
        <v>109</v>
      </c>
      <c r="H6" s="17" t="s">
        <v>31</v>
      </c>
      <c r="I6" s="18" t="s">
        <v>32</v>
      </c>
      <c r="J6" s="10"/>
      <c r="K6" s="10" t="str">
        <f>"120,0"</f>
        <v>120,0</v>
      </c>
      <c r="L6" s="10" t="str">
        <f>"91,5600"</f>
        <v>91,5600</v>
      </c>
      <c r="M6" s="9" t="s">
        <v>436</v>
      </c>
    </row>
    <row r="7" spans="1:13">
      <c r="A7" s="14" t="s">
        <v>78</v>
      </c>
      <c r="B7" s="13" t="s">
        <v>422</v>
      </c>
      <c r="C7" s="13" t="s">
        <v>423</v>
      </c>
      <c r="D7" s="13" t="s">
        <v>424</v>
      </c>
      <c r="E7" s="13" t="s">
        <v>562</v>
      </c>
      <c r="F7" s="13" t="s">
        <v>551</v>
      </c>
      <c r="G7" s="22" t="s">
        <v>18</v>
      </c>
      <c r="H7" s="22" t="s">
        <v>19</v>
      </c>
      <c r="I7" s="22" t="s">
        <v>20</v>
      </c>
      <c r="J7" s="14"/>
      <c r="K7" s="14" t="str">
        <f>"75,0"</f>
        <v>75,0</v>
      </c>
      <c r="L7" s="14" t="str">
        <f>"58,3389"</f>
        <v>58,3389</v>
      </c>
      <c r="M7" s="13" t="s">
        <v>436</v>
      </c>
    </row>
    <row r="8" spans="1:13">
      <c r="B8" s="5" t="s">
        <v>79</v>
      </c>
    </row>
    <row r="9" spans="1:13" ht="16">
      <c r="A9" s="35" t="s">
        <v>14</v>
      </c>
      <c r="B9" s="35"/>
      <c r="C9" s="35"/>
      <c r="D9" s="35"/>
      <c r="E9" s="35"/>
      <c r="F9" s="35"/>
      <c r="G9" s="35"/>
      <c r="H9" s="35"/>
      <c r="I9" s="35"/>
      <c r="J9" s="35"/>
    </row>
    <row r="10" spans="1:13">
      <c r="A10" s="8" t="s">
        <v>78</v>
      </c>
      <c r="B10" s="7" t="s">
        <v>425</v>
      </c>
      <c r="C10" s="7" t="s">
        <v>426</v>
      </c>
      <c r="D10" s="7" t="s">
        <v>427</v>
      </c>
      <c r="E10" s="7" t="s">
        <v>562</v>
      </c>
      <c r="F10" s="7" t="s">
        <v>530</v>
      </c>
      <c r="G10" s="15" t="s">
        <v>428</v>
      </c>
      <c r="H10" s="15" t="s">
        <v>50</v>
      </c>
      <c r="I10" s="8"/>
      <c r="J10" s="8"/>
      <c r="K10" s="8" t="str">
        <f>"165,0"</f>
        <v>165,0</v>
      </c>
      <c r="L10" s="8" t="str">
        <f>"125,5780"</f>
        <v>125,5780</v>
      </c>
      <c r="M10" s="7"/>
    </row>
    <row r="11" spans="1:13">
      <c r="B11" s="5" t="s">
        <v>79</v>
      </c>
    </row>
    <row r="12" spans="1:13" ht="16">
      <c r="A12" s="35" t="s">
        <v>137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3">
      <c r="A13" s="8" t="s">
        <v>78</v>
      </c>
      <c r="B13" s="7" t="s">
        <v>429</v>
      </c>
      <c r="C13" s="7" t="s">
        <v>430</v>
      </c>
      <c r="D13" s="7" t="s">
        <v>431</v>
      </c>
      <c r="E13" s="7" t="s">
        <v>562</v>
      </c>
      <c r="F13" s="7" t="s">
        <v>556</v>
      </c>
      <c r="G13" s="15" t="s">
        <v>24</v>
      </c>
      <c r="H13" s="15" t="s">
        <v>41</v>
      </c>
      <c r="I13" s="15" t="s">
        <v>66</v>
      </c>
      <c r="J13" s="8"/>
      <c r="K13" s="8" t="str">
        <f>"95,0"</f>
        <v>95,0</v>
      </c>
      <c r="L13" s="8" t="str">
        <f>"56,3645"</f>
        <v>56,3645</v>
      </c>
      <c r="M13" s="7"/>
    </row>
    <row r="14" spans="1:13">
      <c r="B14" s="5" t="s">
        <v>79</v>
      </c>
    </row>
    <row r="15" spans="1:13" ht="16">
      <c r="A15" s="35" t="s">
        <v>432</v>
      </c>
      <c r="B15" s="35"/>
      <c r="C15" s="35"/>
      <c r="D15" s="35"/>
      <c r="E15" s="35"/>
      <c r="F15" s="35"/>
      <c r="G15" s="35"/>
      <c r="H15" s="35"/>
      <c r="I15" s="35"/>
      <c r="J15" s="35"/>
    </row>
    <row r="16" spans="1:13">
      <c r="A16" s="8" t="s">
        <v>78</v>
      </c>
      <c r="B16" s="7" t="s">
        <v>433</v>
      </c>
      <c r="C16" s="7" t="s">
        <v>434</v>
      </c>
      <c r="D16" s="7" t="s">
        <v>435</v>
      </c>
      <c r="E16" s="7" t="s">
        <v>562</v>
      </c>
      <c r="F16" s="7" t="s">
        <v>556</v>
      </c>
      <c r="G16" s="15" t="s">
        <v>41</v>
      </c>
      <c r="H16" s="15" t="s">
        <v>42</v>
      </c>
      <c r="I16" s="15" t="s">
        <v>96</v>
      </c>
      <c r="J16" s="8"/>
      <c r="K16" s="8" t="str">
        <f>"107,5"</f>
        <v>107,5</v>
      </c>
      <c r="L16" s="8" t="str">
        <f>"58,3228"</f>
        <v>58,3228</v>
      </c>
      <c r="M16" s="7" t="s">
        <v>436</v>
      </c>
    </row>
    <row r="17" spans="2:2">
      <c r="B17" s="5" t="s">
        <v>79</v>
      </c>
    </row>
    <row r="18" spans="2:2">
      <c r="B18" s="5" t="s">
        <v>79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2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4.6640625" style="5" customWidth="1"/>
    <col min="7" max="9" width="5.5" style="6" customWidth="1"/>
    <col min="10" max="10" width="4.83203125" style="6" customWidth="1"/>
    <col min="11" max="11" width="11.33203125" style="6" bestFit="1" customWidth="1"/>
    <col min="12" max="12" width="8.5" style="6" bestFit="1" customWidth="1"/>
    <col min="13" max="13" width="24.83203125" style="5" bestFit="1" customWidth="1"/>
    <col min="14" max="16384" width="9.1640625" style="3"/>
  </cols>
  <sheetData>
    <row r="1" spans="1:13" s="2" customFormat="1" ht="29" customHeight="1">
      <c r="A1" s="46" t="s">
        <v>450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13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88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335</v>
      </c>
      <c r="C6" s="7" t="s">
        <v>336</v>
      </c>
      <c r="D6" s="7" t="s">
        <v>337</v>
      </c>
      <c r="E6" s="7" t="s">
        <v>527</v>
      </c>
      <c r="F6" s="7" t="s">
        <v>530</v>
      </c>
      <c r="G6" s="16" t="s">
        <v>68</v>
      </c>
      <c r="H6" s="15" t="s">
        <v>250</v>
      </c>
      <c r="I6" s="16" t="s">
        <v>103</v>
      </c>
      <c r="J6" s="8"/>
      <c r="K6" s="8" t="str">
        <f>"137,5"</f>
        <v>137,5</v>
      </c>
      <c r="L6" s="8" t="str">
        <f>"156,1312"</f>
        <v>156,1312</v>
      </c>
      <c r="M6" s="23" t="s">
        <v>513</v>
      </c>
    </row>
    <row r="7" spans="1:13">
      <c r="B7" s="5" t="s">
        <v>79</v>
      </c>
    </row>
    <row r="8" spans="1:13" ht="16">
      <c r="A8" s="35" t="s">
        <v>25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10" t="s">
        <v>78</v>
      </c>
      <c r="B9" s="9" t="s">
        <v>338</v>
      </c>
      <c r="C9" s="9" t="s">
        <v>339</v>
      </c>
      <c r="D9" s="9" t="s">
        <v>112</v>
      </c>
      <c r="E9" s="9" t="s">
        <v>527</v>
      </c>
      <c r="F9" s="9" t="s">
        <v>530</v>
      </c>
      <c r="G9" s="17" t="s">
        <v>104</v>
      </c>
      <c r="H9" s="17" t="s">
        <v>60</v>
      </c>
      <c r="I9" s="17" t="s">
        <v>340</v>
      </c>
      <c r="J9" s="10"/>
      <c r="K9" s="10" t="str">
        <f>"172,5"</f>
        <v>172,5</v>
      </c>
      <c r="L9" s="10" t="str">
        <f>"179,3483"</f>
        <v>179,3483</v>
      </c>
      <c r="M9" s="26" t="s">
        <v>511</v>
      </c>
    </row>
    <row r="10" spans="1:13">
      <c r="A10" s="14" t="s">
        <v>78</v>
      </c>
      <c r="B10" s="13" t="s">
        <v>338</v>
      </c>
      <c r="C10" s="13" t="s">
        <v>473</v>
      </c>
      <c r="D10" s="13" t="s">
        <v>112</v>
      </c>
      <c r="E10" s="13" t="s">
        <v>561</v>
      </c>
      <c r="F10" s="13" t="s">
        <v>530</v>
      </c>
      <c r="G10" s="22" t="s">
        <v>104</v>
      </c>
      <c r="H10" s="22" t="s">
        <v>60</v>
      </c>
      <c r="I10" s="22" t="s">
        <v>340</v>
      </c>
      <c r="J10" s="14"/>
      <c r="K10" s="14" t="str">
        <f>"172,5"</f>
        <v>172,5</v>
      </c>
      <c r="L10" s="14" t="str">
        <f>"203,0222"</f>
        <v>203,0222</v>
      </c>
      <c r="M10" s="24" t="s">
        <v>511</v>
      </c>
    </row>
    <row r="11" spans="1:13">
      <c r="B11" s="5" t="s">
        <v>79</v>
      </c>
    </row>
    <row r="12" spans="1:13" ht="16">
      <c r="A12" s="35" t="s">
        <v>97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3">
      <c r="A13" s="8" t="s">
        <v>78</v>
      </c>
      <c r="B13" s="7" t="s">
        <v>98</v>
      </c>
      <c r="C13" s="7" t="s">
        <v>99</v>
      </c>
      <c r="D13" s="7" t="s">
        <v>100</v>
      </c>
      <c r="E13" s="7" t="s">
        <v>527</v>
      </c>
      <c r="F13" s="7" t="s">
        <v>530</v>
      </c>
      <c r="G13" s="15" t="s">
        <v>103</v>
      </c>
      <c r="H13" s="15" t="s">
        <v>104</v>
      </c>
      <c r="I13" s="16" t="s">
        <v>50</v>
      </c>
      <c r="J13" s="8"/>
      <c r="K13" s="8" t="str">
        <f>"162,5"</f>
        <v>162,5</v>
      </c>
      <c r="L13" s="8" t="str">
        <f>"147,4850"</f>
        <v>147,4850</v>
      </c>
      <c r="M13" s="23" t="s">
        <v>493</v>
      </c>
    </row>
    <row r="14" spans="1:13">
      <c r="B14" s="5" t="s">
        <v>79</v>
      </c>
    </row>
    <row r="15" spans="1:13" ht="16">
      <c r="A15" s="35" t="s">
        <v>25</v>
      </c>
      <c r="B15" s="35"/>
      <c r="C15" s="35"/>
      <c r="D15" s="35"/>
      <c r="E15" s="35"/>
      <c r="F15" s="35"/>
      <c r="G15" s="35"/>
      <c r="H15" s="35"/>
      <c r="I15" s="35"/>
      <c r="J15" s="35"/>
    </row>
    <row r="16" spans="1:13">
      <c r="A16" s="8" t="s">
        <v>78</v>
      </c>
      <c r="B16" s="7" t="s">
        <v>155</v>
      </c>
      <c r="C16" s="7" t="s">
        <v>156</v>
      </c>
      <c r="D16" s="7" t="s">
        <v>157</v>
      </c>
      <c r="E16" s="7" t="s">
        <v>527</v>
      </c>
      <c r="F16" s="7" t="s">
        <v>532</v>
      </c>
      <c r="G16" s="15" t="s">
        <v>29</v>
      </c>
      <c r="H16" s="15" t="s">
        <v>159</v>
      </c>
      <c r="I16" s="15" t="s">
        <v>160</v>
      </c>
      <c r="J16" s="8"/>
      <c r="K16" s="8" t="str">
        <f>"197,5"</f>
        <v>197,5</v>
      </c>
      <c r="L16" s="8" t="str">
        <f>"152,2725"</f>
        <v>152,2725</v>
      </c>
      <c r="M16" s="23" t="s">
        <v>331</v>
      </c>
    </row>
    <row r="17" spans="1:13">
      <c r="B17" s="5" t="s">
        <v>79</v>
      </c>
    </row>
    <row r="18" spans="1:13" ht="16">
      <c r="A18" s="35" t="s">
        <v>14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3">
      <c r="A19" s="8" t="s">
        <v>78</v>
      </c>
      <c r="B19" s="7" t="s">
        <v>341</v>
      </c>
      <c r="C19" s="7" t="s">
        <v>342</v>
      </c>
      <c r="D19" s="7" t="s">
        <v>343</v>
      </c>
      <c r="E19" s="7" t="s">
        <v>527</v>
      </c>
      <c r="F19" s="7" t="s">
        <v>530</v>
      </c>
      <c r="G19" s="15" t="s">
        <v>32</v>
      </c>
      <c r="H19" s="15" t="s">
        <v>43</v>
      </c>
      <c r="I19" s="15" t="s">
        <v>241</v>
      </c>
      <c r="J19" s="8"/>
      <c r="K19" s="8" t="str">
        <f>"147,5"</f>
        <v>147,5</v>
      </c>
      <c r="L19" s="8" t="str">
        <f>"105,1085"</f>
        <v>105,1085</v>
      </c>
      <c r="M19" s="7" t="s">
        <v>344</v>
      </c>
    </row>
    <row r="20" spans="1:13">
      <c r="B20" s="5" t="s">
        <v>79</v>
      </c>
    </row>
    <row r="21" spans="1:13" ht="16">
      <c r="A21" s="35" t="s">
        <v>97</v>
      </c>
      <c r="B21" s="35"/>
      <c r="C21" s="35"/>
      <c r="D21" s="35"/>
      <c r="E21" s="35"/>
      <c r="F21" s="35"/>
      <c r="G21" s="35"/>
      <c r="H21" s="35"/>
      <c r="I21" s="35"/>
      <c r="J21" s="35"/>
    </row>
    <row r="22" spans="1:13">
      <c r="A22" s="8" t="s">
        <v>78</v>
      </c>
      <c r="B22" s="7" t="s">
        <v>113</v>
      </c>
      <c r="C22" s="7" t="s">
        <v>472</v>
      </c>
      <c r="D22" s="7" t="s">
        <v>114</v>
      </c>
      <c r="E22" s="7" t="s">
        <v>529</v>
      </c>
      <c r="F22" s="7" t="s">
        <v>530</v>
      </c>
      <c r="G22" s="15" t="s">
        <v>50</v>
      </c>
      <c r="H22" s="15" t="s">
        <v>29</v>
      </c>
      <c r="I22" s="16" t="s">
        <v>75</v>
      </c>
      <c r="J22" s="8"/>
      <c r="K22" s="8" t="str">
        <f>"180,0"</f>
        <v>180,0</v>
      </c>
      <c r="L22" s="8" t="str">
        <f>"122,5980"</f>
        <v>122,5980</v>
      </c>
      <c r="M22" s="7" t="s">
        <v>115</v>
      </c>
    </row>
    <row r="23" spans="1:13">
      <c r="B23" s="5" t="s">
        <v>79</v>
      </c>
    </row>
    <row r="24" spans="1:13" ht="16">
      <c r="A24" s="35" t="s">
        <v>69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3">
      <c r="A25" s="10" t="s">
        <v>78</v>
      </c>
      <c r="B25" s="9" t="s">
        <v>284</v>
      </c>
      <c r="C25" s="9" t="s">
        <v>285</v>
      </c>
      <c r="D25" s="9" t="s">
        <v>150</v>
      </c>
      <c r="E25" s="9" t="s">
        <v>527</v>
      </c>
      <c r="F25" s="9" t="s">
        <v>530</v>
      </c>
      <c r="G25" s="18" t="s">
        <v>62</v>
      </c>
      <c r="H25" s="18" t="s">
        <v>62</v>
      </c>
      <c r="I25" s="17" t="s">
        <v>62</v>
      </c>
      <c r="J25" s="10"/>
      <c r="K25" s="10" t="str">
        <f>"245,0"</f>
        <v>245,0</v>
      </c>
      <c r="L25" s="10" t="str">
        <f>"150,7975"</f>
        <v>150,7975</v>
      </c>
      <c r="M25" s="26"/>
    </row>
    <row r="26" spans="1:13">
      <c r="A26" s="14" t="s">
        <v>80</v>
      </c>
      <c r="B26" s="13" t="s">
        <v>345</v>
      </c>
      <c r="C26" s="13" t="s">
        <v>346</v>
      </c>
      <c r="D26" s="13" t="s">
        <v>150</v>
      </c>
      <c r="E26" s="13" t="s">
        <v>527</v>
      </c>
      <c r="F26" s="13" t="s">
        <v>530</v>
      </c>
      <c r="G26" s="22" t="s">
        <v>75</v>
      </c>
      <c r="H26" s="22" t="s">
        <v>34</v>
      </c>
      <c r="I26" s="22" t="s">
        <v>58</v>
      </c>
      <c r="J26" s="14"/>
      <c r="K26" s="14" t="str">
        <f>"215,0"</f>
        <v>215,0</v>
      </c>
      <c r="L26" s="14" t="str">
        <f>"132,3325"</f>
        <v>132,3325</v>
      </c>
      <c r="M26" s="24" t="s">
        <v>493</v>
      </c>
    </row>
    <row r="27" spans="1:13">
      <c r="B27" s="5" t="s">
        <v>79</v>
      </c>
    </row>
    <row r="28" spans="1:13">
      <c r="B28" s="5" t="s">
        <v>79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4:J24"/>
    <mergeCell ref="K3:K4"/>
    <mergeCell ref="L3:L4"/>
    <mergeCell ref="M3:M4"/>
    <mergeCell ref="A5:J5"/>
    <mergeCell ref="B3:B4"/>
    <mergeCell ref="A8:J8"/>
    <mergeCell ref="A12:J12"/>
    <mergeCell ref="A15:J15"/>
    <mergeCell ref="A18:J18"/>
    <mergeCell ref="A21:J2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1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5.33203125" style="5" customWidth="1"/>
    <col min="7" max="9" width="5.5" style="6" customWidth="1"/>
    <col min="10" max="10" width="4.83203125" style="6" customWidth="1"/>
    <col min="11" max="11" width="11.33203125" style="6" bestFit="1" customWidth="1"/>
    <col min="12" max="12" width="8.5" style="6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46" t="s">
        <v>451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13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14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314</v>
      </c>
      <c r="C6" s="7" t="s">
        <v>315</v>
      </c>
      <c r="D6" s="7" t="s">
        <v>316</v>
      </c>
      <c r="E6" s="7" t="s">
        <v>563</v>
      </c>
      <c r="F6" s="7" t="s">
        <v>530</v>
      </c>
      <c r="G6" s="15" t="s">
        <v>41</v>
      </c>
      <c r="H6" s="15" t="s">
        <v>67</v>
      </c>
      <c r="I6" s="16" t="s">
        <v>109</v>
      </c>
      <c r="J6" s="8"/>
      <c r="K6" s="8" t="str">
        <f>"105,0"</f>
        <v>105,0</v>
      </c>
      <c r="L6" s="8" t="str">
        <f>"159,0238"</f>
        <v>159,0238</v>
      </c>
      <c r="M6" s="7"/>
    </row>
    <row r="7" spans="1:13">
      <c r="B7" s="5" t="s">
        <v>79</v>
      </c>
    </row>
    <row r="8" spans="1:13" ht="16">
      <c r="A8" s="35" t="s">
        <v>97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8" t="s">
        <v>78</v>
      </c>
      <c r="B9" s="7" t="s">
        <v>317</v>
      </c>
      <c r="C9" s="7" t="s">
        <v>318</v>
      </c>
      <c r="D9" s="7" t="s">
        <v>319</v>
      </c>
      <c r="E9" s="7" t="s">
        <v>527</v>
      </c>
      <c r="F9" s="7" t="s">
        <v>530</v>
      </c>
      <c r="G9" s="16" t="s">
        <v>29</v>
      </c>
      <c r="H9" s="15" t="s">
        <v>29</v>
      </c>
      <c r="I9" s="15" t="s">
        <v>33</v>
      </c>
      <c r="J9" s="8"/>
      <c r="K9" s="8" t="str">
        <f>"200,0"</f>
        <v>200,0</v>
      </c>
      <c r="L9" s="8" t="str">
        <f>"137,5200"</f>
        <v>137,5200</v>
      </c>
      <c r="M9" s="23" t="s">
        <v>512</v>
      </c>
    </row>
    <row r="10" spans="1:13">
      <c r="B10" s="5" t="s">
        <v>79</v>
      </c>
    </row>
    <row r="11" spans="1:13" ht="16">
      <c r="A11" s="35" t="s">
        <v>35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>
      <c r="A12" s="8" t="s">
        <v>78</v>
      </c>
      <c r="B12" s="7" t="s">
        <v>320</v>
      </c>
      <c r="C12" s="7" t="s">
        <v>321</v>
      </c>
      <c r="D12" s="7" t="s">
        <v>322</v>
      </c>
      <c r="E12" s="7" t="s">
        <v>527</v>
      </c>
      <c r="F12" s="7" t="s">
        <v>530</v>
      </c>
      <c r="G12" s="16" t="s">
        <v>30</v>
      </c>
      <c r="H12" s="15" t="s">
        <v>75</v>
      </c>
      <c r="I12" s="16" t="s">
        <v>323</v>
      </c>
      <c r="J12" s="8"/>
      <c r="K12" s="8" t="str">
        <f>"190,0"</f>
        <v>190,0</v>
      </c>
      <c r="L12" s="8" t="str">
        <f>"123,0250"</f>
        <v>123,0250</v>
      </c>
      <c r="M12" s="23" t="s">
        <v>115</v>
      </c>
    </row>
    <row r="13" spans="1:13">
      <c r="B13" s="5" t="s">
        <v>79</v>
      </c>
    </row>
    <row r="14" spans="1:13" ht="16">
      <c r="A14" s="35" t="s">
        <v>137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3">
      <c r="A15" s="10" t="s">
        <v>78</v>
      </c>
      <c r="B15" s="9" t="s">
        <v>324</v>
      </c>
      <c r="C15" s="9" t="s">
        <v>325</v>
      </c>
      <c r="D15" s="9" t="s">
        <v>326</v>
      </c>
      <c r="E15" s="9" t="s">
        <v>527</v>
      </c>
      <c r="F15" s="9" t="s">
        <v>542</v>
      </c>
      <c r="G15" s="17" t="s">
        <v>145</v>
      </c>
      <c r="H15" s="17" t="s">
        <v>52</v>
      </c>
      <c r="I15" s="18" t="s">
        <v>327</v>
      </c>
      <c r="J15" s="10"/>
      <c r="K15" s="10" t="str">
        <f>"280,0"</f>
        <v>280,0</v>
      </c>
      <c r="L15" s="10" t="str">
        <f>"165,2560"</f>
        <v>165,2560</v>
      </c>
      <c r="M15" s="9"/>
    </row>
    <row r="16" spans="1:13">
      <c r="A16" s="12" t="s">
        <v>80</v>
      </c>
      <c r="B16" s="11" t="s">
        <v>328</v>
      </c>
      <c r="C16" s="11" t="s">
        <v>329</v>
      </c>
      <c r="D16" s="11" t="s">
        <v>330</v>
      </c>
      <c r="E16" s="11" t="s">
        <v>527</v>
      </c>
      <c r="F16" s="11" t="s">
        <v>530</v>
      </c>
      <c r="G16" s="19" t="s">
        <v>136</v>
      </c>
      <c r="H16" s="20" t="s">
        <v>145</v>
      </c>
      <c r="I16" s="20" t="s">
        <v>52</v>
      </c>
      <c r="J16" s="12"/>
      <c r="K16" s="12" t="str">
        <f>"280,0"</f>
        <v>280,0</v>
      </c>
      <c r="L16" s="12" t="str">
        <f>"164,7800"</f>
        <v>164,7800</v>
      </c>
      <c r="M16" s="11" t="s">
        <v>331</v>
      </c>
    </row>
    <row r="17" spans="1:13">
      <c r="A17" s="14" t="s">
        <v>78</v>
      </c>
      <c r="B17" s="13" t="s">
        <v>332</v>
      </c>
      <c r="C17" s="13" t="s">
        <v>474</v>
      </c>
      <c r="D17" s="13" t="s">
        <v>297</v>
      </c>
      <c r="E17" s="13" t="s">
        <v>564</v>
      </c>
      <c r="F17" s="13" t="s">
        <v>530</v>
      </c>
      <c r="G17" s="22" t="s">
        <v>323</v>
      </c>
      <c r="H17" s="21" t="s">
        <v>333</v>
      </c>
      <c r="I17" s="22" t="s">
        <v>333</v>
      </c>
      <c r="J17" s="14"/>
      <c r="K17" s="14" t="str">
        <f>"212,5"</f>
        <v>212,5</v>
      </c>
      <c r="L17" s="14" t="str">
        <f>"160,4951"</f>
        <v>160,4951</v>
      </c>
      <c r="M17" s="13" t="s">
        <v>334</v>
      </c>
    </row>
    <row r="18" spans="1:13">
      <c r="B18" s="5" t="s">
        <v>79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5">
    <pageSetUpPr fitToPage="1"/>
  </sheetPr>
  <dimension ref="A1:U19"/>
  <sheetViews>
    <sheetView zoomScaleNormal="100"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6640625" style="5" bestFit="1" customWidth="1"/>
    <col min="22" max="16384" width="9.1640625" style="3"/>
  </cols>
  <sheetData>
    <row r="1" spans="1:21" s="2" customFormat="1" ht="29" customHeight="1">
      <c r="A1" s="46" t="s">
        <v>459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11</v>
      </c>
      <c r="H3" s="40"/>
      <c r="I3" s="40"/>
      <c r="J3" s="40"/>
      <c r="K3" s="40" t="s">
        <v>12</v>
      </c>
      <c r="L3" s="40"/>
      <c r="M3" s="40"/>
      <c r="N3" s="40"/>
      <c r="O3" s="40" t="s">
        <v>13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3"/>
    </row>
    <row r="5" spans="1:21" ht="16">
      <c r="A5" s="44" t="s">
        <v>14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8" t="s">
        <v>78</v>
      </c>
      <c r="B6" s="7" t="s">
        <v>15</v>
      </c>
      <c r="C6" s="7" t="s">
        <v>16</v>
      </c>
      <c r="D6" s="7" t="s">
        <v>17</v>
      </c>
      <c r="E6" s="7" t="s">
        <v>527</v>
      </c>
      <c r="F6" s="7" t="s">
        <v>530</v>
      </c>
      <c r="G6" s="15" t="s">
        <v>18</v>
      </c>
      <c r="H6" s="15" t="s">
        <v>19</v>
      </c>
      <c r="I6" s="15" t="s">
        <v>20</v>
      </c>
      <c r="J6" s="8"/>
      <c r="K6" s="15" t="s">
        <v>21</v>
      </c>
      <c r="L6" s="16" t="s">
        <v>22</v>
      </c>
      <c r="M6" s="16" t="s">
        <v>22</v>
      </c>
      <c r="N6" s="8"/>
      <c r="O6" s="15" t="s">
        <v>20</v>
      </c>
      <c r="P6" s="15" t="s">
        <v>23</v>
      </c>
      <c r="Q6" s="15" t="s">
        <v>24</v>
      </c>
      <c r="R6" s="8"/>
      <c r="S6" s="8" t="str">
        <f>"195,0"</f>
        <v>195,0</v>
      </c>
      <c r="T6" s="8" t="str">
        <f>"196,7550"</f>
        <v>196,7550</v>
      </c>
      <c r="U6" s="23" t="s">
        <v>499</v>
      </c>
    </row>
    <row r="7" spans="1:21">
      <c r="B7" s="5" t="s">
        <v>79</v>
      </c>
    </row>
    <row r="8" spans="1:21" ht="16">
      <c r="A8" s="35" t="s">
        <v>25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8" t="s">
        <v>78</v>
      </c>
      <c r="B9" s="7" t="s">
        <v>26</v>
      </c>
      <c r="C9" s="7" t="s">
        <v>27</v>
      </c>
      <c r="D9" s="7" t="s">
        <v>28</v>
      </c>
      <c r="E9" s="7" t="s">
        <v>527</v>
      </c>
      <c r="F9" s="7" t="s">
        <v>534</v>
      </c>
      <c r="G9" s="15" t="s">
        <v>29</v>
      </c>
      <c r="H9" s="16" t="s">
        <v>30</v>
      </c>
      <c r="I9" s="16" t="s">
        <v>30</v>
      </c>
      <c r="J9" s="8"/>
      <c r="K9" s="15" t="s">
        <v>31</v>
      </c>
      <c r="L9" s="16" t="s">
        <v>32</v>
      </c>
      <c r="M9" s="16" t="s">
        <v>32</v>
      </c>
      <c r="N9" s="8"/>
      <c r="O9" s="15" t="s">
        <v>33</v>
      </c>
      <c r="P9" s="16" t="s">
        <v>34</v>
      </c>
      <c r="Q9" s="8"/>
      <c r="R9" s="8"/>
      <c r="S9" s="8" t="str">
        <f>"500,0"</f>
        <v>500,0</v>
      </c>
      <c r="T9" s="8" t="str">
        <f>"391,1500"</f>
        <v>391,1500</v>
      </c>
      <c r="U9" s="7"/>
    </row>
    <row r="10" spans="1:21">
      <c r="B10" s="5" t="s">
        <v>79</v>
      </c>
    </row>
    <row r="11" spans="1:21" ht="16">
      <c r="A11" s="35" t="s">
        <v>35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21">
      <c r="A12" s="10" t="s">
        <v>78</v>
      </c>
      <c r="B12" s="9" t="s">
        <v>36</v>
      </c>
      <c r="C12" s="9" t="s">
        <v>37</v>
      </c>
      <c r="D12" s="9" t="s">
        <v>38</v>
      </c>
      <c r="E12" s="9" t="s">
        <v>528</v>
      </c>
      <c r="F12" s="9" t="s">
        <v>535</v>
      </c>
      <c r="G12" s="17" t="s">
        <v>39</v>
      </c>
      <c r="H12" s="17" t="s">
        <v>31</v>
      </c>
      <c r="I12" s="18" t="s">
        <v>40</v>
      </c>
      <c r="J12" s="10"/>
      <c r="K12" s="17" t="s">
        <v>24</v>
      </c>
      <c r="L12" s="17" t="s">
        <v>41</v>
      </c>
      <c r="M12" s="18" t="s">
        <v>42</v>
      </c>
      <c r="N12" s="10"/>
      <c r="O12" s="18" t="s">
        <v>40</v>
      </c>
      <c r="P12" s="17" t="s">
        <v>40</v>
      </c>
      <c r="Q12" s="17" t="s">
        <v>43</v>
      </c>
      <c r="R12" s="10"/>
      <c r="S12" s="10" t="str">
        <f>"350,0"</f>
        <v>350,0</v>
      </c>
      <c r="T12" s="10" t="str">
        <f>"231,8400"</f>
        <v>231,8400</v>
      </c>
      <c r="U12" s="26" t="s">
        <v>354</v>
      </c>
    </row>
    <row r="13" spans="1:21">
      <c r="A13" s="12" t="s">
        <v>78</v>
      </c>
      <c r="B13" s="11" t="s">
        <v>44</v>
      </c>
      <c r="C13" s="11" t="s">
        <v>45</v>
      </c>
      <c r="D13" s="11" t="s">
        <v>46</v>
      </c>
      <c r="E13" s="11" t="s">
        <v>527</v>
      </c>
      <c r="F13" s="11" t="s">
        <v>536</v>
      </c>
      <c r="G13" s="19" t="s">
        <v>47</v>
      </c>
      <c r="H13" s="20" t="s">
        <v>47</v>
      </c>
      <c r="I13" s="20" t="s">
        <v>48</v>
      </c>
      <c r="J13" s="12"/>
      <c r="K13" s="20" t="s">
        <v>49</v>
      </c>
      <c r="L13" s="20" t="s">
        <v>50</v>
      </c>
      <c r="M13" s="19" t="s">
        <v>51</v>
      </c>
      <c r="N13" s="12"/>
      <c r="O13" s="20" t="s">
        <v>52</v>
      </c>
      <c r="P13" s="19" t="s">
        <v>53</v>
      </c>
      <c r="Q13" s="12"/>
      <c r="R13" s="12"/>
      <c r="S13" s="12" t="str">
        <f>"680,0"</f>
        <v>680,0</v>
      </c>
      <c r="T13" s="12" t="str">
        <f>"435,3360"</f>
        <v>435,3360</v>
      </c>
      <c r="U13" s="11" t="s">
        <v>54</v>
      </c>
    </row>
    <row r="14" spans="1:21">
      <c r="A14" s="12" t="s">
        <v>80</v>
      </c>
      <c r="B14" s="11" t="s">
        <v>55</v>
      </c>
      <c r="C14" s="11" t="s">
        <v>56</v>
      </c>
      <c r="D14" s="11" t="s">
        <v>57</v>
      </c>
      <c r="E14" s="11" t="s">
        <v>527</v>
      </c>
      <c r="F14" s="11" t="s">
        <v>530</v>
      </c>
      <c r="G14" s="20" t="s">
        <v>33</v>
      </c>
      <c r="H14" s="20" t="s">
        <v>34</v>
      </c>
      <c r="I14" s="20" t="s">
        <v>58</v>
      </c>
      <c r="J14" s="12"/>
      <c r="K14" s="20" t="s">
        <v>59</v>
      </c>
      <c r="L14" s="20" t="s">
        <v>60</v>
      </c>
      <c r="M14" s="20" t="s">
        <v>61</v>
      </c>
      <c r="N14" s="12"/>
      <c r="O14" s="19" t="s">
        <v>62</v>
      </c>
      <c r="P14" s="20" t="s">
        <v>63</v>
      </c>
      <c r="Q14" s="19" t="s">
        <v>64</v>
      </c>
      <c r="R14" s="12"/>
      <c r="S14" s="12" t="str">
        <f>"645,0"</f>
        <v>645,0</v>
      </c>
      <c r="T14" s="12" t="str">
        <f>"414,8640"</f>
        <v>414,8640</v>
      </c>
      <c r="U14" s="25" t="s">
        <v>208</v>
      </c>
    </row>
    <row r="15" spans="1:21">
      <c r="A15" s="14" t="s">
        <v>78</v>
      </c>
      <c r="B15" s="13" t="s">
        <v>65</v>
      </c>
      <c r="C15" s="13" t="s">
        <v>491</v>
      </c>
      <c r="D15" s="13" t="s">
        <v>57</v>
      </c>
      <c r="E15" s="13" t="s">
        <v>560</v>
      </c>
      <c r="F15" s="13" t="s">
        <v>530</v>
      </c>
      <c r="G15" s="21" t="s">
        <v>42</v>
      </c>
      <c r="H15" s="22" t="s">
        <v>42</v>
      </c>
      <c r="I15" s="22" t="s">
        <v>39</v>
      </c>
      <c r="J15" s="14"/>
      <c r="K15" s="22" t="s">
        <v>66</v>
      </c>
      <c r="L15" s="22" t="s">
        <v>42</v>
      </c>
      <c r="M15" s="22" t="s">
        <v>67</v>
      </c>
      <c r="N15" s="14"/>
      <c r="O15" s="22" t="s">
        <v>32</v>
      </c>
      <c r="P15" s="22" t="s">
        <v>68</v>
      </c>
      <c r="Q15" s="22" t="s">
        <v>43</v>
      </c>
      <c r="R15" s="14"/>
      <c r="S15" s="14" t="str">
        <f>"360,0"</f>
        <v>360,0</v>
      </c>
      <c r="T15" s="14" t="str">
        <f>"270,4527"</f>
        <v>270,4527</v>
      </c>
      <c r="U15" s="24" t="s">
        <v>436</v>
      </c>
    </row>
    <row r="16" spans="1:21">
      <c r="B16" s="5" t="s">
        <v>79</v>
      </c>
    </row>
    <row r="17" spans="1:21" ht="16">
      <c r="A17" s="35" t="s">
        <v>69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21">
      <c r="A18" s="8" t="s">
        <v>78</v>
      </c>
      <c r="B18" s="7" t="s">
        <v>70</v>
      </c>
      <c r="C18" s="7" t="s">
        <v>71</v>
      </c>
      <c r="D18" s="7" t="s">
        <v>72</v>
      </c>
      <c r="E18" s="7" t="s">
        <v>527</v>
      </c>
      <c r="F18" s="7" t="s">
        <v>537</v>
      </c>
      <c r="G18" s="15" t="s">
        <v>73</v>
      </c>
      <c r="H18" s="16" t="s">
        <v>74</v>
      </c>
      <c r="I18" s="16" t="s">
        <v>74</v>
      </c>
      <c r="J18" s="8"/>
      <c r="K18" s="15" t="s">
        <v>29</v>
      </c>
      <c r="L18" s="15" t="s">
        <v>75</v>
      </c>
      <c r="M18" s="15" t="s">
        <v>33</v>
      </c>
      <c r="N18" s="8"/>
      <c r="O18" s="15" t="s">
        <v>52</v>
      </c>
      <c r="P18" s="15" t="s">
        <v>53</v>
      </c>
      <c r="Q18" s="16" t="s">
        <v>76</v>
      </c>
      <c r="R18" s="8"/>
      <c r="S18" s="8" t="str">
        <f>"770,0"</f>
        <v>770,0</v>
      </c>
      <c r="T18" s="8" t="str">
        <f>"473,5500"</f>
        <v>473,5500</v>
      </c>
      <c r="U18" s="7"/>
    </row>
    <row r="19" spans="1:21">
      <c r="B19" s="5" t="s">
        <v>79</v>
      </c>
    </row>
  </sheetData>
  <mergeCells count="17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A11:R11"/>
    <mergeCell ref="A17:R17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19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7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1640625" style="5" customWidth="1"/>
    <col min="18" max="16384" width="9.1640625" style="3"/>
  </cols>
  <sheetData>
    <row r="1" spans="1:17" s="2" customFormat="1" ht="29" customHeight="1">
      <c r="A1" s="46" t="s">
        <v>440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565</v>
      </c>
      <c r="H3" s="40"/>
      <c r="I3" s="40"/>
      <c r="J3" s="40"/>
      <c r="K3" s="40" t="s">
        <v>566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1"/>
      <c r="P4" s="41"/>
      <c r="Q4" s="43"/>
    </row>
    <row r="5" spans="1:17" ht="16">
      <c r="A5" s="44" t="s">
        <v>81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8" t="s">
        <v>78</v>
      </c>
      <c r="B6" s="7" t="s">
        <v>375</v>
      </c>
      <c r="C6" s="7" t="s">
        <v>376</v>
      </c>
      <c r="D6" s="7" t="s">
        <v>377</v>
      </c>
      <c r="E6" s="7" t="s">
        <v>527</v>
      </c>
      <c r="F6" s="7" t="s">
        <v>539</v>
      </c>
      <c r="G6" s="15" t="s">
        <v>378</v>
      </c>
      <c r="H6" s="15" t="s">
        <v>379</v>
      </c>
      <c r="I6" s="15" t="s">
        <v>164</v>
      </c>
      <c r="J6" s="8"/>
      <c r="K6" s="15" t="s">
        <v>380</v>
      </c>
      <c r="L6" s="15" t="s">
        <v>378</v>
      </c>
      <c r="M6" s="16" t="s">
        <v>379</v>
      </c>
      <c r="N6" s="8"/>
      <c r="O6" s="8" t="str">
        <f>"60,0"</f>
        <v>60,0</v>
      </c>
      <c r="P6" s="8" t="str">
        <f>"62,6340"</f>
        <v>62,6340</v>
      </c>
      <c r="Q6" s="7"/>
    </row>
    <row r="7" spans="1:17">
      <c r="B7" s="5" t="s">
        <v>79</v>
      </c>
    </row>
    <row r="8" spans="1:17" ht="16">
      <c r="A8" s="35" t="s">
        <v>14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7">
      <c r="A9" s="8" t="s">
        <v>78</v>
      </c>
      <c r="B9" s="7" t="s">
        <v>361</v>
      </c>
      <c r="C9" s="7" t="s">
        <v>362</v>
      </c>
      <c r="D9" s="7" t="s">
        <v>363</v>
      </c>
      <c r="E9" s="7" t="s">
        <v>527</v>
      </c>
      <c r="F9" s="7" t="s">
        <v>530</v>
      </c>
      <c r="G9" s="15" t="s">
        <v>19</v>
      </c>
      <c r="H9" s="15" t="s">
        <v>364</v>
      </c>
      <c r="I9" s="16" t="s">
        <v>85</v>
      </c>
      <c r="J9" s="8"/>
      <c r="K9" s="15" t="s">
        <v>93</v>
      </c>
      <c r="L9" s="16" t="s">
        <v>365</v>
      </c>
      <c r="M9" s="16" t="s">
        <v>365</v>
      </c>
      <c r="N9" s="8"/>
      <c r="O9" s="8" t="str">
        <f>"127,5"</f>
        <v>127,5</v>
      </c>
      <c r="P9" s="8" t="str">
        <f>"89,3966"</f>
        <v>89,3966</v>
      </c>
      <c r="Q9" s="7"/>
    </row>
    <row r="10" spans="1:17">
      <c r="B10" s="5" t="s">
        <v>79</v>
      </c>
    </row>
    <row r="11" spans="1:17" ht="16">
      <c r="A11" s="35" t="s">
        <v>97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7">
      <c r="A12" s="8" t="s">
        <v>78</v>
      </c>
      <c r="B12" s="7" t="s">
        <v>394</v>
      </c>
      <c r="C12" s="7" t="s">
        <v>395</v>
      </c>
      <c r="D12" s="7" t="s">
        <v>194</v>
      </c>
      <c r="E12" s="7" t="s">
        <v>527</v>
      </c>
      <c r="F12" s="7" t="s">
        <v>530</v>
      </c>
      <c r="G12" s="15" t="s">
        <v>20</v>
      </c>
      <c r="H12" s="15" t="s">
        <v>23</v>
      </c>
      <c r="I12" s="16" t="s">
        <v>85</v>
      </c>
      <c r="J12" s="8"/>
      <c r="K12" s="15" t="s">
        <v>101</v>
      </c>
      <c r="L12" s="15" t="s">
        <v>102</v>
      </c>
      <c r="M12" s="15" t="s">
        <v>368</v>
      </c>
      <c r="N12" s="8"/>
      <c r="O12" s="8" t="str">
        <f>"147,5"</f>
        <v>147,5</v>
      </c>
      <c r="P12" s="8" t="str">
        <f>"95,9930"</f>
        <v>95,9930</v>
      </c>
      <c r="Q12" s="7"/>
    </row>
    <row r="13" spans="1:17">
      <c r="B13" s="5" t="s">
        <v>79</v>
      </c>
    </row>
    <row r="14" spans="1:17" ht="16">
      <c r="A14" s="35" t="s">
        <v>35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7">
      <c r="A15" s="8" t="s">
        <v>78</v>
      </c>
      <c r="B15" s="7" t="s">
        <v>386</v>
      </c>
      <c r="C15" s="7" t="s">
        <v>387</v>
      </c>
      <c r="D15" s="7" t="s">
        <v>388</v>
      </c>
      <c r="E15" s="7" t="s">
        <v>527</v>
      </c>
      <c r="F15" s="7" t="s">
        <v>540</v>
      </c>
      <c r="G15" s="15" t="s">
        <v>23</v>
      </c>
      <c r="H15" s="15" t="s">
        <v>92</v>
      </c>
      <c r="I15" s="15" t="s">
        <v>282</v>
      </c>
      <c r="J15" s="8"/>
      <c r="K15" s="15" t="s">
        <v>23</v>
      </c>
      <c r="L15" s="15" t="s">
        <v>389</v>
      </c>
      <c r="M15" s="16" t="s">
        <v>24</v>
      </c>
      <c r="N15" s="8"/>
      <c r="O15" s="8" t="str">
        <f>"175,5"</f>
        <v>175,5</v>
      </c>
      <c r="P15" s="8" t="str">
        <f>"107,5113"</f>
        <v>107,5113</v>
      </c>
      <c r="Q15" s="7"/>
    </row>
    <row r="16" spans="1:17">
      <c r="B16" s="5" t="s">
        <v>79</v>
      </c>
    </row>
    <row r="17" spans="1:17" ht="16">
      <c r="A17" s="35" t="s">
        <v>69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7">
      <c r="A18" s="8" t="s">
        <v>78</v>
      </c>
      <c r="B18" s="7" t="s">
        <v>396</v>
      </c>
      <c r="C18" s="7" t="s">
        <v>466</v>
      </c>
      <c r="D18" s="7" t="s">
        <v>397</v>
      </c>
      <c r="E18" s="7" t="s">
        <v>562</v>
      </c>
      <c r="F18" s="7" t="s">
        <v>530</v>
      </c>
      <c r="G18" s="15" t="s">
        <v>108</v>
      </c>
      <c r="H18" s="16" t="s">
        <v>20</v>
      </c>
      <c r="I18" s="16" t="s">
        <v>20</v>
      </c>
      <c r="J18" s="8"/>
      <c r="K18" s="15" t="s">
        <v>94</v>
      </c>
      <c r="L18" s="15" t="s">
        <v>101</v>
      </c>
      <c r="M18" s="16" t="s">
        <v>102</v>
      </c>
      <c r="N18" s="8"/>
      <c r="O18" s="8" t="str">
        <f>"130,0"</f>
        <v>130,0</v>
      </c>
      <c r="P18" s="8" t="str">
        <f>"80,7913"</f>
        <v>80,7913</v>
      </c>
      <c r="Q18" s="7"/>
    </row>
    <row r="19" spans="1:17">
      <c r="B19" s="5" t="s">
        <v>79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A17:N17"/>
    <mergeCell ref="B3:B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8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7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9.1640625" style="5" customWidth="1"/>
    <col min="18" max="16384" width="9.1640625" style="3"/>
  </cols>
  <sheetData>
    <row r="1" spans="1:17" s="2" customFormat="1" ht="29" customHeight="1">
      <c r="A1" s="46" t="s">
        <v>441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565</v>
      </c>
      <c r="H3" s="40"/>
      <c r="I3" s="40"/>
      <c r="J3" s="40"/>
      <c r="K3" s="40" t="s">
        <v>566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1"/>
      <c r="P4" s="41"/>
      <c r="Q4" s="43"/>
    </row>
    <row r="5" spans="1:17" ht="16">
      <c r="A5" s="44" t="s">
        <v>137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10" t="s">
        <v>78</v>
      </c>
      <c r="B6" s="9" t="s">
        <v>212</v>
      </c>
      <c r="C6" s="9" t="s">
        <v>213</v>
      </c>
      <c r="D6" s="9" t="s">
        <v>214</v>
      </c>
      <c r="E6" s="9" t="s">
        <v>527</v>
      </c>
      <c r="F6" s="9" t="s">
        <v>550</v>
      </c>
      <c r="G6" s="17" t="s">
        <v>250</v>
      </c>
      <c r="H6" s="17" t="s">
        <v>241</v>
      </c>
      <c r="I6" s="18" t="s">
        <v>154</v>
      </c>
      <c r="J6" s="10"/>
      <c r="K6" s="17" t="s">
        <v>20</v>
      </c>
      <c r="L6" s="17" t="s">
        <v>24</v>
      </c>
      <c r="M6" s="17" t="s">
        <v>41</v>
      </c>
      <c r="N6" s="10"/>
      <c r="O6" s="10" t="str">
        <f>"237,5"</f>
        <v>237,5</v>
      </c>
      <c r="P6" s="10" t="str">
        <f>"133,6294"</f>
        <v>133,6294</v>
      </c>
      <c r="Q6" s="9"/>
    </row>
    <row r="7" spans="1:17">
      <c r="A7" s="14" t="s">
        <v>78</v>
      </c>
      <c r="B7" s="13" t="s">
        <v>393</v>
      </c>
      <c r="C7" s="13" t="s">
        <v>467</v>
      </c>
      <c r="D7" s="13" t="s">
        <v>214</v>
      </c>
      <c r="E7" s="13" t="s">
        <v>562</v>
      </c>
      <c r="F7" s="13" t="s">
        <v>557</v>
      </c>
      <c r="G7" s="22" t="s">
        <v>265</v>
      </c>
      <c r="H7" s="22" t="s">
        <v>121</v>
      </c>
      <c r="I7" s="22" t="s">
        <v>31</v>
      </c>
      <c r="J7" s="14"/>
      <c r="K7" s="22" t="s">
        <v>108</v>
      </c>
      <c r="L7" s="22" t="s">
        <v>20</v>
      </c>
      <c r="M7" s="14"/>
      <c r="N7" s="14"/>
      <c r="O7" s="14" t="str">
        <f>"195,0"</f>
        <v>195,0</v>
      </c>
      <c r="P7" s="14" t="str">
        <f>"109,7168"</f>
        <v>109,7168</v>
      </c>
      <c r="Q7" s="13"/>
    </row>
    <row r="8" spans="1:17">
      <c r="B8" s="5" t="s">
        <v>79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9.1640625" style="6" customWidth="1"/>
    <col min="13" max="13" width="19" style="5" customWidth="1"/>
    <col min="14" max="16384" width="9.1640625" style="3"/>
  </cols>
  <sheetData>
    <row r="1" spans="1:13" s="2" customFormat="1" ht="29" customHeight="1">
      <c r="A1" s="46" t="s">
        <v>444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565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14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361</v>
      </c>
      <c r="C6" s="7" t="s">
        <v>362</v>
      </c>
      <c r="D6" s="7" t="s">
        <v>363</v>
      </c>
      <c r="E6" s="7" t="s">
        <v>527</v>
      </c>
      <c r="F6" s="7" t="s">
        <v>530</v>
      </c>
      <c r="G6" s="15" t="s">
        <v>19</v>
      </c>
      <c r="H6" s="15" t="s">
        <v>364</v>
      </c>
      <c r="I6" s="16" t="s">
        <v>85</v>
      </c>
      <c r="J6" s="8"/>
      <c r="K6" s="8" t="str">
        <f>"77,5"</f>
        <v>77,5</v>
      </c>
      <c r="L6" s="8" t="str">
        <f>"54,3391"</f>
        <v>54,3391</v>
      </c>
      <c r="M6" s="7"/>
    </row>
    <row r="7" spans="1:13">
      <c r="B7" s="5" t="s">
        <v>79</v>
      </c>
    </row>
    <row r="8" spans="1:13" ht="16">
      <c r="A8" s="35" t="s">
        <v>97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8" t="s">
        <v>78</v>
      </c>
      <c r="B9" s="7" t="s">
        <v>366</v>
      </c>
      <c r="C9" s="7" t="s">
        <v>470</v>
      </c>
      <c r="D9" s="7" t="s">
        <v>367</v>
      </c>
      <c r="E9" s="7" t="s">
        <v>561</v>
      </c>
      <c r="F9" s="7" t="s">
        <v>530</v>
      </c>
      <c r="G9" s="15" t="s">
        <v>101</v>
      </c>
      <c r="H9" s="15" t="s">
        <v>368</v>
      </c>
      <c r="I9" s="16" t="s">
        <v>108</v>
      </c>
      <c r="J9" s="8"/>
      <c r="K9" s="8" t="str">
        <f>"67,5"</f>
        <v>67,5</v>
      </c>
      <c r="L9" s="8" t="str">
        <f>"56,4378"</f>
        <v>56,4378</v>
      </c>
      <c r="M9" s="23" t="s">
        <v>514</v>
      </c>
    </row>
    <row r="10" spans="1:13">
      <c r="B10" s="5" t="s">
        <v>79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" style="5" customWidth="1"/>
    <col min="7" max="9" width="5.5" style="6" customWidth="1"/>
    <col min="10" max="10" width="4.83203125" style="6" customWidth="1"/>
    <col min="11" max="11" width="11.33203125" style="6" bestFit="1" customWidth="1"/>
    <col min="12" max="12" width="10.6640625" style="6" customWidth="1"/>
    <col min="13" max="13" width="23.83203125" style="5" customWidth="1"/>
    <col min="14" max="16384" width="9.1640625" style="3"/>
  </cols>
  <sheetData>
    <row r="1" spans="1:13" s="2" customFormat="1" ht="29" customHeight="1">
      <c r="A1" s="46" t="s">
        <v>445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565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137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212</v>
      </c>
      <c r="C6" s="7" t="s">
        <v>213</v>
      </c>
      <c r="D6" s="7" t="s">
        <v>214</v>
      </c>
      <c r="E6" s="7" t="s">
        <v>527</v>
      </c>
      <c r="F6" s="7" t="s">
        <v>550</v>
      </c>
      <c r="G6" s="15" t="s">
        <v>250</v>
      </c>
      <c r="H6" s="15" t="s">
        <v>241</v>
      </c>
      <c r="I6" s="16" t="s">
        <v>154</v>
      </c>
      <c r="J6" s="8"/>
      <c r="K6" s="8" t="str">
        <f>"147,5"</f>
        <v>147,5</v>
      </c>
      <c r="L6" s="8" t="str">
        <f>"82,9909"</f>
        <v>82,9909</v>
      </c>
      <c r="M6" s="7"/>
    </row>
    <row r="7" spans="1:13">
      <c r="B7" s="5" t="s">
        <v>79</v>
      </c>
    </row>
    <row r="8" spans="1:13" ht="16">
      <c r="A8" s="35" t="s">
        <v>140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8" t="s">
        <v>78</v>
      </c>
      <c r="B9" s="7" t="s">
        <v>358</v>
      </c>
      <c r="C9" s="7" t="s">
        <v>359</v>
      </c>
      <c r="D9" s="7" t="s">
        <v>360</v>
      </c>
      <c r="E9" s="7" t="s">
        <v>527</v>
      </c>
      <c r="F9" s="7" t="s">
        <v>530</v>
      </c>
      <c r="G9" s="15" t="s">
        <v>31</v>
      </c>
      <c r="H9" s="15" t="s">
        <v>32</v>
      </c>
      <c r="I9" s="16" t="s">
        <v>43</v>
      </c>
      <c r="J9" s="8"/>
      <c r="K9" s="8" t="str">
        <f>"130,0"</f>
        <v>130,0</v>
      </c>
      <c r="L9" s="8" t="str">
        <f>"71,5715"</f>
        <v>71,5715</v>
      </c>
      <c r="M9" s="23" t="s">
        <v>493</v>
      </c>
    </row>
    <row r="10" spans="1:13">
      <c r="B10" s="5" t="s">
        <v>79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3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6" style="5" customWidth="1"/>
    <col min="7" max="10" width="5.5" style="6" customWidth="1"/>
    <col min="11" max="11" width="10.5" style="6" bestFit="1" customWidth="1"/>
    <col min="12" max="12" width="9.1640625" style="6" customWidth="1"/>
    <col min="13" max="13" width="24.83203125" style="5" bestFit="1" customWidth="1"/>
    <col min="14" max="16384" width="9.1640625" style="3"/>
  </cols>
  <sheetData>
    <row r="1" spans="1:13" s="2" customFormat="1" ht="29" customHeight="1">
      <c r="A1" s="46" t="s">
        <v>442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565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81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375</v>
      </c>
      <c r="C6" s="7" t="s">
        <v>376</v>
      </c>
      <c r="D6" s="7" t="s">
        <v>377</v>
      </c>
      <c r="E6" s="7" t="s">
        <v>527</v>
      </c>
      <c r="F6" s="7" t="s">
        <v>539</v>
      </c>
      <c r="G6" s="15" t="s">
        <v>380</v>
      </c>
      <c r="H6" s="15" t="s">
        <v>378</v>
      </c>
      <c r="I6" s="16" t="s">
        <v>379</v>
      </c>
      <c r="J6" s="8"/>
      <c r="K6" s="8" t="str">
        <f>"27,5"</f>
        <v>27,5</v>
      </c>
      <c r="L6" s="8" t="str">
        <f>"28,7073"</f>
        <v>28,7073</v>
      </c>
      <c r="M6" s="7"/>
    </row>
    <row r="7" spans="1:13">
      <c r="B7" s="5" t="s">
        <v>79</v>
      </c>
    </row>
    <row r="8" spans="1:13" ht="16">
      <c r="A8" s="35" t="s">
        <v>88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8" t="s">
        <v>78</v>
      </c>
      <c r="B9" s="7" t="s">
        <v>335</v>
      </c>
      <c r="C9" s="7" t="s">
        <v>336</v>
      </c>
      <c r="D9" s="7" t="s">
        <v>337</v>
      </c>
      <c r="E9" s="7" t="s">
        <v>527</v>
      </c>
      <c r="F9" s="7" t="s">
        <v>530</v>
      </c>
      <c r="G9" s="15" t="s">
        <v>21</v>
      </c>
      <c r="H9" s="15" t="s">
        <v>165</v>
      </c>
      <c r="I9" s="16" t="s">
        <v>22</v>
      </c>
      <c r="J9" s="8"/>
      <c r="K9" s="8" t="str">
        <f>"37,5"</f>
        <v>37,5</v>
      </c>
      <c r="L9" s="8" t="str">
        <f>"37,7438"</f>
        <v>37,7438</v>
      </c>
      <c r="M9" s="7" t="s">
        <v>513</v>
      </c>
    </row>
    <row r="10" spans="1:13">
      <c r="B10" s="5" t="s">
        <v>79</v>
      </c>
    </row>
    <row r="11" spans="1:13" ht="16">
      <c r="A11" s="35" t="s">
        <v>97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>
      <c r="A12" s="8" t="s">
        <v>78</v>
      </c>
      <c r="B12" s="7" t="s">
        <v>231</v>
      </c>
      <c r="C12" s="7" t="s">
        <v>462</v>
      </c>
      <c r="D12" s="7" t="s">
        <v>232</v>
      </c>
      <c r="E12" s="7" t="s">
        <v>561</v>
      </c>
      <c r="F12" s="7" t="s">
        <v>538</v>
      </c>
      <c r="G12" s="15" t="s">
        <v>21</v>
      </c>
      <c r="H12" s="16" t="s">
        <v>86</v>
      </c>
      <c r="I12" s="15" t="s">
        <v>86</v>
      </c>
      <c r="J12" s="8"/>
      <c r="K12" s="8" t="str">
        <f>"40,0"</f>
        <v>40,0</v>
      </c>
      <c r="L12" s="8" t="str">
        <f>"36,0869"</f>
        <v>36,0869</v>
      </c>
      <c r="M12" s="7"/>
    </row>
    <row r="13" spans="1:13">
      <c r="B13" s="5" t="s">
        <v>79</v>
      </c>
    </row>
    <row r="14" spans="1:13" ht="16">
      <c r="A14" s="35" t="s">
        <v>25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3">
      <c r="A15" s="10" t="s">
        <v>78</v>
      </c>
      <c r="B15" s="9" t="s">
        <v>381</v>
      </c>
      <c r="C15" s="9" t="s">
        <v>468</v>
      </c>
      <c r="D15" s="9" t="s">
        <v>382</v>
      </c>
      <c r="E15" s="9" t="s">
        <v>528</v>
      </c>
      <c r="F15" s="9" t="s">
        <v>530</v>
      </c>
      <c r="G15" s="17" t="s">
        <v>94</v>
      </c>
      <c r="H15" s="17" t="s">
        <v>101</v>
      </c>
      <c r="I15" s="17" t="s">
        <v>383</v>
      </c>
      <c r="J15" s="18" t="s">
        <v>384</v>
      </c>
      <c r="K15" s="10" t="str">
        <f>"61,0"</f>
        <v>61,0</v>
      </c>
      <c r="L15" s="10" t="str">
        <f>"46,7260"</f>
        <v>46,7260</v>
      </c>
      <c r="M15" s="9"/>
    </row>
    <row r="16" spans="1:13">
      <c r="A16" s="14" t="s">
        <v>78</v>
      </c>
      <c r="B16" s="13" t="s">
        <v>381</v>
      </c>
      <c r="C16" s="13" t="s">
        <v>385</v>
      </c>
      <c r="D16" s="13" t="s">
        <v>382</v>
      </c>
      <c r="E16" s="13" t="s">
        <v>527</v>
      </c>
      <c r="F16" s="13" t="s">
        <v>530</v>
      </c>
      <c r="G16" s="22" t="s">
        <v>94</v>
      </c>
      <c r="H16" s="22" t="s">
        <v>101</v>
      </c>
      <c r="I16" s="22" t="s">
        <v>383</v>
      </c>
      <c r="J16" s="21" t="s">
        <v>384</v>
      </c>
      <c r="K16" s="14" t="str">
        <f>"61,0"</f>
        <v>61,0</v>
      </c>
      <c r="L16" s="14" t="str">
        <f>"46,7260"</f>
        <v>46,7260</v>
      </c>
      <c r="M16" s="13"/>
    </row>
    <row r="17" spans="1:13">
      <c r="B17" s="5" t="s">
        <v>79</v>
      </c>
    </row>
    <row r="18" spans="1:13" ht="16">
      <c r="A18" s="35" t="s">
        <v>14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3">
      <c r="A19" s="8" t="s">
        <v>78</v>
      </c>
      <c r="B19" s="7" t="s">
        <v>361</v>
      </c>
      <c r="C19" s="7" t="s">
        <v>362</v>
      </c>
      <c r="D19" s="7" t="s">
        <v>363</v>
      </c>
      <c r="E19" s="7" t="s">
        <v>527</v>
      </c>
      <c r="F19" s="7" t="s">
        <v>530</v>
      </c>
      <c r="G19" s="15" t="s">
        <v>93</v>
      </c>
      <c r="H19" s="16" t="s">
        <v>365</v>
      </c>
      <c r="I19" s="16" t="s">
        <v>365</v>
      </c>
      <c r="J19" s="8"/>
      <c r="K19" s="8" t="str">
        <f>"50,0"</f>
        <v>50,0</v>
      </c>
      <c r="L19" s="8" t="str">
        <f>"35,0575"</f>
        <v>35,0575</v>
      </c>
      <c r="M19" s="7"/>
    </row>
    <row r="20" spans="1:13">
      <c r="B20" s="5" t="s">
        <v>79</v>
      </c>
    </row>
    <row r="21" spans="1:13" ht="16">
      <c r="A21" s="35" t="s">
        <v>97</v>
      </c>
      <c r="B21" s="35"/>
      <c r="C21" s="35"/>
      <c r="D21" s="35"/>
      <c r="E21" s="35"/>
      <c r="F21" s="35"/>
      <c r="G21" s="35"/>
      <c r="H21" s="35"/>
      <c r="I21" s="35"/>
      <c r="J21" s="35"/>
    </row>
    <row r="22" spans="1:13">
      <c r="A22" s="8" t="s">
        <v>78</v>
      </c>
      <c r="B22" s="7" t="s">
        <v>186</v>
      </c>
      <c r="C22" s="7" t="s">
        <v>187</v>
      </c>
      <c r="D22" s="7" t="s">
        <v>188</v>
      </c>
      <c r="E22" s="7" t="s">
        <v>527</v>
      </c>
      <c r="F22" s="7" t="s">
        <v>530</v>
      </c>
      <c r="G22" s="15" t="s">
        <v>94</v>
      </c>
      <c r="H22" s="16" t="s">
        <v>95</v>
      </c>
      <c r="I22" s="15" t="s">
        <v>18</v>
      </c>
      <c r="J22" s="8"/>
      <c r="K22" s="8" t="str">
        <f>"65,0"</f>
        <v>65,0</v>
      </c>
      <c r="L22" s="8" t="str">
        <f>"42,2663"</f>
        <v>42,2663</v>
      </c>
      <c r="M22" s="7"/>
    </row>
    <row r="23" spans="1:13">
      <c r="B23" s="5" t="s">
        <v>79</v>
      </c>
    </row>
    <row r="24" spans="1:13" ht="16">
      <c r="A24" s="35" t="s">
        <v>35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3">
      <c r="A25" s="8" t="s">
        <v>78</v>
      </c>
      <c r="B25" s="7" t="s">
        <v>386</v>
      </c>
      <c r="C25" s="7" t="s">
        <v>387</v>
      </c>
      <c r="D25" s="7" t="s">
        <v>388</v>
      </c>
      <c r="E25" s="7" t="s">
        <v>527</v>
      </c>
      <c r="F25" s="7" t="s">
        <v>540</v>
      </c>
      <c r="G25" s="15" t="s">
        <v>23</v>
      </c>
      <c r="H25" s="15" t="s">
        <v>389</v>
      </c>
      <c r="I25" s="16" t="s">
        <v>24</v>
      </c>
      <c r="J25" s="8"/>
      <c r="K25" s="8" t="str">
        <f>"83,0"</f>
        <v>83,0</v>
      </c>
      <c r="L25" s="8" t="str">
        <f>"50,8458"</f>
        <v>50,8458</v>
      </c>
      <c r="M25" s="7"/>
    </row>
    <row r="26" spans="1:13">
      <c r="B26" s="5" t="s">
        <v>79</v>
      </c>
    </row>
    <row r="27" spans="1:13" ht="16">
      <c r="A27" s="35" t="s">
        <v>137</v>
      </c>
      <c r="B27" s="35"/>
      <c r="C27" s="35"/>
      <c r="D27" s="35"/>
      <c r="E27" s="35"/>
      <c r="F27" s="35"/>
      <c r="G27" s="35"/>
      <c r="H27" s="35"/>
      <c r="I27" s="35"/>
      <c r="J27" s="35"/>
    </row>
    <row r="28" spans="1:13">
      <c r="A28" s="8" t="s">
        <v>78</v>
      </c>
      <c r="B28" s="7" t="s">
        <v>295</v>
      </c>
      <c r="C28" s="7" t="s">
        <v>296</v>
      </c>
      <c r="D28" s="7" t="s">
        <v>297</v>
      </c>
      <c r="E28" s="7" t="s">
        <v>527</v>
      </c>
      <c r="F28" s="7" t="s">
        <v>545</v>
      </c>
      <c r="G28" s="15" t="s">
        <v>368</v>
      </c>
      <c r="H28" s="15" t="s">
        <v>19</v>
      </c>
      <c r="I28" s="15" t="s">
        <v>20</v>
      </c>
      <c r="J28" s="8"/>
      <c r="K28" s="8" t="str">
        <f>"75,0"</f>
        <v>75,0</v>
      </c>
      <c r="L28" s="8" t="str">
        <f>"42,5062"</f>
        <v>42,5062</v>
      </c>
      <c r="M28" s="7"/>
    </row>
    <row r="29" spans="1:13">
      <c r="B29" s="5" t="s">
        <v>79</v>
      </c>
    </row>
    <row r="30" spans="1:13" ht="16">
      <c r="A30" s="35" t="s">
        <v>140</v>
      </c>
      <c r="B30" s="35"/>
      <c r="C30" s="35"/>
      <c r="D30" s="35"/>
      <c r="E30" s="35"/>
      <c r="F30" s="35"/>
      <c r="G30" s="35"/>
      <c r="H30" s="35"/>
      <c r="I30" s="35"/>
      <c r="J30" s="35"/>
    </row>
    <row r="31" spans="1:13">
      <c r="A31" s="8" t="s">
        <v>78</v>
      </c>
      <c r="B31" s="7" t="s">
        <v>390</v>
      </c>
      <c r="C31" s="7" t="s">
        <v>391</v>
      </c>
      <c r="D31" s="7" t="s">
        <v>392</v>
      </c>
      <c r="E31" s="7" t="s">
        <v>527</v>
      </c>
      <c r="F31" s="7" t="s">
        <v>530</v>
      </c>
      <c r="G31" s="15" t="s">
        <v>85</v>
      </c>
      <c r="H31" s="15" t="s">
        <v>41</v>
      </c>
      <c r="I31" s="15" t="s">
        <v>66</v>
      </c>
      <c r="J31" s="8"/>
      <c r="K31" s="8" t="str">
        <f>"95,0"</f>
        <v>95,0</v>
      </c>
      <c r="L31" s="8" t="str">
        <f>"52,0885"</f>
        <v>52,0885</v>
      </c>
      <c r="M31" s="7" t="s">
        <v>516</v>
      </c>
    </row>
    <row r="32" spans="1:13">
      <c r="B32" s="5" t="s">
        <v>79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7:J27"/>
    <mergeCell ref="A30:J30"/>
    <mergeCell ref="B3:B4"/>
    <mergeCell ref="A8:J8"/>
    <mergeCell ref="A11:J11"/>
    <mergeCell ref="A14:J14"/>
    <mergeCell ref="A18:J18"/>
    <mergeCell ref="A21:J21"/>
    <mergeCell ref="A24:J2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3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4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customWidth="1"/>
    <col min="13" max="13" width="31.33203125" style="5" bestFit="1" customWidth="1"/>
    <col min="14" max="16384" width="9.1640625" style="3"/>
  </cols>
  <sheetData>
    <row r="1" spans="1:13" s="2" customFormat="1" ht="29" customHeight="1">
      <c r="A1" s="46" t="s">
        <v>443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565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88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369</v>
      </c>
      <c r="C6" s="7" t="s">
        <v>370</v>
      </c>
      <c r="D6" s="7" t="s">
        <v>371</v>
      </c>
      <c r="E6" s="7" t="s">
        <v>527</v>
      </c>
      <c r="F6" s="7" t="s">
        <v>530</v>
      </c>
      <c r="G6" s="15" t="s">
        <v>372</v>
      </c>
      <c r="H6" s="15" t="s">
        <v>365</v>
      </c>
      <c r="I6" s="8"/>
      <c r="J6" s="8"/>
      <c r="K6" s="8" t="str">
        <f>"52,5"</f>
        <v>52,5</v>
      </c>
      <c r="L6" s="8" t="str">
        <f>"44,0107"</f>
        <v>44,0107</v>
      </c>
      <c r="M6" s="7" t="s">
        <v>515</v>
      </c>
    </row>
    <row r="7" spans="1:13">
      <c r="B7" s="5" t="s">
        <v>79</v>
      </c>
    </row>
    <row r="8" spans="1:13" ht="16">
      <c r="A8" s="35" t="s">
        <v>97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8" t="s">
        <v>78</v>
      </c>
      <c r="B9" s="7" t="s">
        <v>186</v>
      </c>
      <c r="C9" s="7" t="s">
        <v>187</v>
      </c>
      <c r="D9" s="7" t="s">
        <v>188</v>
      </c>
      <c r="E9" s="7" t="s">
        <v>527</v>
      </c>
      <c r="F9" s="7" t="s">
        <v>530</v>
      </c>
      <c r="G9" s="15" t="s">
        <v>94</v>
      </c>
      <c r="H9" s="16" t="s">
        <v>95</v>
      </c>
      <c r="I9" s="15" t="s">
        <v>18</v>
      </c>
      <c r="J9" s="8"/>
      <c r="K9" s="8" t="str">
        <f>"65,0"</f>
        <v>65,0</v>
      </c>
      <c r="L9" s="8" t="str">
        <f>"42,2663"</f>
        <v>42,2663</v>
      </c>
      <c r="M9" s="7"/>
    </row>
    <row r="10" spans="1:13">
      <c r="B10" s="5" t="s">
        <v>79</v>
      </c>
    </row>
    <row r="11" spans="1:13" ht="16">
      <c r="A11" s="35" t="s">
        <v>69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>
      <c r="A12" s="8" t="s">
        <v>78</v>
      </c>
      <c r="B12" s="7" t="s">
        <v>373</v>
      </c>
      <c r="C12" s="7" t="s">
        <v>469</v>
      </c>
      <c r="D12" s="7" t="s">
        <v>374</v>
      </c>
      <c r="E12" s="7" t="s">
        <v>528</v>
      </c>
      <c r="F12" s="7" t="s">
        <v>530</v>
      </c>
      <c r="G12" s="16" t="s">
        <v>87</v>
      </c>
      <c r="H12" s="15" t="s">
        <v>87</v>
      </c>
      <c r="I12" s="15" t="s">
        <v>93</v>
      </c>
      <c r="J12" s="8"/>
      <c r="K12" s="8" t="str">
        <f>"50,0"</f>
        <v>50,0</v>
      </c>
      <c r="L12" s="8" t="str">
        <f>"29,5400"</f>
        <v>29,5400</v>
      </c>
      <c r="M12" s="7"/>
    </row>
    <row r="13" spans="1:13">
      <c r="B13" s="5" t="s">
        <v>79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22.5" style="5" customWidth="1"/>
    <col min="7" max="9" width="5.5" style="6" customWidth="1"/>
    <col min="10" max="10" width="4.83203125" style="6" customWidth="1"/>
    <col min="11" max="11" width="11.1640625" style="6" customWidth="1"/>
    <col min="12" max="12" width="15.83203125" style="34" customWidth="1"/>
    <col min="13" max="13" width="7.83203125" style="6" bestFit="1" customWidth="1"/>
    <col min="14" max="14" width="9.5" style="6" bestFit="1" customWidth="1"/>
    <col min="15" max="15" width="23.33203125" style="5" customWidth="1"/>
    <col min="16" max="16384" width="9.1640625" style="3"/>
  </cols>
  <sheetData>
    <row r="1" spans="1:15" s="2" customFormat="1" ht="29" customHeight="1">
      <c r="A1" s="46" t="s">
        <v>439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5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</row>
    <row r="3" spans="1:15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357</v>
      </c>
      <c r="H3" s="40"/>
      <c r="I3" s="40"/>
      <c r="J3" s="40"/>
      <c r="K3" s="40" t="s">
        <v>523</v>
      </c>
      <c r="L3" s="40"/>
      <c r="M3" s="40" t="s">
        <v>1</v>
      </c>
      <c r="N3" s="40" t="s">
        <v>3</v>
      </c>
      <c r="O3" s="42" t="s">
        <v>2</v>
      </c>
    </row>
    <row r="4" spans="1:15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32" t="s">
        <v>7</v>
      </c>
      <c r="M4" s="41"/>
      <c r="N4" s="41"/>
      <c r="O4" s="43"/>
    </row>
    <row r="5" spans="1:15" ht="16">
      <c r="A5" s="44" t="s">
        <v>416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5">
      <c r="A6" s="8" t="s">
        <v>78</v>
      </c>
      <c r="B6" s="7" t="s">
        <v>417</v>
      </c>
      <c r="C6" s="7" t="s">
        <v>418</v>
      </c>
      <c r="D6" s="7" t="s">
        <v>419</v>
      </c>
      <c r="E6" s="7" t="s">
        <v>527</v>
      </c>
      <c r="F6" s="7" t="s">
        <v>558</v>
      </c>
      <c r="G6" s="15" t="s">
        <v>20</v>
      </c>
      <c r="H6" s="15" t="s">
        <v>85</v>
      </c>
      <c r="I6" s="15" t="s">
        <v>24</v>
      </c>
      <c r="J6" s="8"/>
      <c r="K6" s="8" t="s">
        <v>86</v>
      </c>
      <c r="L6" s="33">
        <v>33</v>
      </c>
      <c r="M6" s="8" t="str">
        <f>"118,0"</f>
        <v>118,0</v>
      </c>
      <c r="N6" s="8" t="str">
        <f>"4125,3971"</f>
        <v>4125,3971</v>
      </c>
      <c r="O6" s="7"/>
    </row>
    <row r="7" spans="1:15">
      <c r="B7" s="5" t="s">
        <v>79</v>
      </c>
    </row>
    <row r="8" spans="1:15" ht="16">
      <c r="A8" s="35" t="s">
        <v>137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5">
      <c r="A9" s="8" t="s">
        <v>78</v>
      </c>
      <c r="B9" s="7" t="s">
        <v>393</v>
      </c>
      <c r="C9" s="7" t="s">
        <v>461</v>
      </c>
      <c r="D9" s="7" t="s">
        <v>214</v>
      </c>
      <c r="E9" s="7" t="s">
        <v>562</v>
      </c>
      <c r="F9" s="7" t="s">
        <v>557</v>
      </c>
      <c r="G9" s="15" t="s">
        <v>265</v>
      </c>
      <c r="H9" s="15" t="s">
        <v>121</v>
      </c>
      <c r="I9" s="15" t="s">
        <v>31</v>
      </c>
      <c r="J9" s="8"/>
      <c r="K9" s="8" t="s">
        <v>94</v>
      </c>
      <c r="L9" s="33">
        <v>32</v>
      </c>
      <c r="M9" s="8" t="str">
        <f>"152,0"</f>
        <v>152,0</v>
      </c>
      <c r="N9" s="8" t="str">
        <f>"4827,3400"</f>
        <v>4827,3400</v>
      </c>
      <c r="O9" s="7"/>
    </row>
    <row r="10" spans="1:15">
      <c r="B10" s="5" t="s">
        <v>79</v>
      </c>
    </row>
  </sheetData>
  <mergeCells count="14"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8:L8"/>
    <mergeCell ref="B3:B4"/>
    <mergeCell ref="K3:L3"/>
    <mergeCell ref="M3:M4"/>
    <mergeCell ref="N3:N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9.83203125" style="6" customWidth="1"/>
    <col min="13" max="13" width="22" style="5" customWidth="1"/>
    <col min="14" max="16384" width="9.1640625" style="3"/>
  </cols>
  <sheetData>
    <row r="1" spans="1:13" s="2" customFormat="1" ht="29" customHeight="1">
      <c r="A1" s="46" t="s">
        <v>438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357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69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293</v>
      </c>
      <c r="C6" s="7" t="s">
        <v>460</v>
      </c>
      <c r="D6" s="7" t="s">
        <v>294</v>
      </c>
      <c r="E6" s="7" t="s">
        <v>562</v>
      </c>
      <c r="F6" s="7" t="s">
        <v>530</v>
      </c>
      <c r="G6" s="16" t="s">
        <v>20</v>
      </c>
      <c r="H6" s="15" t="s">
        <v>20</v>
      </c>
      <c r="I6" s="15" t="s">
        <v>41</v>
      </c>
      <c r="J6" s="8"/>
      <c r="K6" s="8" t="str">
        <f>"90,0"</f>
        <v>90,0</v>
      </c>
      <c r="L6" s="8" t="str">
        <f>"55,2469"</f>
        <v>55,2469</v>
      </c>
      <c r="M6" s="7" t="s">
        <v>493</v>
      </c>
    </row>
    <row r="7" spans="1:13">
      <c r="B7" s="5" t="s">
        <v>79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6640625" style="5" bestFit="1" customWidth="1"/>
    <col min="22" max="16384" width="9.1640625" style="3"/>
  </cols>
  <sheetData>
    <row r="1" spans="1:21" s="2" customFormat="1" ht="29" customHeight="1">
      <c r="A1" s="46" t="s">
        <v>456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524</v>
      </c>
      <c r="B3" s="36" t="s">
        <v>0</v>
      </c>
      <c r="C3" s="56" t="s">
        <v>5</v>
      </c>
      <c r="D3" s="56" t="s">
        <v>8</v>
      </c>
      <c r="E3" s="40" t="s">
        <v>9</v>
      </c>
      <c r="F3" s="40" t="s">
        <v>10</v>
      </c>
      <c r="G3" s="40" t="s">
        <v>11</v>
      </c>
      <c r="H3" s="40"/>
      <c r="I3" s="40"/>
      <c r="J3" s="40"/>
      <c r="K3" s="40" t="s">
        <v>12</v>
      </c>
      <c r="L3" s="40"/>
      <c r="M3" s="40"/>
      <c r="N3" s="40"/>
      <c r="O3" s="40" t="s">
        <v>13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3"/>
    </row>
    <row r="5" spans="1:21" ht="16">
      <c r="A5" s="44" t="s">
        <v>25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8" t="s">
        <v>78</v>
      </c>
      <c r="B6" s="7" t="s">
        <v>155</v>
      </c>
      <c r="C6" s="7" t="s">
        <v>156</v>
      </c>
      <c r="D6" s="7" t="s">
        <v>157</v>
      </c>
      <c r="E6" s="7" t="str">
        <f>"0,7710"</f>
        <v>0,7710</v>
      </c>
      <c r="F6" s="7" t="s">
        <v>532</v>
      </c>
      <c r="G6" s="15" t="s">
        <v>43</v>
      </c>
      <c r="H6" s="15" t="s">
        <v>103</v>
      </c>
      <c r="I6" s="15" t="s">
        <v>49</v>
      </c>
      <c r="J6" s="8"/>
      <c r="K6" s="15" t="s">
        <v>122</v>
      </c>
      <c r="L6" s="15" t="s">
        <v>158</v>
      </c>
      <c r="M6" s="16" t="s">
        <v>32</v>
      </c>
      <c r="N6" s="8"/>
      <c r="O6" s="15" t="s">
        <v>29</v>
      </c>
      <c r="P6" s="15" t="s">
        <v>159</v>
      </c>
      <c r="Q6" s="15" t="s">
        <v>160</v>
      </c>
      <c r="R6" s="8"/>
      <c r="S6" s="8" t="str">
        <f>"480,0"</f>
        <v>480,0</v>
      </c>
      <c r="T6" s="8" t="str">
        <f>"370,0800"</f>
        <v>370,0800</v>
      </c>
      <c r="U6" s="23" t="s">
        <v>331</v>
      </c>
    </row>
    <row r="7" spans="1:21">
      <c r="B7" s="5" t="s">
        <v>79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U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3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1640625" style="5" bestFit="1" customWidth="1"/>
    <col min="22" max="16384" width="9.1640625" style="3"/>
  </cols>
  <sheetData>
    <row r="1" spans="1:21" s="2" customFormat="1" ht="29" customHeight="1">
      <c r="A1" s="46" t="s">
        <v>457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11</v>
      </c>
      <c r="H3" s="40"/>
      <c r="I3" s="40"/>
      <c r="J3" s="40"/>
      <c r="K3" s="40" t="s">
        <v>12</v>
      </c>
      <c r="L3" s="40"/>
      <c r="M3" s="40"/>
      <c r="N3" s="40"/>
      <c r="O3" s="40" t="s">
        <v>13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3"/>
    </row>
    <row r="5" spans="1:21" ht="16">
      <c r="A5" s="44" t="s">
        <v>69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10" t="s">
        <v>78</v>
      </c>
      <c r="B6" s="9" t="s">
        <v>149</v>
      </c>
      <c r="C6" s="9" t="s">
        <v>488</v>
      </c>
      <c r="D6" s="9" t="s">
        <v>150</v>
      </c>
      <c r="E6" s="9" t="s">
        <v>529</v>
      </c>
      <c r="F6" s="9" t="s">
        <v>532</v>
      </c>
      <c r="G6" s="17" t="s">
        <v>136</v>
      </c>
      <c r="H6" s="18" t="s">
        <v>73</v>
      </c>
      <c r="I6" s="17" t="s">
        <v>52</v>
      </c>
      <c r="J6" s="10"/>
      <c r="K6" s="17" t="s">
        <v>29</v>
      </c>
      <c r="L6" s="18" t="s">
        <v>33</v>
      </c>
      <c r="M6" s="18" t="s">
        <v>33</v>
      </c>
      <c r="N6" s="10"/>
      <c r="O6" s="17" t="s">
        <v>136</v>
      </c>
      <c r="P6" s="17" t="s">
        <v>145</v>
      </c>
      <c r="Q6" s="18" t="s">
        <v>73</v>
      </c>
      <c r="R6" s="10"/>
      <c r="S6" s="10" t="str">
        <f>"720,0"</f>
        <v>720,0</v>
      </c>
      <c r="T6" s="10" t="str">
        <f>"443,1600"</f>
        <v>443,1600</v>
      </c>
      <c r="U6" s="26" t="s">
        <v>497</v>
      </c>
    </row>
    <row r="7" spans="1:21">
      <c r="A7" s="14" t="s">
        <v>78</v>
      </c>
      <c r="B7" s="13" t="s">
        <v>151</v>
      </c>
      <c r="C7" s="13" t="s">
        <v>152</v>
      </c>
      <c r="D7" s="13" t="s">
        <v>153</v>
      </c>
      <c r="E7" s="13" t="s">
        <v>527</v>
      </c>
      <c r="F7" s="13" t="s">
        <v>530</v>
      </c>
      <c r="G7" s="22" t="s">
        <v>135</v>
      </c>
      <c r="H7" s="21" t="s">
        <v>144</v>
      </c>
      <c r="I7" s="21" t="s">
        <v>144</v>
      </c>
      <c r="J7" s="14"/>
      <c r="K7" s="22" t="s">
        <v>129</v>
      </c>
      <c r="L7" s="22" t="s">
        <v>154</v>
      </c>
      <c r="M7" s="21" t="s">
        <v>49</v>
      </c>
      <c r="N7" s="14"/>
      <c r="O7" s="22" t="s">
        <v>144</v>
      </c>
      <c r="P7" s="21" t="s">
        <v>136</v>
      </c>
      <c r="Q7" s="21" t="s">
        <v>136</v>
      </c>
      <c r="R7" s="14"/>
      <c r="S7" s="14" t="str">
        <f>"622,5"</f>
        <v>622,5</v>
      </c>
      <c r="T7" s="14" t="str">
        <f>"381,5303"</f>
        <v>381,5303</v>
      </c>
      <c r="U7" s="24" t="s">
        <v>498</v>
      </c>
    </row>
    <row r="8" spans="1:21">
      <c r="B8" s="5" t="s">
        <v>79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8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2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" style="5" customWidth="1"/>
    <col min="18" max="16384" width="9.1640625" style="3"/>
  </cols>
  <sheetData>
    <row r="1" spans="1:17" s="2" customFormat="1" ht="29" customHeight="1">
      <c r="A1" s="46" t="s">
        <v>446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40" t="s">
        <v>13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1"/>
      <c r="P4" s="41"/>
      <c r="Q4" s="43"/>
    </row>
    <row r="5" spans="1:17" ht="16">
      <c r="A5" s="44" t="s">
        <v>97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8" t="s">
        <v>78</v>
      </c>
      <c r="B6" s="7" t="s">
        <v>355</v>
      </c>
      <c r="C6" s="7" t="s">
        <v>356</v>
      </c>
      <c r="D6" s="7" t="s">
        <v>262</v>
      </c>
      <c r="E6" s="7" t="s">
        <v>527</v>
      </c>
      <c r="F6" s="7" t="s">
        <v>530</v>
      </c>
      <c r="G6" s="15" t="s">
        <v>41</v>
      </c>
      <c r="H6" s="15" t="s">
        <v>236</v>
      </c>
      <c r="I6" s="16" t="s">
        <v>283</v>
      </c>
      <c r="J6" s="8"/>
      <c r="K6" s="15" t="s">
        <v>49</v>
      </c>
      <c r="L6" s="15" t="s">
        <v>50</v>
      </c>
      <c r="M6" s="15" t="s">
        <v>61</v>
      </c>
      <c r="N6" s="8"/>
      <c r="O6" s="8" t="str">
        <f>"272,5"</f>
        <v>272,5</v>
      </c>
      <c r="P6" s="8" t="str">
        <f>"185,1637"</f>
        <v>185,1637</v>
      </c>
      <c r="Q6" s="7"/>
    </row>
    <row r="7" spans="1:17">
      <c r="B7" s="5" t="s">
        <v>79</v>
      </c>
    </row>
    <row r="8" spans="1:17">
      <c r="B8" s="5" t="s">
        <v>79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4.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6" width="10.83203125" style="6" customWidth="1"/>
    <col min="17" max="17" width="21.6640625" style="5" customWidth="1"/>
    <col min="18" max="16384" width="9.1640625" style="3"/>
  </cols>
  <sheetData>
    <row r="1" spans="1:17" s="2" customFormat="1" ht="29" customHeight="1">
      <c r="A1" s="46" t="s">
        <v>447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40" t="s">
        <v>13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1"/>
      <c r="P4" s="41"/>
      <c r="Q4" s="43"/>
    </row>
    <row r="5" spans="1:17" ht="16">
      <c r="A5" s="44" t="s">
        <v>25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8" t="s">
        <v>78</v>
      </c>
      <c r="B6" s="7" t="s">
        <v>350</v>
      </c>
      <c r="C6" s="7" t="s">
        <v>471</v>
      </c>
      <c r="D6" s="7" t="s">
        <v>230</v>
      </c>
      <c r="E6" s="7" t="s">
        <v>559</v>
      </c>
      <c r="F6" s="7" t="s">
        <v>530</v>
      </c>
      <c r="G6" s="15" t="s">
        <v>24</v>
      </c>
      <c r="H6" s="15" t="s">
        <v>92</v>
      </c>
      <c r="I6" s="15" t="s">
        <v>41</v>
      </c>
      <c r="J6" s="8"/>
      <c r="K6" s="15" t="s">
        <v>42</v>
      </c>
      <c r="L6" s="15" t="s">
        <v>109</v>
      </c>
      <c r="M6" s="16" t="s">
        <v>265</v>
      </c>
      <c r="N6" s="8"/>
      <c r="O6" s="8" t="str">
        <f>"200,0"</f>
        <v>200,0</v>
      </c>
      <c r="P6" s="8" t="str">
        <f>"268,9692"</f>
        <v>268,9692</v>
      </c>
      <c r="Q6" s="7"/>
    </row>
    <row r="7" spans="1:17">
      <c r="B7" s="5" t="s">
        <v>79</v>
      </c>
    </row>
    <row r="8" spans="1:17" ht="16">
      <c r="A8" s="35" t="s">
        <v>97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7">
      <c r="A9" s="8" t="s">
        <v>78</v>
      </c>
      <c r="B9" s="7" t="s">
        <v>351</v>
      </c>
      <c r="C9" s="7" t="s">
        <v>352</v>
      </c>
      <c r="D9" s="7" t="s">
        <v>353</v>
      </c>
      <c r="E9" s="7" t="s">
        <v>528</v>
      </c>
      <c r="F9" s="7" t="s">
        <v>535</v>
      </c>
      <c r="G9" s="15" t="s">
        <v>108</v>
      </c>
      <c r="H9" s="15" t="s">
        <v>20</v>
      </c>
      <c r="I9" s="16" t="s">
        <v>23</v>
      </c>
      <c r="J9" s="8"/>
      <c r="K9" s="15" t="s">
        <v>109</v>
      </c>
      <c r="L9" s="15" t="s">
        <v>31</v>
      </c>
      <c r="M9" s="15" t="s">
        <v>32</v>
      </c>
      <c r="N9" s="8"/>
      <c r="O9" s="8" t="str">
        <f>"205,0"</f>
        <v>205,0</v>
      </c>
      <c r="P9" s="8" t="str">
        <f>"143,7255"</f>
        <v>143,7255</v>
      </c>
      <c r="Q9" s="7" t="s">
        <v>354</v>
      </c>
    </row>
    <row r="10" spans="1:17">
      <c r="B10" s="5" t="s">
        <v>79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" style="5" customWidth="1"/>
    <col min="7" max="9" width="5.5" style="6" customWidth="1"/>
    <col min="10" max="10" width="4.83203125" style="6" customWidth="1"/>
    <col min="11" max="11" width="11.3320312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46" t="s">
        <v>448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11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97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113</v>
      </c>
      <c r="C6" s="7" t="s">
        <v>472</v>
      </c>
      <c r="D6" s="7" t="s">
        <v>114</v>
      </c>
      <c r="E6" s="7" t="s">
        <v>529</v>
      </c>
      <c r="F6" s="7" t="s">
        <v>530</v>
      </c>
      <c r="G6" s="15" t="s">
        <v>50</v>
      </c>
      <c r="H6" s="16" t="s">
        <v>61</v>
      </c>
      <c r="I6" s="15" t="s">
        <v>61</v>
      </c>
      <c r="J6" s="8"/>
      <c r="K6" s="8" t="str">
        <f>"175,0"</f>
        <v>175,0</v>
      </c>
      <c r="L6" s="8" t="str">
        <f>"119,1925"</f>
        <v>119,1925</v>
      </c>
      <c r="M6" s="7" t="s">
        <v>115</v>
      </c>
    </row>
    <row r="7" spans="1:13">
      <c r="B7" s="5" t="s">
        <v>79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1.5" style="5" customWidth="1"/>
    <col min="7" max="9" width="5.5" style="6" customWidth="1"/>
    <col min="10" max="10" width="4.83203125" style="6" customWidth="1"/>
    <col min="11" max="11" width="11.3320312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46" t="s">
        <v>449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11</v>
      </c>
      <c r="H3" s="40"/>
      <c r="I3" s="40"/>
      <c r="J3" s="40"/>
      <c r="K3" s="40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35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347</v>
      </c>
      <c r="C6" s="7" t="s">
        <v>348</v>
      </c>
      <c r="D6" s="7" t="s">
        <v>349</v>
      </c>
      <c r="E6" s="7" t="s">
        <v>528</v>
      </c>
      <c r="F6" s="7" t="s">
        <v>535</v>
      </c>
      <c r="G6" s="15" t="s">
        <v>59</v>
      </c>
      <c r="H6" s="15" t="s">
        <v>51</v>
      </c>
      <c r="I6" s="16" t="s">
        <v>61</v>
      </c>
      <c r="J6" s="8"/>
      <c r="K6" s="8" t="str">
        <f>"170,0"</f>
        <v>170,0</v>
      </c>
      <c r="L6" s="8" t="str">
        <f>"111,7750"</f>
        <v>111,7750</v>
      </c>
      <c r="M6" s="7"/>
    </row>
    <row r="7" spans="1:13">
      <c r="B7" s="5" t="s">
        <v>79</v>
      </c>
    </row>
    <row r="8" spans="1:13">
      <c r="B8" s="5" t="s">
        <v>79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55"/>
  <sheetViews>
    <sheetView workbookViewId="0">
      <selection activeCell="A56" sqref="A56:XFD65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6640625" style="5" customWidth="1"/>
    <col min="7" max="9" width="5.5" style="6" customWidth="1"/>
    <col min="10" max="10" width="4.83203125" style="6" customWidth="1"/>
    <col min="11" max="11" width="11.33203125" style="27" bestFit="1" customWidth="1"/>
    <col min="12" max="12" width="8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46" t="s">
        <v>454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524</v>
      </c>
      <c r="B3" s="36" t="s">
        <v>0</v>
      </c>
      <c r="C3" s="56" t="s">
        <v>525</v>
      </c>
      <c r="D3" s="56" t="s">
        <v>8</v>
      </c>
      <c r="E3" s="40" t="s">
        <v>526</v>
      </c>
      <c r="F3" s="40" t="s">
        <v>10</v>
      </c>
      <c r="G3" s="40" t="s">
        <v>12</v>
      </c>
      <c r="H3" s="40"/>
      <c r="I3" s="40"/>
      <c r="J3" s="40"/>
      <c r="K3" s="38" t="s">
        <v>226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25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78</v>
      </c>
      <c r="B6" s="7" t="s">
        <v>228</v>
      </c>
      <c r="C6" s="7" t="s">
        <v>229</v>
      </c>
      <c r="D6" s="7" t="s">
        <v>230</v>
      </c>
      <c r="E6" s="7" t="s">
        <v>527</v>
      </c>
      <c r="F6" s="7" t="s">
        <v>530</v>
      </c>
      <c r="G6" s="15" t="s">
        <v>24</v>
      </c>
      <c r="H6" s="15" t="s">
        <v>92</v>
      </c>
      <c r="I6" s="16" t="s">
        <v>41</v>
      </c>
      <c r="J6" s="8"/>
      <c r="K6" s="30" t="str">
        <f>"87,5"</f>
        <v>87,5</v>
      </c>
      <c r="L6" s="8" t="str">
        <f>"89,4950"</f>
        <v>89,4950</v>
      </c>
      <c r="M6" s="23" t="s">
        <v>493</v>
      </c>
    </row>
    <row r="7" spans="1:13">
      <c r="B7" s="5" t="s">
        <v>79</v>
      </c>
    </row>
    <row r="8" spans="1:13" ht="16">
      <c r="A8" s="35" t="s">
        <v>97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8" t="s">
        <v>78</v>
      </c>
      <c r="B9" s="7" t="s">
        <v>231</v>
      </c>
      <c r="C9" s="7" t="s">
        <v>475</v>
      </c>
      <c r="D9" s="7" t="s">
        <v>232</v>
      </c>
      <c r="E9" s="7" t="s">
        <v>560</v>
      </c>
      <c r="F9" s="7" t="s">
        <v>538</v>
      </c>
      <c r="G9" s="15" t="s">
        <v>23</v>
      </c>
      <c r="H9" s="16" t="s">
        <v>24</v>
      </c>
      <c r="I9" s="16" t="s">
        <v>24</v>
      </c>
      <c r="J9" s="8"/>
      <c r="K9" s="30" t="str">
        <f>"80,0"</f>
        <v>80,0</v>
      </c>
      <c r="L9" s="8" t="str">
        <f>"84,0960"</f>
        <v>84,0960</v>
      </c>
      <c r="M9" s="7"/>
    </row>
    <row r="10" spans="1:13">
      <c r="B10" s="5" t="s">
        <v>79</v>
      </c>
    </row>
    <row r="11" spans="1:13" ht="16">
      <c r="A11" s="35" t="s">
        <v>88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>
      <c r="A12" s="8" t="s">
        <v>78</v>
      </c>
      <c r="B12" s="7" t="s">
        <v>233</v>
      </c>
      <c r="C12" s="7" t="s">
        <v>234</v>
      </c>
      <c r="D12" s="7" t="s">
        <v>235</v>
      </c>
      <c r="E12" s="7" t="s">
        <v>528</v>
      </c>
      <c r="F12" s="7" t="s">
        <v>530</v>
      </c>
      <c r="G12" s="15" t="s">
        <v>41</v>
      </c>
      <c r="H12" s="16" t="s">
        <v>236</v>
      </c>
      <c r="I12" s="15" t="s">
        <v>236</v>
      </c>
      <c r="J12" s="8"/>
      <c r="K12" s="30" t="str">
        <f>"97,5"</f>
        <v>97,5</v>
      </c>
      <c r="L12" s="8" t="str">
        <f>"85,4002"</f>
        <v>85,4002</v>
      </c>
      <c r="M12" s="23"/>
    </row>
    <row r="13" spans="1:13">
      <c r="B13" s="5" t="s">
        <v>79</v>
      </c>
    </row>
    <row r="14" spans="1:13" ht="16">
      <c r="A14" s="35" t="s">
        <v>25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3">
      <c r="A15" s="8" t="s">
        <v>78</v>
      </c>
      <c r="B15" s="7" t="s">
        <v>110</v>
      </c>
      <c r="C15" s="7" t="s">
        <v>111</v>
      </c>
      <c r="D15" s="7" t="s">
        <v>112</v>
      </c>
      <c r="E15" s="7" t="s">
        <v>528</v>
      </c>
      <c r="F15" s="7" t="s">
        <v>530</v>
      </c>
      <c r="G15" s="15" t="s">
        <v>101</v>
      </c>
      <c r="H15" s="15" t="s">
        <v>108</v>
      </c>
      <c r="I15" s="16" t="s">
        <v>20</v>
      </c>
      <c r="J15" s="8"/>
      <c r="K15" s="30" t="str">
        <f>"70,0"</f>
        <v>70,0</v>
      </c>
      <c r="L15" s="8" t="str">
        <f>"55,1040"</f>
        <v>55,1040</v>
      </c>
      <c r="M15" s="23" t="s">
        <v>494</v>
      </c>
    </row>
    <row r="16" spans="1:13">
      <c r="B16" s="5" t="s">
        <v>79</v>
      </c>
    </row>
    <row r="17" spans="1:13" ht="16">
      <c r="A17" s="35" t="s">
        <v>14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3">
      <c r="A18" s="10" t="s">
        <v>148</v>
      </c>
      <c r="B18" s="9" t="s">
        <v>237</v>
      </c>
      <c r="C18" s="9" t="s">
        <v>238</v>
      </c>
      <c r="D18" s="9" t="s">
        <v>239</v>
      </c>
      <c r="E18" s="9" t="s">
        <v>528</v>
      </c>
      <c r="F18" s="9" t="s">
        <v>530</v>
      </c>
      <c r="G18" s="18" t="s">
        <v>109</v>
      </c>
      <c r="H18" s="18" t="s">
        <v>121</v>
      </c>
      <c r="I18" s="18" t="s">
        <v>121</v>
      </c>
      <c r="J18" s="10"/>
      <c r="K18" s="28">
        <v>0</v>
      </c>
      <c r="L18" s="10" t="str">
        <f>"0,0000"</f>
        <v>0,0000</v>
      </c>
      <c r="M18" s="9"/>
    </row>
    <row r="19" spans="1:13">
      <c r="A19" s="12" t="s">
        <v>78</v>
      </c>
      <c r="B19" s="11" t="s">
        <v>240</v>
      </c>
      <c r="C19" s="11" t="s">
        <v>476</v>
      </c>
      <c r="D19" s="11" t="s">
        <v>184</v>
      </c>
      <c r="E19" s="11" t="s">
        <v>529</v>
      </c>
      <c r="F19" s="11" t="s">
        <v>539</v>
      </c>
      <c r="G19" s="20" t="s">
        <v>241</v>
      </c>
      <c r="H19" s="20" t="s">
        <v>154</v>
      </c>
      <c r="I19" s="20" t="s">
        <v>49</v>
      </c>
      <c r="J19" s="12"/>
      <c r="K19" s="31" t="str">
        <f>"155,0"</f>
        <v>155,0</v>
      </c>
      <c r="L19" s="12" t="str">
        <f>"113,0415"</f>
        <v>113,0415</v>
      </c>
      <c r="M19" s="11"/>
    </row>
    <row r="20" spans="1:13">
      <c r="A20" s="12" t="s">
        <v>78</v>
      </c>
      <c r="B20" s="11" t="s">
        <v>242</v>
      </c>
      <c r="C20" s="11" t="s">
        <v>243</v>
      </c>
      <c r="D20" s="11" t="s">
        <v>244</v>
      </c>
      <c r="E20" s="11" t="s">
        <v>527</v>
      </c>
      <c r="F20" s="11" t="s">
        <v>530</v>
      </c>
      <c r="G20" s="20" t="s">
        <v>121</v>
      </c>
      <c r="H20" s="20" t="s">
        <v>122</v>
      </c>
      <c r="I20" s="20" t="s">
        <v>158</v>
      </c>
      <c r="J20" s="12"/>
      <c r="K20" s="31" t="str">
        <f>"127,5"</f>
        <v>127,5</v>
      </c>
      <c r="L20" s="12" t="str">
        <f>"91,8000"</f>
        <v>91,8000</v>
      </c>
      <c r="M20" s="11"/>
    </row>
    <row r="21" spans="1:13">
      <c r="A21" s="12" t="s">
        <v>80</v>
      </c>
      <c r="B21" s="11" t="s">
        <v>245</v>
      </c>
      <c r="C21" s="11" t="s">
        <v>246</v>
      </c>
      <c r="D21" s="11" t="s">
        <v>247</v>
      </c>
      <c r="E21" s="11" t="s">
        <v>527</v>
      </c>
      <c r="F21" s="11" t="s">
        <v>540</v>
      </c>
      <c r="G21" s="20" t="s">
        <v>109</v>
      </c>
      <c r="H21" s="19" t="s">
        <v>121</v>
      </c>
      <c r="I21" s="19" t="s">
        <v>121</v>
      </c>
      <c r="J21" s="12"/>
      <c r="K21" s="31" t="str">
        <f>"110,0"</f>
        <v>110,0</v>
      </c>
      <c r="L21" s="12" t="str">
        <f>"83,0720"</f>
        <v>83,0720</v>
      </c>
      <c r="M21" s="11"/>
    </row>
    <row r="22" spans="1:13">
      <c r="A22" s="14" t="s">
        <v>78</v>
      </c>
      <c r="B22" s="13" t="s">
        <v>248</v>
      </c>
      <c r="C22" s="13" t="s">
        <v>477</v>
      </c>
      <c r="D22" s="13" t="s">
        <v>249</v>
      </c>
      <c r="E22" s="13" t="s">
        <v>560</v>
      </c>
      <c r="F22" s="13" t="s">
        <v>537</v>
      </c>
      <c r="G22" s="22" t="s">
        <v>32</v>
      </c>
      <c r="H22" s="22" t="s">
        <v>68</v>
      </c>
      <c r="I22" s="21" t="s">
        <v>250</v>
      </c>
      <c r="J22" s="14"/>
      <c r="K22" s="29" t="str">
        <f>"135,0"</f>
        <v>135,0</v>
      </c>
      <c r="L22" s="14" t="str">
        <f>"113,1985"</f>
        <v>113,1985</v>
      </c>
      <c r="M22" s="13"/>
    </row>
    <row r="23" spans="1:13">
      <c r="B23" s="5" t="s">
        <v>79</v>
      </c>
    </row>
    <row r="24" spans="1:13" ht="16">
      <c r="A24" s="35" t="s">
        <v>97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3">
      <c r="A25" s="10" t="s">
        <v>78</v>
      </c>
      <c r="B25" s="9" t="s">
        <v>251</v>
      </c>
      <c r="C25" s="9" t="s">
        <v>252</v>
      </c>
      <c r="D25" s="9" t="s">
        <v>253</v>
      </c>
      <c r="E25" s="9" t="s">
        <v>528</v>
      </c>
      <c r="F25" s="9" t="s">
        <v>541</v>
      </c>
      <c r="G25" s="17" t="s">
        <v>31</v>
      </c>
      <c r="H25" s="17" t="s">
        <v>40</v>
      </c>
      <c r="I25" s="17" t="s">
        <v>158</v>
      </c>
      <c r="J25" s="10"/>
      <c r="K25" s="28" t="str">
        <f>"127,5"</f>
        <v>127,5</v>
      </c>
      <c r="L25" s="10" t="str">
        <f>"86,7000"</f>
        <v>86,7000</v>
      </c>
      <c r="M25" s="26" t="s">
        <v>505</v>
      </c>
    </row>
    <row r="26" spans="1:13">
      <c r="A26" s="12" t="s">
        <v>78</v>
      </c>
      <c r="B26" s="11" t="s">
        <v>254</v>
      </c>
      <c r="C26" s="11" t="s">
        <v>255</v>
      </c>
      <c r="D26" s="11" t="s">
        <v>256</v>
      </c>
      <c r="E26" s="11" t="s">
        <v>527</v>
      </c>
      <c r="F26" s="11" t="s">
        <v>542</v>
      </c>
      <c r="G26" s="19" t="s">
        <v>104</v>
      </c>
      <c r="H26" s="20" t="s">
        <v>104</v>
      </c>
      <c r="I26" s="20" t="s">
        <v>60</v>
      </c>
      <c r="J26" s="12"/>
      <c r="K26" s="31" t="str">
        <f>"167,5"</f>
        <v>167,5</v>
      </c>
      <c r="L26" s="12" t="str">
        <f>"114,1680"</f>
        <v>114,1680</v>
      </c>
      <c r="M26" s="11"/>
    </row>
    <row r="27" spans="1:13">
      <c r="A27" s="12" t="s">
        <v>80</v>
      </c>
      <c r="B27" s="11" t="s">
        <v>186</v>
      </c>
      <c r="C27" s="11" t="s">
        <v>187</v>
      </c>
      <c r="D27" s="11" t="s">
        <v>188</v>
      </c>
      <c r="E27" s="11" t="s">
        <v>527</v>
      </c>
      <c r="F27" s="11" t="s">
        <v>530</v>
      </c>
      <c r="G27" s="20" t="s">
        <v>103</v>
      </c>
      <c r="H27" s="19" t="s">
        <v>154</v>
      </c>
      <c r="I27" s="19" t="s">
        <v>104</v>
      </c>
      <c r="J27" s="12"/>
      <c r="K27" s="31" t="str">
        <f>"150,0"</f>
        <v>150,0</v>
      </c>
      <c r="L27" s="12" t="str">
        <f>"101,3100"</f>
        <v>101,3100</v>
      </c>
      <c r="M27" s="11"/>
    </row>
    <row r="28" spans="1:13">
      <c r="A28" s="12" t="s">
        <v>227</v>
      </c>
      <c r="B28" s="11" t="s">
        <v>257</v>
      </c>
      <c r="C28" s="11" t="s">
        <v>258</v>
      </c>
      <c r="D28" s="11" t="s">
        <v>259</v>
      </c>
      <c r="E28" s="11" t="s">
        <v>527</v>
      </c>
      <c r="F28" s="11" t="s">
        <v>530</v>
      </c>
      <c r="G28" s="20" t="s">
        <v>122</v>
      </c>
      <c r="H28" s="20" t="s">
        <v>158</v>
      </c>
      <c r="I28" s="20" t="s">
        <v>32</v>
      </c>
      <c r="J28" s="12"/>
      <c r="K28" s="31" t="str">
        <f>"130,0"</f>
        <v>130,0</v>
      </c>
      <c r="L28" s="12" t="str">
        <f>"87,6720"</f>
        <v>87,6720</v>
      </c>
      <c r="M28" s="25" t="s">
        <v>506</v>
      </c>
    </row>
    <row r="29" spans="1:13">
      <c r="A29" s="12" t="s">
        <v>306</v>
      </c>
      <c r="B29" s="11" t="s">
        <v>260</v>
      </c>
      <c r="C29" s="11" t="s">
        <v>261</v>
      </c>
      <c r="D29" s="11" t="s">
        <v>262</v>
      </c>
      <c r="E29" s="11" t="s">
        <v>527</v>
      </c>
      <c r="F29" s="11" t="s">
        <v>530</v>
      </c>
      <c r="G29" s="20" t="s">
        <v>109</v>
      </c>
      <c r="H29" s="20" t="s">
        <v>39</v>
      </c>
      <c r="I29" s="19" t="s">
        <v>31</v>
      </c>
      <c r="J29" s="12"/>
      <c r="K29" s="31" t="str">
        <f>"115,0"</f>
        <v>115,0</v>
      </c>
      <c r="L29" s="12" t="str">
        <f>"78,1425"</f>
        <v>78,1425</v>
      </c>
      <c r="M29" s="11"/>
    </row>
    <row r="30" spans="1:13">
      <c r="A30" s="14" t="s">
        <v>307</v>
      </c>
      <c r="B30" s="13" t="s">
        <v>263</v>
      </c>
      <c r="C30" s="13" t="s">
        <v>264</v>
      </c>
      <c r="D30" s="13" t="s">
        <v>188</v>
      </c>
      <c r="E30" s="13" t="s">
        <v>527</v>
      </c>
      <c r="F30" s="13" t="s">
        <v>530</v>
      </c>
      <c r="G30" s="22" t="s">
        <v>109</v>
      </c>
      <c r="H30" s="22" t="s">
        <v>265</v>
      </c>
      <c r="I30" s="21" t="s">
        <v>31</v>
      </c>
      <c r="J30" s="14"/>
      <c r="K30" s="29" t="str">
        <f>"112,5"</f>
        <v>112,5</v>
      </c>
      <c r="L30" s="14" t="str">
        <f>"75,9825"</f>
        <v>75,9825</v>
      </c>
      <c r="M30" s="24" t="s">
        <v>493</v>
      </c>
    </row>
    <row r="31" spans="1:13">
      <c r="B31" s="5" t="s">
        <v>79</v>
      </c>
    </row>
    <row r="32" spans="1:13" ht="16">
      <c r="A32" s="35" t="s">
        <v>35</v>
      </c>
      <c r="B32" s="35"/>
      <c r="C32" s="35"/>
      <c r="D32" s="35"/>
      <c r="E32" s="35"/>
      <c r="F32" s="35"/>
      <c r="G32" s="35"/>
      <c r="H32" s="35"/>
      <c r="I32" s="35"/>
      <c r="J32" s="35"/>
    </row>
    <row r="33" spans="1:13">
      <c r="A33" s="10" t="s">
        <v>78</v>
      </c>
      <c r="B33" s="9" t="s">
        <v>266</v>
      </c>
      <c r="C33" s="9" t="s">
        <v>478</v>
      </c>
      <c r="D33" s="9" t="s">
        <v>267</v>
      </c>
      <c r="E33" s="9" t="s">
        <v>529</v>
      </c>
      <c r="F33" s="9" t="s">
        <v>530</v>
      </c>
      <c r="G33" s="17" t="s">
        <v>43</v>
      </c>
      <c r="H33" s="17" t="s">
        <v>241</v>
      </c>
      <c r="I33" s="18" t="s">
        <v>154</v>
      </c>
      <c r="J33" s="10"/>
      <c r="K33" s="28" t="str">
        <f>"147,5"</f>
        <v>147,5</v>
      </c>
      <c r="L33" s="10" t="str">
        <f>"97,7630"</f>
        <v>97,7630</v>
      </c>
      <c r="M33" s="9"/>
    </row>
    <row r="34" spans="1:13">
      <c r="A34" s="12" t="s">
        <v>78</v>
      </c>
      <c r="B34" s="11" t="s">
        <v>268</v>
      </c>
      <c r="C34" s="11" t="s">
        <v>269</v>
      </c>
      <c r="D34" s="11" t="s">
        <v>270</v>
      </c>
      <c r="E34" s="11" t="s">
        <v>527</v>
      </c>
      <c r="F34" s="11" t="s">
        <v>543</v>
      </c>
      <c r="G34" s="20" t="s">
        <v>75</v>
      </c>
      <c r="H34" s="20" t="s">
        <v>160</v>
      </c>
      <c r="I34" s="19" t="s">
        <v>271</v>
      </c>
      <c r="J34" s="12"/>
      <c r="K34" s="31" t="str">
        <f>"197,5"</f>
        <v>197,5</v>
      </c>
      <c r="L34" s="12" t="str">
        <f>"129,5995"</f>
        <v>129,5995</v>
      </c>
      <c r="M34" s="11"/>
    </row>
    <row r="35" spans="1:13">
      <c r="A35" s="12" t="s">
        <v>80</v>
      </c>
      <c r="B35" s="11" t="s">
        <v>272</v>
      </c>
      <c r="C35" s="11" t="s">
        <v>273</v>
      </c>
      <c r="D35" s="11" t="s">
        <v>274</v>
      </c>
      <c r="E35" s="11" t="s">
        <v>527</v>
      </c>
      <c r="F35" s="11" t="s">
        <v>540</v>
      </c>
      <c r="G35" s="20" t="s">
        <v>29</v>
      </c>
      <c r="H35" s="20" t="s">
        <v>77</v>
      </c>
      <c r="I35" s="19" t="s">
        <v>271</v>
      </c>
      <c r="J35" s="12"/>
      <c r="K35" s="31" t="str">
        <f>"195,0"</f>
        <v>195,0</v>
      </c>
      <c r="L35" s="12" t="str">
        <f>"125,7165"</f>
        <v>125,7165</v>
      </c>
      <c r="M35" s="11"/>
    </row>
    <row r="36" spans="1:13">
      <c r="A36" s="12" t="s">
        <v>227</v>
      </c>
      <c r="B36" s="11" t="s">
        <v>275</v>
      </c>
      <c r="C36" s="11" t="s">
        <v>276</v>
      </c>
      <c r="D36" s="11" t="s">
        <v>277</v>
      </c>
      <c r="E36" s="11" t="s">
        <v>527</v>
      </c>
      <c r="F36" s="11" t="s">
        <v>544</v>
      </c>
      <c r="G36" s="20" t="s">
        <v>185</v>
      </c>
      <c r="H36" s="19" t="s">
        <v>154</v>
      </c>
      <c r="I36" s="19" t="s">
        <v>154</v>
      </c>
      <c r="J36" s="12"/>
      <c r="K36" s="31" t="str">
        <f>"132,5"</f>
        <v>132,5</v>
      </c>
      <c r="L36" s="12" t="str">
        <f>"86,9995"</f>
        <v>86,9995</v>
      </c>
      <c r="M36" s="11"/>
    </row>
    <row r="37" spans="1:13">
      <c r="A37" s="12" t="s">
        <v>78</v>
      </c>
      <c r="B37" s="11" t="s">
        <v>278</v>
      </c>
      <c r="C37" s="11" t="s">
        <v>479</v>
      </c>
      <c r="D37" s="11" t="s">
        <v>279</v>
      </c>
      <c r="E37" s="11" t="s">
        <v>561</v>
      </c>
      <c r="F37" s="11" t="s">
        <v>530</v>
      </c>
      <c r="G37" s="20" t="s">
        <v>129</v>
      </c>
      <c r="H37" s="20" t="s">
        <v>154</v>
      </c>
      <c r="I37" s="20" t="s">
        <v>49</v>
      </c>
      <c r="J37" s="12"/>
      <c r="K37" s="31" t="str">
        <f>"155,0"</f>
        <v>155,0</v>
      </c>
      <c r="L37" s="12" t="str">
        <f>"109,0799"</f>
        <v>109,0799</v>
      </c>
      <c r="M37" s="25" t="s">
        <v>507</v>
      </c>
    </row>
    <row r="38" spans="1:13">
      <c r="A38" s="14" t="s">
        <v>80</v>
      </c>
      <c r="B38" s="13" t="s">
        <v>280</v>
      </c>
      <c r="C38" s="13" t="s">
        <v>480</v>
      </c>
      <c r="D38" s="13" t="s">
        <v>281</v>
      </c>
      <c r="E38" s="13" t="s">
        <v>561</v>
      </c>
      <c r="F38" s="13" t="s">
        <v>530</v>
      </c>
      <c r="G38" s="22" t="s">
        <v>282</v>
      </c>
      <c r="H38" s="21" t="s">
        <v>283</v>
      </c>
      <c r="I38" s="21" t="s">
        <v>283</v>
      </c>
      <c r="J38" s="14"/>
      <c r="K38" s="29" t="str">
        <f>"92,5"</f>
        <v>92,5</v>
      </c>
      <c r="L38" s="14" t="str">
        <f>"64,3261"</f>
        <v>64,3261</v>
      </c>
      <c r="M38" s="24" t="s">
        <v>500</v>
      </c>
    </row>
    <row r="39" spans="1:13">
      <c r="B39" s="5" t="s">
        <v>79</v>
      </c>
    </row>
    <row r="40" spans="1:13" ht="16">
      <c r="A40" s="35" t="s">
        <v>69</v>
      </c>
      <c r="B40" s="35"/>
      <c r="C40" s="35"/>
      <c r="D40" s="35"/>
      <c r="E40" s="35"/>
      <c r="F40" s="35"/>
      <c r="G40" s="35"/>
      <c r="H40" s="35"/>
      <c r="I40" s="35"/>
      <c r="J40" s="35"/>
    </row>
    <row r="41" spans="1:13">
      <c r="A41" s="10" t="s">
        <v>78</v>
      </c>
      <c r="B41" s="9" t="s">
        <v>284</v>
      </c>
      <c r="C41" s="9" t="s">
        <v>285</v>
      </c>
      <c r="D41" s="9" t="s">
        <v>150</v>
      </c>
      <c r="E41" s="9" t="s">
        <v>527</v>
      </c>
      <c r="F41" s="9" t="s">
        <v>530</v>
      </c>
      <c r="G41" s="17" t="s">
        <v>104</v>
      </c>
      <c r="H41" s="17" t="s">
        <v>61</v>
      </c>
      <c r="I41" s="18" t="s">
        <v>30</v>
      </c>
      <c r="J41" s="10"/>
      <c r="K41" s="28" t="str">
        <f>"175,0"</f>
        <v>175,0</v>
      </c>
      <c r="L41" s="10" t="str">
        <f>"107,7125"</f>
        <v>107,7125</v>
      </c>
      <c r="M41" s="26"/>
    </row>
    <row r="42" spans="1:13">
      <c r="A42" s="12" t="s">
        <v>80</v>
      </c>
      <c r="B42" s="11" t="s">
        <v>286</v>
      </c>
      <c r="C42" s="11" t="s">
        <v>287</v>
      </c>
      <c r="D42" s="11" t="s">
        <v>288</v>
      </c>
      <c r="E42" s="11" t="s">
        <v>527</v>
      </c>
      <c r="F42" s="11" t="s">
        <v>530</v>
      </c>
      <c r="G42" s="20" t="s">
        <v>39</v>
      </c>
      <c r="H42" s="19" t="s">
        <v>40</v>
      </c>
      <c r="I42" s="19" t="s">
        <v>40</v>
      </c>
      <c r="J42" s="12"/>
      <c r="K42" s="31" t="str">
        <f>"115,0"</f>
        <v>115,0</v>
      </c>
      <c r="L42" s="12" t="str">
        <f>"70,3340"</f>
        <v>70,3340</v>
      </c>
      <c r="M42" s="25" t="s">
        <v>508</v>
      </c>
    </row>
    <row r="43" spans="1:13">
      <c r="A43" s="12" t="s">
        <v>148</v>
      </c>
      <c r="B43" s="11" t="s">
        <v>289</v>
      </c>
      <c r="C43" s="11" t="s">
        <v>290</v>
      </c>
      <c r="D43" s="11" t="s">
        <v>291</v>
      </c>
      <c r="E43" s="11" t="s">
        <v>527</v>
      </c>
      <c r="F43" s="11" t="s">
        <v>540</v>
      </c>
      <c r="G43" s="19" t="s">
        <v>292</v>
      </c>
      <c r="H43" s="19" t="s">
        <v>292</v>
      </c>
      <c r="I43" s="19" t="s">
        <v>292</v>
      </c>
      <c r="J43" s="12"/>
      <c r="K43" s="31">
        <v>0</v>
      </c>
      <c r="L43" s="12" t="str">
        <f>"0,0000"</f>
        <v>0,0000</v>
      </c>
      <c r="M43" s="25" t="s">
        <v>509</v>
      </c>
    </row>
    <row r="44" spans="1:13">
      <c r="A44" s="12" t="s">
        <v>78</v>
      </c>
      <c r="B44" s="11" t="s">
        <v>293</v>
      </c>
      <c r="C44" s="11" t="s">
        <v>460</v>
      </c>
      <c r="D44" s="11" t="s">
        <v>294</v>
      </c>
      <c r="E44" s="11" t="s">
        <v>562</v>
      </c>
      <c r="F44" s="11" t="s">
        <v>530</v>
      </c>
      <c r="G44" s="20" t="s">
        <v>43</v>
      </c>
      <c r="H44" s="20" t="s">
        <v>103</v>
      </c>
      <c r="I44" s="19" t="s">
        <v>104</v>
      </c>
      <c r="J44" s="12"/>
      <c r="K44" s="31" t="str">
        <f>"150,0"</f>
        <v>150,0</v>
      </c>
      <c r="L44" s="12" t="str">
        <f>"92,0781"</f>
        <v>92,0781</v>
      </c>
      <c r="M44" s="25" t="s">
        <v>493</v>
      </c>
    </row>
    <row r="45" spans="1:13">
      <c r="A45" s="14" t="s">
        <v>148</v>
      </c>
      <c r="B45" s="13" t="s">
        <v>289</v>
      </c>
      <c r="C45" s="13" t="s">
        <v>481</v>
      </c>
      <c r="D45" s="13" t="s">
        <v>291</v>
      </c>
      <c r="E45" s="13" t="s">
        <v>561</v>
      </c>
      <c r="F45" s="13" t="s">
        <v>540</v>
      </c>
      <c r="G45" s="21" t="s">
        <v>292</v>
      </c>
      <c r="H45" s="21" t="s">
        <v>292</v>
      </c>
      <c r="I45" s="21" t="s">
        <v>292</v>
      </c>
      <c r="J45" s="14"/>
      <c r="K45" s="29" t="str">
        <f>"0.00"</f>
        <v>0.00</v>
      </c>
      <c r="L45" s="14" t="str">
        <f>"0,0000"</f>
        <v>0,0000</v>
      </c>
      <c r="M45" s="24" t="s">
        <v>509</v>
      </c>
    </row>
    <row r="46" spans="1:13">
      <c r="B46" s="5" t="s">
        <v>79</v>
      </c>
    </row>
    <row r="47" spans="1:13" ht="16">
      <c r="A47" s="35" t="s">
        <v>137</v>
      </c>
      <c r="B47" s="35"/>
      <c r="C47" s="35"/>
      <c r="D47" s="35"/>
      <c r="E47" s="35"/>
      <c r="F47" s="35"/>
      <c r="G47" s="35"/>
      <c r="H47" s="35"/>
      <c r="I47" s="35"/>
      <c r="J47" s="35"/>
    </row>
    <row r="48" spans="1:13">
      <c r="A48" s="8" t="s">
        <v>148</v>
      </c>
      <c r="B48" s="7" t="s">
        <v>295</v>
      </c>
      <c r="C48" s="7" t="s">
        <v>296</v>
      </c>
      <c r="D48" s="7" t="s">
        <v>297</v>
      </c>
      <c r="E48" s="7" t="s">
        <v>527</v>
      </c>
      <c r="F48" s="7" t="s">
        <v>545</v>
      </c>
      <c r="G48" s="16" t="s">
        <v>60</v>
      </c>
      <c r="H48" s="16" t="s">
        <v>60</v>
      </c>
      <c r="I48" s="8"/>
      <c r="J48" s="8"/>
      <c r="K48" s="30">
        <v>0</v>
      </c>
      <c r="L48" s="8" t="str">
        <f>"0,0000"</f>
        <v>0,0000</v>
      </c>
      <c r="M48" s="7"/>
    </row>
    <row r="49" spans="1:13">
      <c r="B49" s="5" t="s">
        <v>79</v>
      </c>
    </row>
    <row r="50" spans="1:13" ht="16">
      <c r="A50" s="35" t="s">
        <v>140</v>
      </c>
      <c r="B50" s="35"/>
      <c r="C50" s="35"/>
      <c r="D50" s="35"/>
      <c r="E50" s="35"/>
      <c r="F50" s="35"/>
      <c r="G50" s="35"/>
      <c r="H50" s="35"/>
      <c r="I50" s="35"/>
      <c r="J50" s="35"/>
    </row>
    <row r="51" spans="1:13">
      <c r="A51" s="10" t="s">
        <v>78</v>
      </c>
      <c r="B51" s="9" t="s">
        <v>298</v>
      </c>
      <c r="C51" s="9" t="s">
        <v>299</v>
      </c>
      <c r="D51" s="9" t="s">
        <v>300</v>
      </c>
      <c r="E51" s="9" t="s">
        <v>527</v>
      </c>
      <c r="F51" s="9" t="s">
        <v>540</v>
      </c>
      <c r="G51" s="17" t="s">
        <v>33</v>
      </c>
      <c r="H51" s="17" t="s">
        <v>34</v>
      </c>
      <c r="I51" s="17" t="s">
        <v>58</v>
      </c>
      <c r="J51" s="10"/>
      <c r="K51" s="28" t="str">
        <f>"215,0"</f>
        <v>215,0</v>
      </c>
      <c r="L51" s="10" t="str">
        <f>"123,2165"</f>
        <v>123,2165</v>
      </c>
      <c r="M51" s="9"/>
    </row>
    <row r="52" spans="1:13">
      <c r="A52" s="12" t="s">
        <v>80</v>
      </c>
      <c r="B52" s="11" t="s">
        <v>301</v>
      </c>
      <c r="C52" s="11" t="s">
        <v>302</v>
      </c>
      <c r="D52" s="11" t="s">
        <v>303</v>
      </c>
      <c r="E52" s="11" t="s">
        <v>527</v>
      </c>
      <c r="F52" s="11" t="s">
        <v>530</v>
      </c>
      <c r="G52" s="19" t="s">
        <v>51</v>
      </c>
      <c r="H52" s="20" t="s">
        <v>292</v>
      </c>
      <c r="I52" s="19" t="s">
        <v>30</v>
      </c>
      <c r="J52" s="12"/>
      <c r="K52" s="31" t="str">
        <f>"177,5"</f>
        <v>177,5</v>
      </c>
      <c r="L52" s="12" t="str">
        <f>"103,1808"</f>
        <v>103,1808</v>
      </c>
      <c r="M52" s="25" t="s">
        <v>510</v>
      </c>
    </row>
    <row r="53" spans="1:13">
      <c r="A53" s="14" t="s">
        <v>78</v>
      </c>
      <c r="B53" s="13" t="s">
        <v>304</v>
      </c>
      <c r="C53" s="13" t="s">
        <v>482</v>
      </c>
      <c r="D53" s="13" t="s">
        <v>305</v>
      </c>
      <c r="E53" s="13" t="s">
        <v>562</v>
      </c>
      <c r="F53" s="13" t="s">
        <v>546</v>
      </c>
      <c r="G53" s="22" t="s">
        <v>154</v>
      </c>
      <c r="H53" s="21" t="s">
        <v>49</v>
      </c>
      <c r="I53" s="21" t="s">
        <v>49</v>
      </c>
      <c r="J53" s="14"/>
      <c r="K53" s="29" t="str">
        <f>"152,5"</f>
        <v>152,5</v>
      </c>
      <c r="L53" s="14" t="str">
        <f>"88,5110"</f>
        <v>88,5110</v>
      </c>
      <c r="M53" s="13"/>
    </row>
    <row r="54" spans="1:13">
      <c r="B54" s="5" t="s">
        <v>79</v>
      </c>
    </row>
    <row r="55" spans="1:13">
      <c r="B55" s="5" t="s">
        <v>79</v>
      </c>
    </row>
  </sheetData>
  <mergeCells count="21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0:J40"/>
    <mergeCell ref="A47:J47"/>
    <mergeCell ref="A50:J50"/>
    <mergeCell ref="B3:B4"/>
    <mergeCell ref="A8:J8"/>
    <mergeCell ref="A11:J11"/>
    <mergeCell ref="A14:J14"/>
    <mergeCell ref="A17:J17"/>
    <mergeCell ref="A24:J24"/>
    <mergeCell ref="A32:J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IPL Тяга без экипировки ДК</vt:lpstr>
      <vt:lpstr>IPL Тяга без экипировки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  <vt:lpstr>ФЖД Армейский жим двоеборье</vt:lpstr>
      <vt:lpstr>ФЖД Армейский жим макс.ДК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2022-03-28T00:26:17Z</dcterms:modified>
</cp:coreProperties>
</file>