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рт/"/>
    </mc:Choice>
  </mc:AlternateContent>
  <xr:revisionPtr revIDLastSave="0" documentId="13_ncr:1_{8AC25A73-0002-8848-BDE9-A8FD5BFE6D30}" xr6:coauthVersionLast="45" xr6:coauthVersionMax="45" xr10:uidLastSave="{00000000-0000-0000-0000-000000000000}"/>
  <bookViews>
    <workbookView xWindow="480" yWindow="460" windowWidth="28320" windowHeight="15400" firstSheet="10" activeTab="15" xr2:uid="{00000000-000D-0000-FFFF-FFFF00000000}"/>
  </bookViews>
  <sheets>
    <sheet name="IPL ПЛ без экипировки ДК" sheetId="10" r:id="rId1"/>
    <sheet name="IPL ПЛ без экипировки" sheetId="9" r:id="rId2"/>
    <sheet name="IPL Двоеборье без экип ДК" sheetId="32" r:id="rId3"/>
    <sheet name="IPL Двоеборье без экип" sheetId="31" r:id="rId4"/>
    <sheet name="IPL Жим без экипировки ДК" sheetId="14" r:id="rId5"/>
    <sheet name="IPL Жим без экипировки" sheetId="13" r:id="rId6"/>
    <sheet name="СПР Жим софт однопетельная ДК" sheetId="54" r:id="rId7"/>
    <sheet name="WRPF Военный жим ДК" sheetId="52" r:id="rId8"/>
    <sheet name="WRPF Военный жим" sheetId="51" r:id="rId9"/>
    <sheet name="IPL Тяга без экипировки ДК" sheetId="20" r:id="rId10"/>
    <sheet name="IPL Тяга без экипировки" sheetId="19" r:id="rId11"/>
    <sheet name="СПР Пауэрспорт" sheetId="49" r:id="rId12"/>
    <sheet name="СПР Подъем на бицепс ДК" sheetId="48" r:id="rId13"/>
    <sheet name="СПР Подъем на бицепс" sheetId="47" r:id="rId14"/>
    <sheet name="WRPF Подъем на бицепс ДК" sheetId="40" r:id="rId15"/>
    <sheet name="WRPF Подъем на бицепс" sheetId="3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54" l="1"/>
  <c r="K10" i="54"/>
  <c r="L7" i="54"/>
  <c r="K7" i="54"/>
  <c r="L6" i="54"/>
  <c r="K6" i="54"/>
  <c r="L12" i="52" l="1"/>
  <c r="K12" i="52"/>
  <c r="L9" i="52"/>
  <c r="K9" i="52"/>
  <c r="L6" i="52"/>
  <c r="K6" i="52"/>
  <c r="L6" i="51"/>
  <c r="K6" i="51"/>
  <c r="P6" i="49"/>
  <c r="O6" i="49"/>
  <c r="L22" i="48"/>
  <c r="K22" i="48"/>
  <c r="L19" i="48"/>
  <c r="K19" i="48"/>
  <c r="L16" i="48"/>
  <c r="K16" i="48"/>
  <c r="L13" i="48"/>
  <c r="K13" i="48"/>
  <c r="L10" i="48"/>
  <c r="K10" i="48"/>
  <c r="L9" i="48"/>
  <c r="K9" i="48"/>
  <c r="L6" i="48"/>
  <c r="K6" i="48"/>
  <c r="L7" i="47"/>
  <c r="K7" i="47"/>
  <c r="L6" i="47"/>
  <c r="K6" i="47"/>
  <c r="L16" i="40"/>
  <c r="K16" i="40"/>
  <c r="L15" i="40"/>
  <c r="K15" i="40"/>
  <c r="L12" i="40"/>
  <c r="K12" i="40"/>
  <c r="L9" i="40"/>
  <c r="K9" i="40"/>
  <c r="L6" i="40"/>
  <c r="K6" i="40"/>
  <c r="L15" i="39"/>
  <c r="K15" i="39"/>
  <c r="L14" i="39"/>
  <c r="K14" i="39"/>
  <c r="L11" i="39"/>
  <c r="K11" i="39"/>
  <c r="L8" i="39"/>
  <c r="K8" i="39"/>
  <c r="L7" i="39"/>
  <c r="K7" i="39"/>
  <c r="L6" i="39"/>
  <c r="K6" i="39"/>
  <c r="P6" i="32"/>
  <c r="O6" i="32"/>
  <c r="P6" i="31"/>
  <c r="O6" i="31"/>
  <c r="L15" i="20"/>
  <c r="K15" i="20"/>
  <c r="L12" i="20"/>
  <c r="K12" i="20"/>
  <c r="L9" i="20"/>
  <c r="K9" i="20"/>
  <c r="L6" i="20"/>
  <c r="K6" i="20"/>
  <c r="L6" i="19"/>
  <c r="K6" i="19"/>
  <c r="L46" i="14"/>
  <c r="K46" i="14"/>
  <c r="L43" i="14"/>
  <c r="K43" i="14"/>
  <c r="L42" i="14"/>
  <c r="K42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1" i="14"/>
  <c r="K31" i="14"/>
  <c r="L30" i="14"/>
  <c r="K30" i="14"/>
  <c r="L29" i="14"/>
  <c r="K29" i="14"/>
  <c r="L28" i="14"/>
  <c r="K28" i="14"/>
  <c r="L25" i="14"/>
  <c r="K25" i="14"/>
  <c r="L24" i="14"/>
  <c r="K24" i="14"/>
  <c r="L21" i="14"/>
  <c r="K21" i="14"/>
  <c r="L18" i="14"/>
  <c r="K18" i="14"/>
  <c r="L15" i="14"/>
  <c r="K15" i="14"/>
  <c r="L14" i="14"/>
  <c r="K14" i="14"/>
  <c r="L11" i="14"/>
  <c r="K11" i="14"/>
  <c r="L10" i="14"/>
  <c r="K10" i="14"/>
  <c r="L9" i="14"/>
  <c r="K9" i="14"/>
  <c r="L6" i="14"/>
  <c r="K6" i="14"/>
  <c r="L20" i="13"/>
  <c r="K20" i="13"/>
  <c r="L17" i="13"/>
  <c r="K17" i="13"/>
  <c r="L16" i="13"/>
  <c r="K16" i="13"/>
  <c r="L13" i="13"/>
  <c r="K13" i="13"/>
  <c r="L12" i="13"/>
  <c r="K12" i="13"/>
  <c r="L9" i="13"/>
  <c r="K9" i="13"/>
  <c r="L6" i="13"/>
  <c r="K6" i="13"/>
  <c r="T25" i="10"/>
  <c r="S25" i="10"/>
  <c r="T22" i="10"/>
  <c r="S22" i="10"/>
  <c r="T21" i="10"/>
  <c r="S21" i="10"/>
  <c r="T18" i="10"/>
  <c r="S18" i="10"/>
  <c r="T15" i="10"/>
  <c r="S15" i="10"/>
  <c r="T14" i="10"/>
  <c r="S14" i="10"/>
  <c r="T11" i="10"/>
  <c r="T10" i="10"/>
  <c r="S10" i="10"/>
  <c r="T9" i="10"/>
  <c r="S9" i="10"/>
  <c r="T6" i="10"/>
  <c r="S6" i="10"/>
  <c r="T16" i="9"/>
  <c r="S16" i="9"/>
  <c r="T13" i="9"/>
  <c r="T12" i="9"/>
  <c r="S12" i="9"/>
  <c r="T9" i="9"/>
  <c r="S9" i="9"/>
  <c r="T6" i="9"/>
  <c r="S6" i="9"/>
</calcChain>
</file>

<file path=xl/sharedStrings.xml><?xml version="1.0" encoding="utf-8"?>
<sst xmlns="http://schemas.openxmlformats.org/spreadsheetml/2006/main" count="1246" uniqueCount="391">
  <si>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</si>
  <si>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</si>
  <si>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</si>
  <si>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</si>
  <si>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</si>
  <si>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</si>
  <si>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</si>
  <si>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</si>
  <si>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</si>
  <si>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</si>
  <si>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</si>
  <si>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</si>
  <si>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75</t>
  </si>
  <si>
    <t>Чепурнов Андрей</t>
  </si>
  <si>
    <t>Открытая (11.07.1991)/30</t>
  </si>
  <si>
    <t>71,70</t>
  </si>
  <si>
    <t>135,0</t>
  </si>
  <si>
    <t>142,5</t>
  </si>
  <si>
    <t>150,0</t>
  </si>
  <si>
    <t>95,0</t>
  </si>
  <si>
    <t>102,5</t>
  </si>
  <si>
    <t>107,5</t>
  </si>
  <si>
    <t>180,0</t>
  </si>
  <si>
    <t>195,0</t>
  </si>
  <si>
    <t xml:space="preserve">Ильин М. </t>
  </si>
  <si>
    <t>ВЕСОВАЯ КАТЕГОРИЯ   90</t>
  </si>
  <si>
    <t>Катаев Ленур</t>
  </si>
  <si>
    <t>Открытая (11.10.1994)/27</t>
  </si>
  <si>
    <t>89,90</t>
  </si>
  <si>
    <t>250,0</t>
  </si>
  <si>
    <t>260,0</t>
  </si>
  <si>
    <t>215,0</t>
  </si>
  <si>
    <t>222,5</t>
  </si>
  <si>
    <t>225,0</t>
  </si>
  <si>
    <t>290,0</t>
  </si>
  <si>
    <t>300,0</t>
  </si>
  <si>
    <t>ВЕСОВАЯ КАТЕГОРИЯ   100</t>
  </si>
  <si>
    <t>Алещенко Олег</t>
  </si>
  <si>
    <t>Открытая (25.06.1987)/34</t>
  </si>
  <si>
    <t>99,00</t>
  </si>
  <si>
    <t>190,0</t>
  </si>
  <si>
    <t>200,0</t>
  </si>
  <si>
    <t>207,5</t>
  </si>
  <si>
    <t>165,0</t>
  </si>
  <si>
    <t>170,0</t>
  </si>
  <si>
    <t>175,0</t>
  </si>
  <si>
    <t>Баранский Денис</t>
  </si>
  <si>
    <t>96,50</t>
  </si>
  <si>
    <t>160,0</t>
  </si>
  <si>
    <t>205,0</t>
  </si>
  <si>
    <t xml:space="preserve">Бураков А. </t>
  </si>
  <si>
    <t>ВЕСОВАЯ КАТЕГОРИЯ   125</t>
  </si>
  <si>
    <t>Погас Максим</t>
  </si>
  <si>
    <t>Открытая (10.03.1985)/37</t>
  </si>
  <si>
    <t>118,20</t>
  </si>
  <si>
    <t>270,0</t>
  </si>
  <si>
    <t>285,0</t>
  </si>
  <si>
    <t>140,0</t>
  </si>
  <si>
    <t>155,0</t>
  </si>
  <si>
    <t>280,0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</si>
  <si>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</si>
  <si>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</si>
  <si>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</si>
  <si>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</si>
  <si>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</si>
  <si>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</si>
  <si>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90</t>
  </si>
  <si>
    <t>762,5</t>
  </si>
  <si>
    <t>487,0850</t>
  </si>
  <si>
    <t>125</t>
  </si>
  <si>
    <t>740,0</t>
  </si>
  <si>
    <t>426,9800</t>
  </si>
  <si>
    <t>100</t>
  </si>
  <si>
    <t>637,5</t>
  </si>
  <si>
    <t>389,5763</t>
  </si>
  <si>
    <t>1</t>
  </si>
  <si>
    <t>-</t>
  </si>
  <si>
    <t>ВЕСОВАЯ КАТЕГОРИЯ   56</t>
  </si>
  <si>
    <t>Абашкина Анастасия</t>
  </si>
  <si>
    <t>Открытая (18.12.1985)/36</t>
  </si>
  <si>
    <t>55,40</t>
  </si>
  <si>
    <t>100,0</t>
  </si>
  <si>
    <t>57,5</t>
  </si>
  <si>
    <t>60,0</t>
  </si>
  <si>
    <t>62,5</t>
  </si>
  <si>
    <t>90,0</t>
  </si>
  <si>
    <t>97,5</t>
  </si>
  <si>
    <t>105,0</t>
  </si>
  <si>
    <t>ВЕСОВАЯ КАТЕГОРИЯ   60</t>
  </si>
  <si>
    <t>Буренко Анастасия</t>
  </si>
  <si>
    <t>Открытая (01.09.1993)/28</t>
  </si>
  <si>
    <t>59,00</t>
  </si>
  <si>
    <t>50,0</t>
  </si>
  <si>
    <t>55,0</t>
  </si>
  <si>
    <t>112,5</t>
  </si>
  <si>
    <t>120,0</t>
  </si>
  <si>
    <t xml:space="preserve">Эреджепов Т. </t>
  </si>
  <si>
    <t>Бойко Аурика</t>
  </si>
  <si>
    <t>Открытая (29.10.1978)/43</t>
  </si>
  <si>
    <t>58,80</t>
  </si>
  <si>
    <t>45,0</t>
  </si>
  <si>
    <t>47,5</t>
  </si>
  <si>
    <t>Остапенко Елена</t>
  </si>
  <si>
    <t>Открытая (21.04.1993)/28</t>
  </si>
  <si>
    <t>59,70</t>
  </si>
  <si>
    <t xml:space="preserve">Михайлутин Н. </t>
  </si>
  <si>
    <t>ВЕСОВАЯ КАТЕГОРИЯ   67.5</t>
  </si>
  <si>
    <t>Ольховикова Анастасия</t>
  </si>
  <si>
    <t>Открытая (13.03.1978)/44</t>
  </si>
  <si>
    <t>64,00</t>
  </si>
  <si>
    <t>110,0</t>
  </si>
  <si>
    <t>ВЕСОВАЯ КАТЕГОРИЯ   82.5</t>
  </si>
  <si>
    <t>Бородач Данила</t>
  </si>
  <si>
    <t>81,50</t>
  </si>
  <si>
    <t>115,0</t>
  </si>
  <si>
    <t>172,5</t>
  </si>
  <si>
    <t>182,5</t>
  </si>
  <si>
    <t xml:space="preserve">Антонова Ю. </t>
  </si>
  <si>
    <t>Посторонка Артём</t>
  </si>
  <si>
    <t>88,60</t>
  </si>
  <si>
    <t>65,0</t>
  </si>
  <si>
    <t>130,0</t>
  </si>
  <si>
    <t>Михайлутин Николай</t>
  </si>
  <si>
    <t>Открытая (08.03.1988)/34</t>
  </si>
  <si>
    <t>87,90</t>
  </si>
  <si>
    <t>125,0</t>
  </si>
  <si>
    <t>Гордиенко Николай</t>
  </si>
  <si>
    <t>Открытая (13.01.1992)/30</t>
  </si>
  <si>
    <t>96,90</t>
  </si>
  <si>
    <t>127,5</t>
  </si>
  <si>
    <t>132,5</t>
  </si>
  <si>
    <t>137,5</t>
  </si>
  <si>
    <t>240,0</t>
  </si>
  <si>
    <t xml:space="preserve">Поддубный Д. </t>
  </si>
  <si>
    <t xml:space="preserve">Женщины </t>
  </si>
  <si>
    <t>60</t>
  </si>
  <si>
    <t>275,0</t>
  </si>
  <si>
    <t>310,6125</t>
  </si>
  <si>
    <t>56</t>
  </si>
  <si>
    <t>257,5</t>
  </si>
  <si>
    <t>305,5495</t>
  </si>
  <si>
    <t>255,0</t>
  </si>
  <si>
    <t>288,7875</t>
  </si>
  <si>
    <t>2</t>
  </si>
  <si>
    <t>Фомичева Анна</t>
  </si>
  <si>
    <t>Открытая (22.06.1987)/34</t>
  </si>
  <si>
    <t>59,80</t>
  </si>
  <si>
    <t>Феттаева Эльвира</t>
  </si>
  <si>
    <t>Открытая (29.08.1995)/26</t>
  </si>
  <si>
    <t>65,10</t>
  </si>
  <si>
    <t>40,0</t>
  </si>
  <si>
    <t>Виноградский Артём</t>
  </si>
  <si>
    <t>Открытая (15.08.1986)/35</t>
  </si>
  <si>
    <t>88,50</t>
  </si>
  <si>
    <t>187,5</t>
  </si>
  <si>
    <t>192,5</t>
  </si>
  <si>
    <t>Купчишин Ярослав</t>
  </si>
  <si>
    <t>98,10</t>
  </si>
  <si>
    <t>67,5</t>
  </si>
  <si>
    <t>70,0</t>
  </si>
  <si>
    <t>Павленко Денис</t>
  </si>
  <si>
    <t>Открытая (11.03.1993)/29</t>
  </si>
  <si>
    <t>ВЕСОВАЯ КАТЕГОРИЯ   140</t>
  </si>
  <si>
    <t>Клочков Александр</t>
  </si>
  <si>
    <t>133,10</t>
  </si>
  <si>
    <t>157,5</t>
  </si>
  <si>
    <t xml:space="preserve">Загоев Г. </t>
  </si>
  <si>
    <t xml:space="preserve">Результат </t>
  </si>
  <si>
    <t>Результат</t>
  </si>
  <si>
    <t>ВЕСОВАЯ КАТЕГОРИЯ   52</t>
  </si>
  <si>
    <t>Петрюк Анастасия</t>
  </si>
  <si>
    <t>Открытая (22.06.1993)/28</t>
  </si>
  <si>
    <t>51,00</t>
  </si>
  <si>
    <t>52,5</t>
  </si>
  <si>
    <t xml:space="preserve">Похватько Р. </t>
  </si>
  <si>
    <t>Разумова Наталья</t>
  </si>
  <si>
    <t>Открытая (05.07.1976)/45</t>
  </si>
  <si>
    <t>55,10</t>
  </si>
  <si>
    <t>77,5</t>
  </si>
  <si>
    <t>80,0</t>
  </si>
  <si>
    <t>Дейнеко Светлана</t>
  </si>
  <si>
    <t>Открытая (25.05.1986)/35</t>
  </si>
  <si>
    <t>52,50</t>
  </si>
  <si>
    <t xml:space="preserve">Белаш Д. </t>
  </si>
  <si>
    <t>Дулуб Ксения</t>
  </si>
  <si>
    <t>64,10</t>
  </si>
  <si>
    <t>Марук Оксана</t>
  </si>
  <si>
    <t>Открытая (06.02.1973)/49</t>
  </si>
  <si>
    <t>67,00</t>
  </si>
  <si>
    <t>75,0</t>
  </si>
  <si>
    <t xml:space="preserve">Григорян Э. </t>
  </si>
  <si>
    <t>Соболев Анатолий</t>
  </si>
  <si>
    <t>35,0</t>
  </si>
  <si>
    <t>42,5</t>
  </si>
  <si>
    <t>Чикалов Даниил</t>
  </si>
  <si>
    <t>67,40</t>
  </si>
  <si>
    <t>Чжан Даниил</t>
  </si>
  <si>
    <t>81,30</t>
  </si>
  <si>
    <t xml:space="preserve">Павленко Д. </t>
  </si>
  <si>
    <t>Григорян Эдуард</t>
  </si>
  <si>
    <t>Открытая (12.05.1977)/44</t>
  </si>
  <si>
    <t>80,00</t>
  </si>
  <si>
    <t>Белик Вадим</t>
  </si>
  <si>
    <t>Открытая (10.08.1978)/43</t>
  </si>
  <si>
    <t>89,00</t>
  </si>
  <si>
    <t>Ягьяев Энвер</t>
  </si>
  <si>
    <t>Открытая (21.11.1992)/29</t>
  </si>
  <si>
    <t>87,50</t>
  </si>
  <si>
    <t>Семикин Николай</t>
  </si>
  <si>
    <t>Открытая (01.06.1986)/35</t>
  </si>
  <si>
    <t>88,20</t>
  </si>
  <si>
    <t>Агафонов Антон</t>
  </si>
  <si>
    <t>88,70</t>
  </si>
  <si>
    <t>Аленин Анатолий</t>
  </si>
  <si>
    <t>96,00</t>
  </si>
  <si>
    <t>Белаш Дмитрий</t>
  </si>
  <si>
    <t>Открытая (18.06.1990)/31</t>
  </si>
  <si>
    <t>99,40</t>
  </si>
  <si>
    <t xml:space="preserve">Пономарёва В. </t>
  </si>
  <si>
    <t>Циснецкий Антон</t>
  </si>
  <si>
    <t>Открытая (06.05.1991)/30</t>
  </si>
  <si>
    <t>99,80</t>
  </si>
  <si>
    <t>Воронин Даниил</t>
  </si>
  <si>
    <t>Открытая (07.03.2002)/20</t>
  </si>
  <si>
    <t>92,50</t>
  </si>
  <si>
    <t>Забродин Денис</t>
  </si>
  <si>
    <t>97,90</t>
  </si>
  <si>
    <t>Бондаренко Сергей</t>
  </si>
  <si>
    <t>Мастера 60-69 (18.03.1961)/60</t>
  </si>
  <si>
    <t>90,80</t>
  </si>
  <si>
    <t>ВЕСОВАЯ КАТЕГОРИЯ   110</t>
  </si>
  <si>
    <t>Серков Илья</t>
  </si>
  <si>
    <t>108,20</t>
  </si>
  <si>
    <t>167,5</t>
  </si>
  <si>
    <t xml:space="preserve">Шиян С. </t>
  </si>
  <si>
    <t>Павленко Виталий</t>
  </si>
  <si>
    <t>Открытая (18.12.1991)/30</t>
  </si>
  <si>
    <t>106,00</t>
  </si>
  <si>
    <t>Сасаниа Георгий</t>
  </si>
  <si>
    <t>Открытая (14.02.1993)/29</t>
  </si>
  <si>
    <t>124,50</t>
  </si>
  <si>
    <t>245,0</t>
  </si>
  <si>
    <t>265,0</t>
  </si>
  <si>
    <t>151,1295</t>
  </si>
  <si>
    <t>112,3675</t>
  </si>
  <si>
    <t>109,8180</t>
  </si>
  <si>
    <t>3</t>
  </si>
  <si>
    <t>Ступин Сергей</t>
  </si>
  <si>
    <t>Открытая (11.01.1983)/39</t>
  </si>
  <si>
    <t>102,50</t>
  </si>
  <si>
    <t>320,0</t>
  </si>
  <si>
    <t>340,0</t>
  </si>
  <si>
    <t>350,0</t>
  </si>
  <si>
    <t>Усольцева Карина</t>
  </si>
  <si>
    <t>51,50</t>
  </si>
  <si>
    <t>87,5</t>
  </si>
  <si>
    <t>Суворова Ольга</t>
  </si>
  <si>
    <t>Открытая (09.08.1988)/33</t>
  </si>
  <si>
    <t>65,80</t>
  </si>
  <si>
    <t>Открытая (08.12.2003)/18</t>
  </si>
  <si>
    <t>210,0</t>
  </si>
  <si>
    <t>220,0</t>
  </si>
  <si>
    <t>Иванченко Алексей</t>
  </si>
  <si>
    <t>98,20</t>
  </si>
  <si>
    <t>Суховей Наталья</t>
  </si>
  <si>
    <t>Мастера 60-69 (25.11.1960)/61</t>
  </si>
  <si>
    <t>58,60</t>
  </si>
  <si>
    <t>145,0</t>
  </si>
  <si>
    <t>Чуприн Григорий</t>
  </si>
  <si>
    <t>Открытая (10.12.1989)/32</t>
  </si>
  <si>
    <t>72,90</t>
  </si>
  <si>
    <t xml:space="preserve">Луговой А. </t>
  </si>
  <si>
    <t>230,0</t>
  </si>
  <si>
    <t>Алексеев Илья</t>
  </si>
  <si>
    <t>Открытая (30.11.1983)/38</t>
  </si>
  <si>
    <t>82,40</t>
  </si>
  <si>
    <t xml:space="preserve">Каминский Е. </t>
  </si>
  <si>
    <t>Леоненко Василий</t>
  </si>
  <si>
    <t>95,50</t>
  </si>
  <si>
    <t>232,5</t>
  </si>
  <si>
    <t>Подъем на бицепс</t>
  </si>
  <si>
    <t>Жовтовский Сергей</t>
  </si>
  <si>
    <t>Открытая (27.04.1985)/36</t>
  </si>
  <si>
    <t>73,70</t>
  </si>
  <si>
    <t>Петрук Александр</t>
  </si>
  <si>
    <t>Открытая (18.09.1978)/43</t>
  </si>
  <si>
    <t>70,80</t>
  </si>
  <si>
    <t xml:space="preserve">Владивосток/Приморский край </t>
  </si>
  <si>
    <t>Гончаров Сергей</t>
  </si>
  <si>
    <t>Открытая (11.04.1986)/35</t>
  </si>
  <si>
    <t>89,40</t>
  </si>
  <si>
    <t>Пономарев Николай</t>
  </si>
  <si>
    <t>97,65</t>
  </si>
  <si>
    <t>Сидякин Евгений</t>
  </si>
  <si>
    <t>Открытая (28.06.1981)/40</t>
  </si>
  <si>
    <t>99,10</t>
  </si>
  <si>
    <t>Тихомиров Николай</t>
  </si>
  <si>
    <t>Мастера 60+ (24.12.1956)/65</t>
  </si>
  <si>
    <t>Канунников Кирилл</t>
  </si>
  <si>
    <t>Открытая (21.11.1997)/24</t>
  </si>
  <si>
    <t>79,05</t>
  </si>
  <si>
    <t xml:space="preserve">Пинчук А. </t>
  </si>
  <si>
    <t>Пинчук Алексей</t>
  </si>
  <si>
    <t>Открытая (14.04.1994)/27</t>
  </si>
  <si>
    <t>96,80</t>
  </si>
  <si>
    <t>72,5</t>
  </si>
  <si>
    <t>27,5</t>
  </si>
  <si>
    <t>30,0</t>
  </si>
  <si>
    <t>32,5</t>
  </si>
  <si>
    <t>67,35</t>
  </si>
  <si>
    <t>63,95</t>
  </si>
  <si>
    <t>Толоконцев Владислав</t>
  </si>
  <si>
    <t>Открытая (13.04.1995)/26</t>
  </si>
  <si>
    <t>73,50</t>
  </si>
  <si>
    <t>Ляпин Алексей</t>
  </si>
  <si>
    <t>Открытая (25.07.1986)/35</t>
  </si>
  <si>
    <t>80,50</t>
  </si>
  <si>
    <t>Жим стоя</t>
  </si>
  <si>
    <t>92,5</t>
  </si>
  <si>
    <t>162,5</t>
  </si>
  <si>
    <t>Весовая категория</t>
  </si>
  <si>
    <t>Открытый Чемпионат Южного Федерального округа
WRPF Военный жим лежа с ДК
Симферополь/Республика Крым, 13 марта 2022 года</t>
  </si>
  <si>
    <t>Открытый Чемпионат Южного Федерального округа
WRPF Военный жим лежа
Симферополь/Республика Крым, 13 марта 2022 года</t>
  </si>
  <si>
    <t>Открытый Чемпионат Южного Федерального округа
IPL Пауэрлифтинг без экипировки ДК
Симферополь/Республика Крым, 13 марта 2022 года</t>
  </si>
  <si>
    <t>Открытый Чемпионат Южного Федерального округа
IPL Пауэрлифтинг без экипировки
Симферополь/Республика Крым, 13 марта 2022 года</t>
  </si>
  <si>
    <t>Открытый Чемпионат Южного Федерального округа
IPL Силовое двоеборье без экипировки ДК
Симферополь/Республика Крым, 13 марта 2022 года</t>
  </si>
  <si>
    <t>Открытый Чемпионат Южного Федерального округа
IPL Силовое двоеборье без экипировки
Симферополь/Республика Крым, 13 марта 2022 года</t>
  </si>
  <si>
    <t>Открытый Чемпионат Южного Федерального округа
IPL Жим лежа без экипировки ДК
Симферополь/Республика Крым, 13 марта 2022 года</t>
  </si>
  <si>
    <t>Открытый Чемпионат Южного Федерального округа
IPL Жим лежа без экипировки
Симферополь/Республика Крым, 13 марта 2022 года</t>
  </si>
  <si>
    <t>Открытый Чемпионат Южного Федерального округа
СПР Жим лежа в однопетельной софт экипировке ДК
Симферополь/Республика Крым, 13 марта 2022 года</t>
  </si>
  <si>
    <t>Открытый Чемпионат Южного Федерального округа
IPL Становая тяга без экипировки ДК
Симферополь/Республика Крым, 13 марта 2022 года</t>
  </si>
  <si>
    <t>Открытый Чемпионат Южного Федерального округа
IPL Становая тяга без экипировки
Симферополь/Республика Крым, 13 марта 2022 года</t>
  </si>
  <si>
    <t>Открытый Чемпионат Южного Федерального округа
СПР Пауэрспорт
Симферополь/Республика Крым, 13 марта 2022 года</t>
  </si>
  <si>
    <t>Открытый Чемпионат Южного Федерального округа
СПР Строгий подъем штанги на бицепс ДК
Симферополь/Республика Крым, 13 марта 2022 года</t>
  </si>
  <si>
    <t>Открытый Чемпионат Южного Федерального округа
СПР Строгий подъем штанги на бицепс
Симферополь/Республика Крым, 13 марта 2022 года</t>
  </si>
  <si>
    <t>Открытый Чемпионат Южного Федерального округа
WRPF Строгий подъем штанги на бицепс ДК
Симферополь/Республика Крым, 13 марта 2022 года</t>
  </si>
  <si>
    <t>Открытый Чемпионат Южного Федерального округа
WRPF Строгий подъем штанги на бицепс
Симферополь/Республика Крым, 13 марта 2022 года</t>
  </si>
  <si>
    <t>Юниоры 20-23 (21.02.2001)/21</t>
  </si>
  <si>
    <t>Мастера 50-59 (06.04.1967)/54</t>
  </si>
  <si>
    <t>Мастера 40-49 (18.09.1978)/43</t>
  </si>
  <si>
    <t>Юниоры 20-23 (24.09.1999)/22</t>
  </si>
  <si>
    <t>Мастера 40-49 (28.06.1981)/40</t>
  </si>
  <si>
    <t>Юноши 13-19 (18.04.2006)/15</t>
  </si>
  <si>
    <t>Юноши 13-19 (14.05.2005)/16</t>
  </si>
  <si>
    <t>Юноши 13-19 (05.12.2003)/18</t>
  </si>
  <si>
    <t xml:space="preserve">Весовая категория </t>
  </si>
  <si>
    <t>Мастера 40-44 (13.03.1978)/44</t>
  </si>
  <si>
    <t>Юноши 15-19 (27.06.2002)/19</t>
  </si>
  <si>
    <t>Юноши 15-19 (04.10.2006)/15</t>
  </si>
  <si>
    <t>Ялта/Республика Крым</t>
  </si>
  <si>
    <t>Симферополь/Республика Крым</t>
  </si>
  <si>
    <t>Белогорск/Республика Крым</t>
  </si>
  <si>
    <t>Керчь/Республика Крым</t>
  </si>
  <si>
    <t>Павловский Посад/Московская область</t>
  </si>
  <si>
    <t xml:space="preserve">Павловский Посад/Московская область </t>
  </si>
  <si>
    <t xml:space="preserve">Данив Д. </t>
  </si>
  <si>
    <t>Смирнов Д.</t>
  </si>
  <si>
    <t>Мастера 40-44 (07.12.1979)/42</t>
  </si>
  <si>
    <t>Мастера 45-49 (05.07.1976)/45</t>
  </si>
  <si>
    <t>Девушки 15-19 (17.08.2002)/19</t>
  </si>
  <si>
    <t>Юноши 15-19 (10.05.2007)/14</t>
  </si>
  <si>
    <t>Юноши 15-19 (18.04.2006)/15</t>
  </si>
  <si>
    <t>Юноши 15-19 (08.12.2003)/18</t>
  </si>
  <si>
    <t>Мастера 40-44 (01.06.1980)/41</t>
  </si>
  <si>
    <t>Юноши 15-19 (14.05.2005)/16</t>
  </si>
  <si>
    <t>Мастера 40-44 (24.06.1981)/40</t>
  </si>
  <si>
    <t>Мастера 60-64 (18.03.1961)/60</t>
  </si>
  <si>
    <t xml:space="preserve">Григорян Э., Завгородний А. </t>
  </si>
  <si>
    <t xml:space="preserve">Аникушин Р. </t>
  </si>
  <si>
    <t>Гурзуф/Республика Крым</t>
  </si>
  <si>
    <t>Юноши 15-19 (22.12.2005)/16</t>
  </si>
  <si>
    <t>Мастера 60-64 (12.11.1958)/63</t>
  </si>
  <si>
    <t xml:space="preserve">Алушта/Республика Крым </t>
  </si>
  <si>
    <t xml:space="preserve">Лаго А. </t>
  </si>
  <si>
    <t xml:space="preserve">Феодосия/Республика Крым </t>
  </si>
  <si>
    <t>Девушки 15-19 (31.01.2003)/19</t>
  </si>
  <si>
    <t>Владикавказ/Республика Северная Осетия-Алания</t>
  </si>
  <si>
    <t>Саки/Республика Крым</t>
  </si>
  <si>
    <t xml:space="preserve">Новофедоровка/Республика Крым </t>
  </si>
  <si>
    <t xml:space="preserve">Нижнегорский/Республика Крым 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</si>
  <si>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</si>
  <si>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</si>
  <si>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</si>
  <si>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</si>
  <si>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</si>
  <si>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</si>
  <si>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T</t>
  </si>
  <si>
    <t>M3</t>
  </si>
  <si>
    <t>M5</t>
  </si>
  <si>
    <t>M2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</si>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</sst>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16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U35"/>
  <sheetViews>
    <sheetView workbookViewId="0">
      <selection activeCell="E26" sqref="E26"/>
    </sheetView>
  </sheetViews>
  <sheetFormatPr baseColWidth="10" defaultColWidth="9.1640625" defaultRowHeight="13"/>
  <cols>
    <col min="1" max="1" width="7.1640625" style="5" bestFit="1" customWidth="1"/>
    <col min="2" max="2" width="22" style="5" bestFit="1" customWidth="1"/>
    <col min="3" max="3" width="27.6640625" style="5" bestFit="1" customWidth="1"/>
    <col min="4" max="4" width="20.83203125" style="5" bestFit="1" customWidth="1"/>
    <col min="5" max="5" width="10.1640625" style="5" bestFit="1" customWidth="1"/>
    <col min="6" max="6" width="33.1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43" bestFit="1" customWidth="1"/>
    <col min="20" max="20" width="8.5" style="6" bestFit="1" customWidth="1"/>
    <col min="21" max="21" width="24" style="5" customWidth="1"/>
    <col min="22" max="16384" width="9.1640625" style="3"/>
  </cols>
  <sheetData>
    <row r="1" spans="1:21" s="2" customFormat="1" ht="29" customHeight="1">
      <c r="A1" s="48" t="s">
        <v>323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9</v>
      </c>
      <c r="H3" s="60"/>
      <c r="I3" s="60"/>
      <c r="J3" s="60"/>
      <c r="K3" s="60" t="s">
        <v>10</v>
      </c>
      <c r="L3" s="60"/>
      <c r="M3" s="60"/>
      <c r="N3" s="60"/>
      <c r="O3" s="60" t="s">
        <v>11</v>
      </c>
      <c r="P3" s="60"/>
      <c r="Q3" s="60"/>
      <c r="R3" s="60"/>
      <c r="S3" s="63" t="s">
        <v>1</v>
      </c>
      <c r="T3" s="60" t="s">
        <v>3</v>
      </c>
      <c r="U3" s="65" t="s">
        <v>2</v>
      </c>
    </row>
    <row r="4" spans="1:21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59"/>
      <c r="U4" s="66"/>
    </row>
    <row r="5" spans="1:21" ht="16">
      <c r="A5" s="67" t="s">
        <v>77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9" t="s">
        <v>75</v>
      </c>
      <c r="B6" s="8" t="s">
        <v>78</v>
      </c>
      <c r="C6" s="8" t="s">
        <v>79</v>
      </c>
      <c r="D6" s="8" t="s">
        <v>80</v>
      </c>
      <c r="E6" s="8" t="s">
        <v>384</v>
      </c>
      <c r="F6" s="8" t="s">
        <v>349</v>
      </c>
      <c r="G6" s="18" t="s">
        <v>19</v>
      </c>
      <c r="H6" s="18" t="s">
        <v>81</v>
      </c>
      <c r="I6" s="19" t="s">
        <v>20</v>
      </c>
      <c r="J6" s="9"/>
      <c r="K6" s="19" t="s">
        <v>82</v>
      </c>
      <c r="L6" s="18" t="s">
        <v>83</v>
      </c>
      <c r="M6" s="19" t="s">
        <v>84</v>
      </c>
      <c r="N6" s="9"/>
      <c r="O6" s="18" t="s">
        <v>85</v>
      </c>
      <c r="P6" s="18" t="s">
        <v>86</v>
      </c>
      <c r="Q6" s="19" t="s">
        <v>87</v>
      </c>
      <c r="R6" s="9"/>
      <c r="S6" s="44" t="str">
        <f>"257,5"</f>
        <v>257,5</v>
      </c>
      <c r="T6" s="9" t="str">
        <f>"305,5495"</f>
        <v>305,5495</v>
      </c>
      <c r="U6" s="8"/>
    </row>
    <row r="7" spans="1:21">
      <c r="B7" s="5" t="s">
        <v>8</v>
      </c>
    </row>
    <row r="8" spans="1:21" ht="16">
      <c r="A8" s="69" t="s">
        <v>88</v>
      </c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21">
      <c r="A9" s="11" t="s">
        <v>75</v>
      </c>
      <c r="B9" s="10" t="s">
        <v>89</v>
      </c>
      <c r="C9" s="10" t="s">
        <v>90</v>
      </c>
      <c r="D9" s="10" t="s">
        <v>91</v>
      </c>
      <c r="E9" s="10" t="s">
        <v>384</v>
      </c>
      <c r="F9" s="10" t="s">
        <v>350</v>
      </c>
      <c r="G9" s="20" t="s">
        <v>19</v>
      </c>
      <c r="H9" s="20" t="s">
        <v>81</v>
      </c>
      <c r="I9" s="21" t="s">
        <v>87</v>
      </c>
      <c r="J9" s="11"/>
      <c r="K9" s="20" t="s">
        <v>92</v>
      </c>
      <c r="L9" s="20" t="s">
        <v>93</v>
      </c>
      <c r="M9" s="21" t="s">
        <v>82</v>
      </c>
      <c r="N9" s="11"/>
      <c r="O9" s="20" t="s">
        <v>87</v>
      </c>
      <c r="P9" s="20" t="s">
        <v>94</v>
      </c>
      <c r="Q9" s="20" t="s">
        <v>95</v>
      </c>
      <c r="R9" s="11"/>
      <c r="S9" s="45" t="str">
        <f>"275,0"</f>
        <v>275,0</v>
      </c>
      <c r="T9" s="11" t="str">
        <f>"310,6125"</f>
        <v>310,6125</v>
      </c>
      <c r="U9" s="10" t="s">
        <v>96</v>
      </c>
    </row>
    <row r="10" spans="1:21">
      <c r="A10" s="24" t="s">
        <v>143</v>
      </c>
      <c r="B10" s="23" t="s">
        <v>97</v>
      </c>
      <c r="C10" s="23" t="s">
        <v>98</v>
      </c>
      <c r="D10" s="23" t="s">
        <v>99</v>
      </c>
      <c r="E10" s="23" t="s">
        <v>384</v>
      </c>
      <c r="F10" s="23" t="s">
        <v>350</v>
      </c>
      <c r="G10" s="25" t="s">
        <v>85</v>
      </c>
      <c r="H10" s="25" t="s">
        <v>19</v>
      </c>
      <c r="I10" s="26" t="s">
        <v>19</v>
      </c>
      <c r="J10" s="24"/>
      <c r="K10" s="26" t="s">
        <v>100</v>
      </c>
      <c r="L10" s="25" t="s">
        <v>101</v>
      </c>
      <c r="M10" s="26" t="s">
        <v>101</v>
      </c>
      <c r="N10" s="24"/>
      <c r="O10" s="26" t="s">
        <v>87</v>
      </c>
      <c r="P10" s="25" t="s">
        <v>94</v>
      </c>
      <c r="Q10" s="26" t="s">
        <v>94</v>
      </c>
      <c r="R10" s="24"/>
      <c r="S10" s="46" t="str">
        <f>"255,0"</f>
        <v>255,0</v>
      </c>
      <c r="T10" s="24" t="str">
        <f>"288,7875"</f>
        <v>288,7875</v>
      </c>
      <c r="U10" s="23" t="s">
        <v>174</v>
      </c>
    </row>
    <row r="11" spans="1:21">
      <c r="A11" s="13" t="s">
        <v>76</v>
      </c>
      <c r="B11" s="12" t="s">
        <v>102</v>
      </c>
      <c r="C11" s="12" t="s">
        <v>103</v>
      </c>
      <c r="D11" s="12" t="s">
        <v>104</v>
      </c>
      <c r="E11" s="12" t="s">
        <v>384</v>
      </c>
      <c r="F11" s="12" t="s">
        <v>351</v>
      </c>
      <c r="G11" s="27" t="s">
        <v>85</v>
      </c>
      <c r="H11" s="27" t="s">
        <v>19</v>
      </c>
      <c r="I11" s="22" t="s">
        <v>81</v>
      </c>
      <c r="J11" s="13"/>
      <c r="K11" s="22" t="s">
        <v>93</v>
      </c>
      <c r="L11" s="22" t="s">
        <v>83</v>
      </c>
      <c r="M11" s="22" t="s">
        <v>83</v>
      </c>
      <c r="N11" s="13"/>
      <c r="O11" s="22"/>
      <c r="P11" s="13"/>
      <c r="Q11" s="13"/>
      <c r="R11" s="13"/>
      <c r="S11" s="47">
        <v>0</v>
      </c>
      <c r="T11" s="13" t="str">
        <f>"0,0000"</f>
        <v>0,0000</v>
      </c>
      <c r="U11" s="12" t="s">
        <v>105</v>
      </c>
    </row>
    <row r="12" spans="1:21">
      <c r="B12" s="5" t="s">
        <v>8</v>
      </c>
    </row>
    <row r="13" spans="1:21" ht="16">
      <c r="A13" s="69" t="s">
        <v>106</v>
      </c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21">
      <c r="A14" s="11" t="s">
        <v>75</v>
      </c>
      <c r="B14" s="10" t="s">
        <v>107</v>
      </c>
      <c r="C14" s="10" t="s">
        <v>108</v>
      </c>
      <c r="D14" s="10" t="s">
        <v>109</v>
      </c>
      <c r="E14" s="10" t="s">
        <v>384</v>
      </c>
      <c r="F14" s="10" t="s">
        <v>353</v>
      </c>
      <c r="G14" s="20" t="s">
        <v>85</v>
      </c>
      <c r="H14" s="20" t="s">
        <v>19</v>
      </c>
      <c r="I14" s="21" t="s">
        <v>81</v>
      </c>
      <c r="J14" s="11"/>
      <c r="K14" s="20" t="s">
        <v>92</v>
      </c>
      <c r="L14" s="20" t="s">
        <v>93</v>
      </c>
      <c r="M14" s="21" t="s">
        <v>82</v>
      </c>
      <c r="N14" s="11"/>
      <c r="O14" s="20" t="s">
        <v>81</v>
      </c>
      <c r="P14" s="20" t="s">
        <v>110</v>
      </c>
      <c r="Q14" s="21" t="s">
        <v>94</v>
      </c>
      <c r="R14" s="11"/>
      <c r="S14" s="45" t="str">
        <f>"260,0"</f>
        <v>260,0</v>
      </c>
      <c r="T14" s="11" t="str">
        <f>"275,9380"</f>
        <v>275,9380</v>
      </c>
      <c r="U14" s="10" t="s">
        <v>117</v>
      </c>
    </row>
    <row r="15" spans="1:21">
      <c r="A15" s="13" t="s">
        <v>75</v>
      </c>
      <c r="B15" s="12" t="s">
        <v>107</v>
      </c>
      <c r="C15" s="12" t="s">
        <v>346</v>
      </c>
      <c r="D15" s="12" t="s">
        <v>109</v>
      </c>
      <c r="E15" s="12" t="s">
        <v>385</v>
      </c>
      <c r="F15" s="12" t="s">
        <v>354</v>
      </c>
      <c r="G15" s="27" t="s">
        <v>85</v>
      </c>
      <c r="H15" s="27" t="s">
        <v>19</v>
      </c>
      <c r="I15" s="22" t="s">
        <v>81</v>
      </c>
      <c r="J15" s="13"/>
      <c r="K15" s="27" t="s">
        <v>92</v>
      </c>
      <c r="L15" s="27" t="s">
        <v>93</v>
      </c>
      <c r="M15" s="22" t="s">
        <v>82</v>
      </c>
      <c r="N15" s="13"/>
      <c r="O15" s="27" t="s">
        <v>81</v>
      </c>
      <c r="P15" s="27" t="s">
        <v>110</v>
      </c>
      <c r="Q15" s="22" t="s">
        <v>94</v>
      </c>
      <c r="R15" s="13"/>
      <c r="S15" s="47" t="str">
        <f>"260,0"</f>
        <v>260,0</v>
      </c>
      <c r="T15" s="13" t="str">
        <f>"288,0793"</f>
        <v>288,0793</v>
      </c>
      <c r="U15" s="12" t="s">
        <v>117</v>
      </c>
    </row>
    <row r="16" spans="1:21">
      <c r="B16" s="5" t="s">
        <v>8</v>
      </c>
    </row>
    <row r="17" spans="1:21" ht="16">
      <c r="A17" s="69" t="s">
        <v>111</v>
      </c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</row>
    <row r="18" spans="1:21">
      <c r="A18" s="9" t="s">
        <v>75</v>
      </c>
      <c r="B18" s="8" t="s">
        <v>112</v>
      </c>
      <c r="C18" s="8" t="s">
        <v>347</v>
      </c>
      <c r="D18" s="8" t="s">
        <v>113</v>
      </c>
      <c r="E18" s="8" t="s">
        <v>386</v>
      </c>
      <c r="F18" s="8" t="s">
        <v>352</v>
      </c>
      <c r="G18" s="18" t="s">
        <v>18</v>
      </c>
      <c r="H18" s="18" t="s">
        <v>48</v>
      </c>
      <c r="I18" s="19" t="s">
        <v>43</v>
      </c>
      <c r="J18" s="9"/>
      <c r="K18" s="18" t="s">
        <v>110</v>
      </c>
      <c r="L18" s="18" t="s">
        <v>114</v>
      </c>
      <c r="M18" s="19" t="s">
        <v>95</v>
      </c>
      <c r="N18" s="9"/>
      <c r="O18" s="18" t="s">
        <v>48</v>
      </c>
      <c r="P18" s="18" t="s">
        <v>115</v>
      </c>
      <c r="Q18" s="18" t="s">
        <v>116</v>
      </c>
      <c r="R18" s="9"/>
      <c r="S18" s="44" t="str">
        <f>"457,5"</f>
        <v>457,5</v>
      </c>
      <c r="T18" s="9" t="str">
        <f>"308,7667"</f>
        <v>308,7667</v>
      </c>
      <c r="U18" s="8" t="s">
        <v>117</v>
      </c>
    </row>
    <row r="19" spans="1:21">
      <c r="B19" s="5" t="s">
        <v>8</v>
      </c>
    </row>
    <row r="20" spans="1:21" ht="16">
      <c r="A20" s="69" t="s">
        <v>25</v>
      </c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21">
      <c r="A21" s="11" t="s">
        <v>75</v>
      </c>
      <c r="B21" s="10" t="s">
        <v>118</v>
      </c>
      <c r="C21" s="10" t="s">
        <v>348</v>
      </c>
      <c r="D21" s="10" t="s">
        <v>119</v>
      </c>
      <c r="E21" s="10" t="s">
        <v>386</v>
      </c>
      <c r="F21" s="10" t="s">
        <v>350</v>
      </c>
      <c r="G21" s="21" t="s">
        <v>81</v>
      </c>
      <c r="H21" s="20" t="s">
        <v>81</v>
      </c>
      <c r="I21" s="20" t="s">
        <v>110</v>
      </c>
      <c r="J21" s="11"/>
      <c r="K21" s="20" t="s">
        <v>93</v>
      </c>
      <c r="L21" s="20" t="s">
        <v>83</v>
      </c>
      <c r="M21" s="20" t="s">
        <v>120</v>
      </c>
      <c r="N21" s="11"/>
      <c r="O21" s="20" t="s">
        <v>81</v>
      </c>
      <c r="P21" s="20" t="s">
        <v>114</v>
      </c>
      <c r="Q21" s="20" t="s">
        <v>121</v>
      </c>
      <c r="R21" s="11"/>
      <c r="S21" s="45" t="str">
        <f>"305,0"</f>
        <v>305,0</v>
      </c>
      <c r="T21" s="11" t="str">
        <f>"196,2980"</f>
        <v>196,2980</v>
      </c>
      <c r="U21" s="10" t="s">
        <v>355</v>
      </c>
    </row>
    <row r="22" spans="1:21">
      <c r="A22" s="13" t="s">
        <v>75</v>
      </c>
      <c r="B22" s="12" t="s">
        <v>122</v>
      </c>
      <c r="C22" s="12" t="s">
        <v>123</v>
      </c>
      <c r="D22" s="12" t="s">
        <v>124</v>
      </c>
      <c r="E22" s="12" t="s">
        <v>384</v>
      </c>
      <c r="F22" s="12" t="s">
        <v>351</v>
      </c>
      <c r="G22" s="27" t="s">
        <v>40</v>
      </c>
      <c r="H22" s="27" t="s">
        <v>41</v>
      </c>
      <c r="I22" s="27" t="s">
        <v>49</v>
      </c>
      <c r="J22" s="13"/>
      <c r="K22" s="27" t="s">
        <v>125</v>
      </c>
      <c r="L22" s="27" t="s">
        <v>121</v>
      </c>
      <c r="M22" s="22" t="s">
        <v>16</v>
      </c>
      <c r="N22" s="13"/>
      <c r="O22" s="27" t="s">
        <v>55</v>
      </c>
      <c r="P22" s="22" t="s">
        <v>56</v>
      </c>
      <c r="Q22" s="27" t="s">
        <v>56</v>
      </c>
      <c r="R22" s="13"/>
      <c r="S22" s="47" t="str">
        <f>"620,0"</f>
        <v>620,0</v>
      </c>
      <c r="T22" s="13" t="str">
        <f>"400,7060"</f>
        <v>400,7060</v>
      </c>
      <c r="U22" s="12"/>
    </row>
    <row r="23" spans="1:21">
      <c r="B23" s="5" t="s">
        <v>8</v>
      </c>
    </row>
    <row r="24" spans="1:21" ht="16">
      <c r="A24" s="69" t="s">
        <v>36</v>
      </c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21">
      <c r="A25" s="9" t="s">
        <v>75</v>
      </c>
      <c r="B25" s="8" t="s">
        <v>126</v>
      </c>
      <c r="C25" s="8" t="s">
        <v>127</v>
      </c>
      <c r="D25" s="8" t="s">
        <v>128</v>
      </c>
      <c r="E25" s="8" t="s">
        <v>384</v>
      </c>
      <c r="F25" s="8" t="s">
        <v>350</v>
      </c>
      <c r="G25" s="18" t="s">
        <v>22</v>
      </c>
      <c r="H25" s="18" t="s">
        <v>40</v>
      </c>
      <c r="I25" s="19" t="s">
        <v>41</v>
      </c>
      <c r="J25" s="9"/>
      <c r="K25" s="19" t="s">
        <v>129</v>
      </c>
      <c r="L25" s="18" t="s">
        <v>130</v>
      </c>
      <c r="M25" s="19" t="s">
        <v>131</v>
      </c>
      <c r="N25" s="9"/>
      <c r="O25" s="18" t="s">
        <v>33</v>
      </c>
      <c r="P25" s="18" t="s">
        <v>132</v>
      </c>
      <c r="Q25" s="19" t="s">
        <v>30</v>
      </c>
      <c r="R25" s="9"/>
      <c r="S25" s="44" t="str">
        <f>"562,5"</f>
        <v>562,5</v>
      </c>
      <c r="T25" s="9" t="str">
        <f>"346,8375"</f>
        <v>346,8375</v>
      </c>
      <c r="U25" s="8" t="s">
        <v>133</v>
      </c>
    </row>
    <row r="26" spans="1:21">
      <c r="B26" s="5" t="s">
        <v>8</v>
      </c>
    </row>
    <row r="27" spans="1:21">
      <c r="B27" s="5" t="s">
        <v>8</v>
      </c>
    </row>
    <row r="28" spans="1:21">
      <c r="B28" s="5" t="s">
        <v>8</v>
      </c>
    </row>
    <row r="29" spans="1:21" ht="18">
      <c r="B29" s="7" t="s">
        <v>7</v>
      </c>
      <c r="C29" s="7"/>
      <c r="F29" s="3"/>
    </row>
    <row r="30" spans="1:21" ht="16">
      <c r="B30" s="14" t="s">
        <v>134</v>
      </c>
      <c r="C30" s="14"/>
      <c r="F30" s="3"/>
    </row>
    <row r="31" spans="1:21" ht="14">
      <c r="B31" s="15"/>
      <c r="C31" s="16" t="s">
        <v>61</v>
      </c>
      <c r="F31" s="3"/>
    </row>
    <row r="32" spans="1:21" ht="14">
      <c r="B32" s="17" t="s">
        <v>62</v>
      </c>
      <c r="C32" s="17" t="s">
        <v>63</v>
      </c>
      <c r="D32" s="17" t="s">
        <v>320</v>
      </c>
      <c r="E32" s="17" t="s">
        <v>64</v>
      </c>
      <c r="F32" s="17" t="s">
        <v>65</v>
      </c>
    </row>
    <row r="33" spans="2:6">
      <c r="B33" s="5" t="s">
        <v>89</v>
      </c>
      <c r="C33" s="5" t="s">
        <v>61</v>
      </c>
      <c r="D33" s="6" t="s">
        <v>135</v>
      </c>
      <c r="E33" s="6" t="s">
        <v>136</v>
      </c>
      <c r="F33" s="6" t="s">
        <v>137</v>
      </c>
    </row>
    <row r="34" spans="2:6">
      <c r="B34" s="5" t="s">
        <v>78</v>
      </c>
      <c r="C34" s="5" t="s">
        <v>61</v>
      </c>
      <c r="D34" s="6" t="s">
        <v>138</v>
      </c>
      <c r="E34" s="6" t="s">
        <v>139</v>
      </c>
      <c r="F34" s="6" t="s">
        <v>140</v>
      </c>
    </row>
    <row r="35" spans="2:6">
      <c r="B35" s="5" t="s">
        <v>97</v>
      </c>
      <c r="C35" s="5" t="s">
        <v>61</v>
      </c>
      <c r="D35" s="6" t="s">
        <v>135</v>
      </c>
      <c r="E35" s="6" t="s">
        <v>141</v>
      </c>
      <c r="F35" s="6" t="s">
        <v>142</v>
      </c>
    </row>
  </sheetData>
  <mergeCells count="19">
    <mergeCell ref="A24:R24"/>
    <mergeCell ref="A5:R5"/>
    <mergeCell ref="A8:R8"/>
    <mergeCell ref="A13:R13"/>
    <mergeCell ref="A17:R17"/>
    <mergeCell ref="A20:R20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16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18" style="5" bestFit="1" customWidth="1"/>
    <col min="3" max="3" width="29" style="5" bestFit="1" customWidth="1"/>
    <col min="4" max="4" width="20.83203125" style="5" bestFit="1" customWidth="1"/>
    <col min="5" max="5" width="10.1640625" style="5" bestFit="1" customWidth="1"/>
    <col min="6" max="6" width="30.1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8" t="s">
        <v>330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11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169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9" t="s">
        <v>75</v>
      </c>
      <c r="B6" s="8" t="s">
        <v>253</v>
      </c>
      <c r="C6" s="8" t="s">
        <v>375</v>
      </c>
      <c r="D6" s="8" t="s">
        <v>254</v>
      </c>
      <c r="E6" s="8" t="s">
        <v>386</v>
      </c>
      <c r="F6" s="8" t="s">
        <v>350</v>
      </c>
      <c r="G6" s="18" t="s">
        <v>189</v>
      </c>
      <c r="H6" s="18" t="s">
        <v>255</v>
      </c>
      <c r="I6" s="18" t="s">
        <v>19</v>
      </c>
      <c r="J6" s="9"/>
      <c r="K6" s="9" t="str">
        <f>"95,0"</f>
        <v>95,0</v>
      </c>
      <c r="L6" s="9" t="str">
        <f>"119,3200"</f>
        <v>119,3200</v>
      </c>
      <c r="M6" s="8"/>
    </row>
    <row r="7" spans="1:13">
      <c r="B7" s="5" t="s">
        <v>8</v>
      </c>
    </row>
    <row r="8" spans="1:13" ht="16">
      <c r="A8" s="69" t="s">
        <v>106</v>
      </c>
      <c r="B8" s="69"/>
      <c r="C8" s="70"/>
      <c r="D8" s="70"/>
      <c r="E8" s="70"/>
      <c r="F8" s="70"/>
      <c r="G8" s="70"/>
      <c r="H8" s="70"/>
      <c r="I8" s="70"/>
      <c r="J8" s="70"/>
    </row>
    <row r="9" spans="1:13">
      <c r="A9" s="9" t="s">
        <v>75</v>
      </c>
      <c r="B9" s="8" t="s">
        <v>256</v>
      </c>
      <c r="C9" s="8" t="s">
        <v>257</v>
      </c>
      <c r="D9" s="8" t="s">
        <v>258</v>
      </c>
      <c r="E9" s="8" t="s">
        <v>384</v>
      </c>
      <c r="F9" s="8" t="s">
        <v>374</v>
      </c>
      <c r="G9" s="18" t="s">
        <v>95</v>
      </c>
      <c r="H9" s="18" t="s">
        <v>125</v>
      </c>
      <c r="I9" s="18" t="s">
        <v>121</v>
      </c>
      <c r="J9" s="9"/>
      <c r="K9" s="9" t="str">
        <f>"130,0"</f>
        <v>130,0</v>
      </c>
      <c r="L9" s="9" t="str">
        <f>"135,1610"</f>
        <v>135,1610</v>
      </c>
      <c r="M9" s="8"/>
    </row>
    <row r="10" spans="1:13">
      <c r="B10" s="5" t="s">
        <v>8</v>
      </c>
    </row>
    <row r="11" spans="1:13" ht="16">
      <c r="A11" s="69" t="s">
        <v>111</v>
      </c>
      <c r="B11" s="69"/>
      <c r="C11" s="70"/>
      <c r="D11" s="70"/>
      <c r="E11" s="70"/>
      <c r="F11" s="70"/>
      <c r="G11" s="70"/>
      <c r="H11" s="70"/>
      <c r="I11" s="70"/>
      <c r="J11" s="70"/>
    </row>
    <row r="12" spans="1:13">
      <c r="A12" s="9" t="s">
        <v>75</v>
      </c>
      <c r="B12" s="8" t="s">
        <v>196</v>
      </c>
      <c r="C12" s="8" t="s">
        <v>259</v>
      </c>
      <c r="D12" s="8" t="s">
        <v>197</v>
      </c>
      <c r="E12" s="8" t="s">
        <v>384</v>
      </c>
      <c r="F12" s="8" t="s">
        <v>350</v>
      </c>
      <c r="G12" s="18" t="s">
        <v>260</v>
      </c>
      <c r="H12" s="18" t="s">
        <v>261</v>
      </c>
      <c r="I12" s="9"/>
      <c r="J12" s="9"/>
      <c r="K12" s="9" t="str">
        <f>"220,0"</f>
        <v>220,0</v>
      </c>
      <c r="L12" s="9" t="str">
        <f>"148,6980"</f>
        <v>148,6980</v>
      </c>
      <c r="M12" s="8" t="s">
        <v>198</v>
      </c>
    </row>
    <row r="13" spans="1:13">
      <c r="B13" s="5" t="s">
        <v>8</v>
      </c>
    </row>
    <row r="14" spans="1:13" ht="16">
      <c r="A14" s="69" t="s">
        <v>36</v>
      </c>
      <c r="B14" s="69"/>
      <c r="C14" s="70"/>
      <c r="D14" s="70"/>
      <c r="E14" s="70"/>
      <c r="F14" s="70"/>
      <c r="G14" s="70"/>
      <c r="H14" s="70"/>
      <c r="I14" s="70"/>
      <c r="J14" s="70"/>
    </row>
    <row r="15" spans="1:13">
      <c r="A15" s="9" t="s">
        <v>75</v>
      </c>
      <c r="B15" s="8" t="s">
        <v>262</v>
      </c>
      <c r="C15" s="8" t="s">
        <v>340</v>
      </c>
      <c r="D15" s="8" t="s">
        <v>263</v>
      </c>
      <c r="E15" s="8" t="s">
        <v>390</v>
      </c>
      <c r="F15" s="8" t="s">
        <v>350</v>
      </c>
      <c r="G15" s="19" t="s">
        <v>31</v>
      </c>
      <c r="H15" s="18" t="s">
        <v>31</v>
      </c>
      <c r="I15" s="19" t="s">
        <v>33</v>
      </c>
      <c r="J15" s="9"/>
      <c r="K15" s="9" t="str">
        <f>"215,0"</f>
        <v>215,0</v>
      </c>
      <c r="L15" s="9" t="str">
        <f>"131,8165"</f>
        <v>131,8165</v>
      </c>
      <c r="M15" s="8" t="s">
        <v>373</v>
      </c>
    </row>
    <row r="16" spans="1:13">
      <c r="B16" s="5" t="s">
        <v>8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6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8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48" t="s">
        <v>331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11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230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9" t="s">
        <v>75</v>
      </c>
      <c r="B6" s="8" t="s">
        <v>247</v>
      </c>
      <c r="C6" s="8" t="s">
        <v>248</v>
      </c>
      <c r="D6" s="8" t="s">
        <v>249</v>
      </c>
      <c r="E6" s="8" t="s">
        <v>384</v>
      </c>
      <c r="F6" s="8" t="s">
        <v>350</v>
      </c>
      <c r="G6" s="18" t="s">
        <v>250</v>
      </c>
      <c r="H6" s="18" t="s">
        <v>251</v>
      </c>
      <c r="I6" s="19" t="s">
        <v>252</v>
      </c>
      <c r="J6" s="9"/>
      <c r="K6" s="9" t="str">
        <f>"340,0"</f>
        <v>340,0</v>
      </c>
      <c r="L6" s="9" t="str">
        <f>"204,9520"</f>
        <v>204,9520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9.66406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42.1640625" style="5" bestFit="1" customWidth="1"/>
    <col min="7" max="14" width="5.5" style="6" customWidth="1"/>
    <col min="15" max="15" width="7.6640625" style="6" bestFit="1" customWidth="1"/>
    <col min="16" max="16" width="7.5" style="6" bestFit="1" customWidth="1"/>
    <col min="17" max="17" width="15.83203125" style="5" bestFit="1" customWidth="1"/>
    <col min="18" max="16384" width="9.1640625" style="3"/>
  </cols>
  <sheetData>
    <row r="1" spans="1:17" s="2" customFormat="1" ht="29" customHeight="1">
      <c r="A1" s="48" t="s">
        <v>332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317</v>
      </c>
      <c r="H3" s="60"/>
      <c r="I3" s="60"/>
      <c r="J3" s="60"/>
      <c r="K3" s="60" t="s">
        <v>280</v>
      </c>
      <c r="L3" s="60"/>
      <c r="M3" s="60"/>
      <c r="N3" s="60"/>
      <c r="O3" s="60" t="s">
        <v>1</v>
      </c>
      <c r="P3" s="60" t="s">
        <v>3</v>
      </c>
      <c r="Q3" s="65" t="s">
        <v>2</v>
      </c>
    </row>
    <row r="4" spans="1:17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59"/>
      <c r="Q4" s="66"/>
    </row>
    <row r="5" spans="1:17" ht="16">
      <c r="A5" s="67" t="s">
        <v>36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7">
      <c r="A6" s="9" t="s">
        <v>75</v>
      </c>
      <c r="B6" s="8" t="s">
        <v>293</v>
      </c>
      <c r="C6" s="8" t="s">
        <v>341</v>
      </c>
      <c r="D6" s="8" t="s">
        <v>295</v>
      </c>
      <c r="E6" s="8" t="s">
        <v>385</v>
      </c>
      <c r="F6" s="8" t="s">
        <v>376</v>
      </c>
      <c r="G6" s="18" t="s">
        <v>85</v>
      </c>
      <c r="H6" s="19" t="s">
        <v>318</v>
      </c>
      <c r="I6" s="18" t="s">
        <v>19</v>
      </c>
      <c r="J6" s="9"/>
      <c r="K6" s="19" t="s">
        <v>159</v>
      </c>
      <c r="L6" s="18" t="s">
        <v>305</v>
      </c>
      <c r="M6" s="19" t="s">
        <v>178</v>
      </c>
      <c r="N6" s="9"/>
      <c r="O6" s="9" t="str">
        <f>"167,5"</f>
        <v>167,5</v>
      </c>
      <c r="P6" s="9" t="str">
        <f>"97,7446"</f>
        <v>97,7446</v>
      </c>
      <c r="Q6" s="8"/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"/>
  <sheetViews>
    <sheetView workbookViewId="0">
      <selection activeCell="E23" sqref="E23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9.83203125" style="5" bestFit="1" customWidth="1"/>
    <col min="7" max="10" width="5.5" style="6" customWidth="1"/>
    <col min="11" max="11" width="10.5" style="6" bestFit="1" customWidth="1"/>
    <col min="12" max="12" width="10.6640625" style="6" customWidth="1"/>
    <col min="13" max="13" width="22.33203125" style="5" customWidth="1"/>
    <col min="14" max="16384" width="9.1640625" style="3"/>
  </cols>
  <sheetData>
    <row r="1" spans="1:13" s="2" customFormat="1" ht="29" customHeight="1">
      <c r="A1" s="48" t="s">
        <v>333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280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77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9" t="s">
        <v>75</v>
      </c>
      <c r="B6" s="8" t="s">
        <v>180</v>
      </c>
      <c r="C6" s="8" t="s">
        <v>181</v>
      </c>
      <c r="D6" s="8" t="s">
        <v>182</v>
      </c>
      <c r="E6" s="8" t="s">
        <v>384</v>
      </c>
      <c r="F6" s="8" t="s">
        <v>349</v>
      </c>
      <c r="G6" s="18" t="s">
        <v>306</v>
      </c>
      <c r="H6" s="18" t="s">
        <v>307</v>
      </c>
      <c r="I6" s="18" t="s">
        <v>308</v>
      </c>
      <c r="J6" s="9"/>
      <c r="K6" s="9" t="str">
        <f>"32,5"</f>
        <v>32,5</v>
      </c>
      <c r="L6" s="9" t="str">
        <f>"35,7240"</f>
        <v>35,7240</v>
      </c>
      <c r="M6" s="8" t="s">
        <v>183</v>
      </c>
    </row>
    <row r="7" spans="1:13">
      <c r="B7" s="5" t="s">
        <v>8</v>
      </c>
    </row>
    <row r="8" spans="1:13" ht="16">
      <c r="A8" s="69" t="s">
        <v>106</v>
      </c>
      <c r="B8" s="69"/>
      <c r="C8" s="70"/>
      <c r="D8" s="70"/>
      <c r="E8" s="70"/>
      <c r="F8" s="70"/>
      <c r="G8" s="70"/>
      <c r="H8" s="70"/>
      <c r="I8" s="70"/>
      <c r="J8" s="70"/>
    </row>
    <row r="9" spans="1:13">
      <c r="A9" s="11" t="s">
        <v>75</v>
      </c>
      <c r="B9" s="10" t="s">
        <v>194</v>
      </c>
      <c r="C9" s="10" t="s">
        <v>342</v>
      </c>
      <c r="D9" s="10" t="s">
        <v>309</v>
      </c>
      <c r="E9" s="10" t="s">
        <v>386</v>
      </c>
      <c r="F9" s="10" t="s">
        <v>350</v>
      </c>
      <c r="G9" s="21" t="s">
        <v>307</v>
      </c>
      <c r="H9" s="20" t="s">
        <v>307</v>
      </c>
      <c r="I9" s="20" t="s">
        <v>193</v>
      </c>
      <c r="J9" s="11"/>
      <c r="K9" s="11" t="str">
        <f>"42,5"</f>
        <v>42,5</v>
      </c>
      <c r="L9" s="11" t="str">
        <f>"31,8686"</f>
        <v>31,8686</v>
      </c>
      <c r="M9" s="10"/>
    </row>
    <row r="10" spans="1:13">
      <c r="A10" s="13" t="s">
        <v>75</v>
      </c>
      <c r="B10" s="12" t="s">
        <v>296</v>
      </c>
      <c r="C10" s="12" t="s">
        <v>297</v>
      </c>
      <c r="D10" s="12" t="s">
        <v>310</v>
      </c>
      <c r="E10" s="12" t="s">
        <v>387</v>
      </c>
      <c r="F10" s="12" t="s">
        <v>350</v>
      </c>
      <c r="G10" s="27" t="s">
        <v>193</v>
      </c>
      <c r="H10" s="22" t="s">
        <v>100</v>
      </c>
      <c r="I10" s="27" t="s">
        <v>100</v>
      </c>
      <c r="J10" s="22" t="s">
        <v>101</v>
      </c>
      <c r="K10" s="13" t="str">
        <f>"45,0"</f>
        <v>45,0</v>
      </c>
      <c r="L10" s="13" t="str">
        <f>"52,2557"</f>
        <v>52,2557</v>
      </c>
      <c r="M10" s="12"/>
    </row>
    <row r="11" spans="1:13">
      <c r="B11" s="5" t="s">
        <v>8</v>
      </c>
    </row>
    <row r="12" spans="1:13" ht="16">
      <c r="A12" s="69" t="s">
        <v>12</v>
      </c>
      <c r="B12" s="69"/>
      <c r="C12" s="70"/>
      <c r="D12" s="70"/>
      <c r="E12" s="70"/>
      <c r="F12" s="70"/>
      <c r="G12" s="70"/>
      <c r="H12" s="70"/>
      <c r="I12" s="70"/>
      <c r="J12" s="70"/>
    </row>
    <row r="13" spans="1:13">
      <c r="A13" s="9" t="s">
        <v>75</v>
      </c>
      <c r="B13" s="8" t="s">
        <v>311</v>
      </c>
      <c r="C13" s="8" t="s">
        <v>312</v>
      </c>
      <c r="D13" s="8" t="s">
        <v>313</v>
      </c>
      <c r="E13" s="8" t="s">
        <v>384</v>
      </c>
      <c r="F13" s="8" t="s">
        <v>350</v>
      </c>
      <c r="G13" s="18" t="s">
        <v>101</v>
      </c>
      <c r="H13" s="18" t="s">
        <v>173</v>
      </c>
      <c r="I13" s="18" t="s">
        <v>93</v>
      </c>
      <c r="J13" s="9"/>
      <c r="K13" s="9" t="str">
        <f>"55,0"</f>
        <v>55,0</v>
      </c>
      <c r="L13" s="9" t="str">
        <f>"38,4450"</f>
        <v>38,4450</v>
      </c>
      <c r="M13" s="8"/>
    </row>
    <row r="14" spans="1:13">
      <c r="B14" s="5" t="s">
        <v>8</v>
      </c>
    </row>
    <row r="15" spans="1:13" ht="16">
      <c r="A15" s="69" t="s">
        <v>111</v>
      </c>
      <c r="B15" s="69"/>
      <c r="C15" s="70"/>
      <c r="D15" s="70"/>
      <c r="E15" s="70"/>
      <c r="F15" s="70"/>
      <c r="G15" s="70"/>
      <c r="H15" s="70"/>
      <c r="I15" s="70"/>
      <c r="J15" s="70"/>
    </row>
    <row r="16" spans="1:13">
      <c r="A16" s="9" t="s">
        <v>75</v>
      </c>
      <c r="B16" s="8" t="s">
        <v>314</v>
      </c>
      <c r="C16" s="8" t="s">
        <v>315</v>
      </c>
      <c r="D16" s="8" t="s">
        <v>316</v>
      </c>
      <c r="E16" s="8" t="s">
        <v>384</v>
      </c>
      <c r="F16" s="8" t="s">
        <v>349</v>
      </c>
      <c r="G16" s="18" t="s">
        <v>120</v>
      </c>
      <c r="H16" s="18" t="s">
        <v>158</v>
      </c>
      <c r="I16" s="18" t="s">
        <v>159</v>
      </c>
      <c r="J16" s="9"/>
      <c r="K16" s="9" t="str">
        <f>"70,0"</f>
        <v>70,0</v>
      </c>
      <c r="L16" s="9" t="str">
        <f>"45,8535"</f>
        <v>45,8535</v>
      </c>
      <c r="M16" s="8" t="s">
        <v>183</v>
      </c>
    </row>
    <row r="17" spans="1:13">
      <c r="B17" s="5" t="s">
        <v>8</v>
      </c>
    </row>
    <row r="18" spans="1:13" ht="16">
      <c r="A18" s="69" t="s">
        <v>25</v>
      </c>
      <c r="B18" s="69"/>
      <c r="C18" s="70"/>
      <c r="D18" s="70"/>
      <c r="E18" s="70"/>
      <c r="F18" s="70"/>
      <c r="G18" s="70"/>
      <c r="H18" s="70"/>
      <c r="I18" s="70"/>
      <c r="J18" s="70"/>
    </row>
    <row r="19" spans="1:13">
      <c r="A19" s="9" t="s">
        <v>75</v>
      </c>
      <c r="B19" s="8" t="s">
        <v>205</v>
      </c>
      <c r="C19" s="8" t="s">
        <v>206</v>
      </c>
      <c r="D19" s="8" t="s">
        <v>207</v>
      </c>
      <c r="E19" s="8" t="s">
        <v>384</v>
      </c>
      <c r="F19" s="8" t="s">
        <v>349</v>
      </c>
      <c r="G19" s="18" t="s">
        <v>120</v>
      </c>
      <c r="H19" s="18" t="s">
        <v>159</v>
      </c>
      <c r="I19" s="19" t="s">
        <v>305</v>
      </c>
      <c r="J19" s="9"/>
      <c r="K19" s="9" t="str">
        <f>"70,0"</f>
        <v>70,0</v>
      </c>
      <c r="L19" s="9" t="str">
        <f>"43,5225"</f>
        <v>43,5225</v>
      </c>
      <c r="M19" s="8" t="s">
        <v>183</v>
      </c>
    </row>
    <row r="20" spans="1:13">
      <c r="B20" s="5" t="s">
        <v>8</v>
      </c>
    </row>
    <row r="21" spans="1:13" ht="16">
      <c r="A21" s="69" t="s">
        <v>36</v>
      </c>
      <c r="B21" s="69"/>
      <c r="C21" s="70"/>
      <c r="D21" s="70"/>
      <c r="E21" s="70"/>
      <c r="F21" s="70"/>
      <c r="G21" s="70"/>
      <c r="H21" s="70"/>
      <c r="I21" s="70"/>
      <c r="J21" s="70"/>
    </row>
    <row r="22" spans="1:13">
      <c r="A22" s="9" t="s">
        <v>75</v>
      </c>
      <c r="B22" s="8" t="s">
        <v>277</v>
      </c>
      <c r="C22" s="8" t="s">
        <v>338</v>
      </c>
      <c r="D22" s="8" t="s">
        <v>278</v>
      </c>
      <c r="E22" s="8" t="s">
        <v>389</v>
      </c>
      <c r="F22" s="8" t="s">
        <v>372</v>
      </c>
      <c r="G22" s="18" t="s">
        <v>83</v>
      </c>
      <c r="H22" s="18" t="s">
        <v>120</v>
      </c>
      <c r="I22" s="19" t="s">
        <v>159</v>
      </c>
      <c r="J22" s="9"/>
      <c r="K22" s="9" t="str">
        <f>"65,0"</f>
        <v>65,0</v>
      </c>
      <c r="L22" s="9" t="str">
        <f>"46,4434"</f>
        <v>46,4434</v>
      </c>
      <c r="M22" s="8" t="s">
        <v>174</v>
      </c>
    </row>
    <row r="23" spans="1:13">
      <c r="B23" s="5" t="s">
        <v>8</v>
      </c>
    </row>
  </sheetData>
  <mergeCells count="17">
    <mergeCell ref="A21:J21"/>
    <mergeCell ref="A5:J5"/>
    <mergeCell ref="A8:J8"/>
    <mergeCell ref="A12:J12"/>
    <mergeCell ref="A15:J15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44.3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18.33203125" style="5" customWidth="1"/>
    <col min="14" max="16384" width="9.1640625" style="3"/>
  </cols>
  <sheetData>
    <row r="1" spans="1:13" s="2" customFormat="1" ht="29" customHeight="1">
      <c r="A1" s="48" t="s">
        <v>334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380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36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11" t="s">
        <v>75</v>
      </c>
      <c r="B6" s="10" t="s">
        <v>293</v>
      </c>
      <c r="C6" s="10" t="s">
        <v>341</v>
      </c>
      <c r="D6" s="10" t="s">
        <v>295</v>
      </c>
      <c r="E6" s="10" t="s">
        <v>385</v>
      </c>
      <c r="F6" s="10" t="s">
        <v>376</v>
      </c>
      <c r="G6" s="21" t="s">
        <v>159</v>
      </c>
      <c r="H6" s="20" t="s">
        <v>305</v>
      </c>
      <c r="I6" s="21" t="s">
        <v>178</v>
      </c>
      <c r="J6" s="11"/>
      <c r="K6" s="11" t="str">
        <f>"72,5"</f>
        <v>72,5</v>
      </c>
      <c r="L6" s="11" t="str">
        <f>"42,3074"</f>
        <v>42,3074</v>
      </c>
      <c r="M6" s="10"/>
    </row>
    <row r="7" spans="1:13">
      <c r="A7" s="13" t="s">
        <v>75</v>
      </c>
      <c r="B7" s="12" t="s">
        <v>277</v>
      </c>
      <c r="C7" s="12" t="s">
        <v>338</v>
      </c>
      <c r="D7" s="12" t="s">
        <v>278</v>
      </c>
      <c r="E7" s="12" t="s">
        <v>389</v>
      </c>
      <c r="F7" s="12" t="s">
        <v>372</v>
      </c>
      <c r="G7" s="27" t="s">
        <v>83</v>
      </c>
      <c r="H7" s="27" t="s">
        <v>120</v>
      </c>
      <c r="I7" s="22" t="s">
        <v>159</v>
      </c>
      <c r="J7" s="13"/>
      <c r="K7" s="13" t="str">
        <f>"65,0"</f>
        <v>65,0</v>
      </c>
      <c r="L7" s="13" t="str">
        <f>"46,4434"</f>
        <v>46,4434</v>
      </c>
      <c r="M7" s="12" t="s">
        <v>174</v>
      </c>
    </row>
    <row r="8" spans="1:13">
      <c r="B8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7"/>
  <sheetViews>
    <sheetView workbookViewId="0">
      <selection activeCell="E17" sqref="E17"/>
    </sheetView>
  </sheetViews>
  <sheetFormatPr baseColWidth="10" defaultColWidth="9.1640625" defaultRowHeight="13"/>
  <cols>
    <col min="1" max="1" width="7.1640625" style="5" bestFit="1" customWidth="1"/>
    <col min="2" max="2" width="18" style="5" bestFit="1" customWidth="1"/>
    <col min="3" max="3" width="27.6640625" style="5" bestFit="1" customWidth="1"/>
    <col min="4" max="4" width="20.83203125" style="5" bestFit="1" customWidth="1"/>
    <col min="5" max="5" width="10.1640625" style="5" bestFit="1" customWidth="1"/>
    <col min="6" max="6" width="29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8" t="s">
        <v>335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380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106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9" t="s">
        <v>75</v>
      </c>
      <c r="B6" s="8" t="s">
        <v>296</v>
      </c>
      <c r="C6" s="8" t="s">
        <v>297</v>
      </c>
      <c r="D6" s="8" t="s">
        <v>109</v>
      </c>
      <c r="E6" s="8" t="s">
        <v>387</v>
      </c>
      <c r="F6" s="8" t="s">
        <v>350</v>
      </c>
      <c r="G6" s="18" t="s">
        <v>150</v>
      </c>
      <c r="H6" s="18" t="s">
        <v>100</v>
      </c>
      <c r="I6" s="19" t="s">
        <v>92</v>
      </c>
      <c r="J6" s="9"/>
      <c r="K6" s="9" t="str">
        <f>"45,0"</f>
        <v>45,0</v>
      </c>
      <c r="L6" s="9" t="str">
        <f>"52,2211"</f>
        <v>52,2211</v>
      </c>
      <c r="M6" s="8"/>
    </row>
    <row r="7" spans="1:13">
      <c r="B7" s="5" t="s">
        <v>8</v>
      </c>
    </row>
    <row r="8" spans="1:13" ht="16">
      <c r="A8" s="69" t="s">
        <v>111</v>
      </c>
      <c r="B8" s="69"/>
      <c r="C8" s="70"/>
      <c r="D8" s="70"/>
      <c r="E8" s="70"/>
      <c r="F8" s="70"/>
      <c r="G8" s="70"/>
      <c r="H8" s="70"/>
      <c r="I8" s="70"/>
      <c r="J8" s="70"/>
    </row>
    <row r="9" spans="1:13">
      <c r="A9" s="9" t="s">
        <v>75</v>
      </c>
      <c r="B9" s="8" t="s">
        <v>298</v>
      </c>
      <c r="C9" s="8" t="s">
        <v>299</v>
      </c>
      <c r="D9" s="8" t="s">
        <v>300</v>
      </c>
      <c r="E9" s="8" t="s">
        <v>384</v>
      </c>
      <c r="F9" s="8" t="s">
        <v>377</v>
      </c>
      <c r="G9" s="18" t="s">
        <v>83</v>
      </c>
      <c r="H9" s="18" t="s">
        <v>120</v>
      </c>
      <c r="I9" s="18" t="s">
        <v>158</v>
      </c>
      <c r="J9" s="9"/>
      <c r="K9" s="9" t="str">
        <f>"67,5"</f>
        <v>67,5</v>
      </c>
      <c r="L9" s="9" t="str">
        <f>"44,7660"</f>
        <v>44,7660</v>
      </c>
      <c r="M9" s="8" t="s">
        <v>301</v>
      </c>
    </row>
    <row r="10" spans="1:13">
      <c r="B10" s="5" t="s">
        <v>8</v>
      </c>
    </row>
    <row r="11" spans="1:13" ht="16">
      <c r="A11" s="69" t="s">
        <v>25</v>
      </c>
      <c r="B11" s="69"/>
      <c r="C11" s="70"/>
      <c r="D11" s="70"/>
      <c r="E11" s="70"/>
      <c r="F11" s="70"/>
      <c r="G11" s="70"/>
      <c r="H11" s="70"/>
      <c r="I11" s="70"/>
      <c r="J11" s="70"/>
    </row>
    <row r="12" spans="1:13">
      <c r="A12" s="9" t="s">
        <v>75</v>
      </c>
      <c r="B12" s="8" t="s">
        <v>205</v>
      </c>
      <c r="C12" s="8" t="s">
        <v>206</v>
      </c>
      <c r="D12" s="8" t="s">
        <v>207</v>
      </c>
      <c r="E12" s="8" t="s">
        <v>384</v>
      </c>
      <c r="F12" s="8" t="s">
        <v>349</v>
      </c>
      <c r="G12" s="18" t="s">
        <v>83</v>
      </c>
      <c r="H12" s="18" t="s">
        <v>120</v>
      </c>
      <c r="I12" s="18" t="s">
        <v>159</v>
      </c>
      <c r="J12" s="9"/>
      <c r="K12" s="9" t="str">
        <f>"70,0"</f>
        <v>70,0</v>
      </c>
      <c r="L12" s="9" t="str">
        <f>"43,5225"</f>
        <v>43,5225</v>
      </c>
      <c r="M12" s="8" t="s">
        <v>183</v>
      </c>
    </row>
    <row r="13" spans="1:13">
      <c r="B13" s="5" t="s">
        <v>8</v>
      </c>
    </row>
    <row r="14" spans="1:13" ht="16">
      <c r="A14" s="69" t="s">
        <v>36</v>
      </c>
      <c r="B14" s="69"/>
      <c r="C14" s="70"/>
      <c r="D14" s="70"/>
      <c r="E14" s="70"/>
      <c r="F14" s="70"/>
      <c r="G14" s="70"/>
      <c r="H14" s="70"/>
      <c r="I14" s="70"/>
      <c r="J14" s="70"/>
    </row>
    <row r="15" spans="1:13">
      <c r="A15" s="11" t="s">
        <v>75</v>
      </c>
      <c r="B15" s="10" t="s">
        <v>213</v>
      </c>
      <c r="C15" s="10" t="s">
        <v>343</v>
      </c>
      <c r="D15" s="10" t="s">
        <v>214</v>
      </c>
      <c r="E15" s="10" t="s">
        <v>386</v>
      </c>
      <c r="F15" s="10" t="s">
        <v>350</v>
      </c>
      <c r="G15" s="20" t="s">
        <v>92</v>
      </c>
      <c r="H15" s="20" t="s">
        <v>93</v>
      </c>
      <c r="I15" s="20" t="s">
        <v>84</v>
      </c>
      <c r="J15" s="11"/>
      <c r="K15" s="11" t="str">
        <f>"62,5"</f>
        <v>62,5</v>
      </c>
      <c r="L15" s="11" t="str">
        <f>"36,9969"</f>
        <v>36,9969</v>
      </c>
      <c r="M15" s="10" t="s">
        <v>174</v>
      </c>
    </row>
    <row r="16" spans="1:13">
      <c r="A16" s="13" t="s">
        <v>75</v>
      </c>
      <c r="B16" s="12" t="s">
        <v>302</v>
      </c>
      <c r="C16" s="12" t="s">
        <v>303</v>
      </c>
      <c r="D16" s="12" t="s">
        <v>304</v>
      </c>
      <c r="E16" s="12" t="s">
        <v>384</v>
      </c>
      <c r="F16" s="12" t="s">
        <v>377</v>
      </c>
      <c r="G16" s="27" t="s">
        <v>159</v>
      </c>
      <c r="H16" s="27" t="s">
        <v>189</v>
      </c>
      <c r="I16" s="22" t="s">
        <v>178</v>
      </c>
      <c r="J16" s="13"/>
      <c r="K16" s="13" t="str">
        <f>"75,0"</f>
        <v>75,0</v>
      </c>
      <c r="L16" s="13" t="str">
        <f>"44,2237"</f>
        <v>44,2237</v>
      </c>
      <c r="M16" s="12"/>
    </row>
    <row r="17" spans="2:2">
      <c r="B17" s="5" t="s">
        <v>8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"/>
  <sheetViews>
    <sheetView tabSelected="1" workbookViewId="0">
      <selection activeCell="E15" sqref="E15"/>
    </sheetView>
  </sheetViews>
  <sheetFormatPr baseColWidth="10" defaultColWidth="9.1640625" defaultRowHeight="13"/>
  <cols>
    <col min="1" max="1" width="7.1640625" style="5" bestFit="1" customWidth="1"/>
    <col min="2" max="2" width="18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43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48" t="s">
        <v>336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380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12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11" t="s">
        <v>75</v>
      </c>
      <c r="B6" s="10" t="s">
        <v>281</v>
      </c>
      <c r="C6" s="10" t="s">
        <v>282</v>
      </c>
      <c r="D6" s="10" t="s">
        <v>283</v>
      </c>
      <c r="E6" s="10" t="s">
        <v>384</v>
      </c>
      <c r="F6" s="10" t="s">
        <v>379</v>
      </c>
      <c r="G6" s="20" t="s">
        <v>93</v>
      </c>
      <c r="H6" s="21" t="s">
        <v>82</v>
      </c>
      <c r="I6" s="20" t="s">
        <v>82</v>
      </c>
      <c r="J6" s="11"/>
      <c r="K6" s="11" t="str">
        <f>"57,5"</f>
        <v>57,5</v>
      </c>
      <c r="L6" s="11" t="str">
        <f>"40,1091"</f>
        <v>40,1091</v>
      </c>
      <c r="M6" s="10"/>
    </row>
    <row r="7" spans="1:13">
      <c r="A7" s="24" t="s">
        <v>143</v>
      </c>
      <c r="B7" s="23" t="s">
        <v>284</v>
      </c>
      <c r="C7" s="23" t="s">
        <v>285</v>
      </c>
      <c r="D7" s="23" t="s">
        <v>286</v>
      </c>
      <c r="E7" s="23" t="s">
        <v>384</v>
      </c>
      <c r="F7" s="23" t="s">
        <v>287</v>
      </c>
      <c r="G7" s="26" t="s">
        <v>101</v>
      </c>
      <c r="H7" s="26" t="s">
        <v>173</v>
      </c>
      <c r="I7" s="25" t="s">
        <v>93</v>
      </c>
      <c r="J7" s="24"/>
      <c r="K7" s="24" t="str">
        <f>"52,5"</f>
        <v>52,5</v>
      </c>
      <c r="L7" s="24" t="str">
        <f>"37,7842"</f>
        <v>37,7842</v>
      </c>
      <c r="M7" s="23"/>
    </row>
    <row r="8" spans="1:13">
      <c r="A8" s="13" t="s">
        <v>75</v>
      </c>
      <c r="B8" s="12" t="s">
        <v>284</v>
      </c>
      <c r="C8" s="12" t="s">
        <v>339</v>
      </c>
      <c r="D8" s="12" t="s">
        <v>286</v>
      </c>
      <c r="E8" s="12" t="s">
        <v>385</v>
      </c>
      <c r="F8" s="12" t="s">
        <v>287</v>
      </c>
      <c r="G8" s="27" t="s">
        <v>101</v>
      </c>
      <c r="H8" s="27" t="s">
        <v>173</v>
      </c>
      <c r="I8" s="22" t="s">
        <v>93</v>
      </c>
      <c r="J8" s="13"/>
      <c r="K8" s="13" t="str">
        <f>"52,5"</f>
        <v>52,5</v>
      </c>
      <c r="L8" s="13" t="str">
        <f>"38,9556"</f>
        <v>38,9556</v>
      </c>
      <c r="M8" s="12"/>
    </row>
    <row r="9" spans="1:13">
      <c r="B9" s="5" t="s">
        <v>8</v>
      </c>
    </row>
    <row r="10" spans="1:13" ht="16">
      <c r="A10" s="69" t="s">
        <v>25</v>
      </c>
      <c r="B10" s="69"/>
      <c r="C10" s="70"/>
      <c r="D10" s="70"/>
      <c r="E10" s="70"/>
      <c r="F10" s="70"/>
      <c r="G10" s="70"/>
      <c r="H10" s="70"/>
      <c r="I10" s="70"/>
      <c r="J10" s="70"/>
    </row>
    <row r="11" spans="1:13">
      <c r="A11" s="9" t="s">
        <v>75</v>
      </c>
      <c r="B11" s="8" t="s">
        <v>288</v>
      </c>
      <c r="C11" s="8" t="s">
        <v>289</v>
      </c>
      <c r="D11" s="8" t="s">
        <v>290</v>
      </c>
      <c r="E11" s="8" t="s">
        <v>384</v>
      </c>
      <c r="F11" s="8" t="s">
        <v>378</v>
      </c>
      <c r="G11" s="18" t="s">
        <v>159</v>
      </c>
      <c r="H11" s="18" t="s">
        <v>189</v>
      </c>
      <c r="I11" s="19" t="s">
        <v>178</v>
      </c>
      <c r="J11" s="9"/>
      <c r="K11" s="9" t="str">
        <f>"75,0"</f>
        <v>75,0</v>
      </c>
      <c r="L11" s="9" t="str">
        <f>"46,0612"</f>
        <v>46,0612</v>
      </c>
      <c r="M11" s="8"/>
    </row>
    <row r="12" spans="1:13">
      <c r="B12" s="5" t="s">
        <v>8</v>
      </c>
    </row>
    <row r="13" spans="1:13" ht="16">
      <c r="A13" s="69" t="s">
        <v>36</v>
      </c>
      <c r="B13" s="69"/>
      <c r="C13" s="70"/>
      <c r="D13" s="70"/>
      <c r="E13" s="70"/>
      <c r="F13" s="70"/>
      <c r="G13" s="70"/>
      <c r="H13" s="70"/>
      <c r="I13" s="70"/>
      <c r="J13" s="70"/>
    </row>
    <row r="14" spans="1:13">
      <c r="A14" s="11" t="s">
        <v>75</v>
      </c>
      <c r="B14" s="10" t="s">
        <v>291</v>
      </c>
      <c r="C14" s="10" t="s">
        <v>344</v>
      </c>
      <c r="D14" s="10" t="s">
        <v>292</v>
      </c>
      <c r="E14" s="10" t="s">
        <v>386</v>
      </c>
      <c r="F14" s="10" t="s">
        <v>350</v>
      </c>
      <c r="G14" s="20" t="s">
        <v>83</v>
      </c>
      <c r="H14" s="20" t="s">
        <v>84</v>
      </c>
      <c r="I14" s="20" t="s">
        <v>120</v>
      </c>
      <c r="J14" s="11"/>
      <c r="K14" s="11" t="str">
        <f>"65,0"</f>
        <v>65,0</v>
      </c>
      <c r="L14" s="11" t="str">
        <f>"38,1745"</f>
        <v>38,1745</v>
      </c>
      <c r="M14" s="10"/>
    </row>
    <row r="15" spans="1:13">
      <c r="A15" s="13" t="s">
        <v>75</v>
      </c>
      <c r="B15" s="12" t="s">
        <v>293</v>
      </c>
      <c r="C15" s="12" t="s">
        <v>294</v>
      </c>
      <c r="D15" s="12" t="s">
        <v>295</v>
      </c>
      <c r="E15" s="12" t="s">
        <v>384</v>
      </c>
      <c r="F15" s="12" t="s">
        <v>376</v>
      </c>
      <c r="G15" s="22" t="s">
        <v>159</v>
      </c>
      <c r="H15" s="27" t="s">
        <v>189</v>
      </c>
      <c r="I15" s="27" t="s">
        <v>178</v>
      </c>
      <c r="J15" s="13"/>
      <c r="K15" s="13" t="str">
        <f>"77,5"</f>
        <v>77,5</v>
      </c>
      <c r="L15" s="13" t="str">
        <f>"45,2251"</f>
        <v>45,2251</v>
      </c>
      <c r="M15" s="12"/>
    </row>
    <row r="16" spans="1:13">
      <c r="B16" s="5" t="s">
        <v>8</v>
      </c>
    </row>
  </sheetData>
  <mergeCells count="14">
    <mergeCell ref="A10:J10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U27"/>
  <sheetViews>
    <sheetView workbookViewId="0">
      <selection activeCell="E17" sqref="E17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6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43" bestFit="1" customWidth="1"/>
    <col min="20" max="20" width="8.5" style="6" bestFit="1" customWidth="1"/>
    <col min="21" max="21" width="17.33203125" style="5" bestFit="1" customWidth="1"/>
    <col min="22" max="16384" width="9.1640625" style="3"/>
  </cols>
  <sheetData>
    <row r="1" spans="1:21" s="2" customFormat="1" ht="29" customHeight="1">
      <c r="A1" s="48" t="s">
        <v>324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9</v>
      </c>
      <c r="H3" s="60"/>
      <c r="I3" s="60"/>
      <c r="J3" s="60"/>
      <c r="K3" s="60" t="s">
        <v>10</v>
      </c>
      <c r="L3" s="60"/>
      <c r="M3" s="60"/>
      <c r="N3" s="60"/>
      <c r="O3" s="60" t="s">
        <v>11</v>
      </c>
      <c r="P3" s="60"/>
      <c r="Q3" s="60"/>
      <c r="R3" s="60"/>
      <c r="S3" s="63" t="s">
        <v>1</v>
      </c>
      <c r="T3" s="60" t="s">
        <v>3</v>
      </c>
      <c r="U3" s="65" t="s">
        <v>2</v>
      </c>
    </row>
    <row r="4" spans="1:21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59"/>
      <c r="U4" s="66"/>
    </row>
    <row r="5" spans="1:21" ht="16">
      <c r="A5" s="67" t="s">
        <v>12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9" t="s">
        <v>75</v>
      </c>
      <c r="B6" s="8" t="s">
        <v>13</v>
      </c>
      <c r="C6" s="8" t="s">
        <v>14</v>
      </c>
      <c r="D6" s="8" t="s">
        <v>15</v>
      </c>
      <c r="E6" s="8" t="s">
        <v>384</v>
      </c>
      <c r="F6" s="8" t="s">
        <v>350</v>
      </c>
      <c r="G6" s="18" t="s">
        <v>16</v>
      </c>
      <c r="H6" s="18" t="s">
        <v>17</v>
      </c>
      <c r="I6" s="18" t="s">
        <v>18</v>
      </c>
      <c r="J6" s="9"/>
      <c r="K6" s="18" t="s">
        <v>19</v>
      </c>
      <c r="L6" s="18" t="s">
        <v>20</v>
      </c>
      <c r="M6" s="18" t="s">
        <v>21</v>
      </c>
      <c r="N6" s="9"/>
      <c r="O6" s="19" t="s">
        <v>22</v>
      </c>
      <c r="P6" s="18" t="s">
        <v>22</v>
      </c>
      <c r="Q6" s="18" t="s">
        <v>23</v>
      </c>
      <c r="R6" s="9"/>
      <c r="S6" s="44" t="str">
        <f>"452,5"</f>
        <v>452,5</v>
      </c>
      <c r="T6" s="9" t="str">
        <f>"333,0400"</f>
        <v>333,0400</v>
      </c>
      <c r="U6" s="8" t="s">
        <v>24</v>
      </c>
    </row>
    <row r="7" spans="1:21">
      <c r="B7" s="5" t="s">
        <v>8</v>
      </c>
    </row>
    <row r="8" spans="1:21" ht="16">
      <c r="A8" s="69" t="s">
        <v>25</v>
      </c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21">
      <c r="A9" s="9" t="s">
        <v>75</v>
      </c>
      <c r="B9" s="8" t="s">
        <v>26</v>
      </c>
      <c r="C9" s="8" t="s">
        <v>27</v>
      </c>
      <c r="D9" s="8" t="s">
        <v>28</v>
      </c>
      <c r="E9" s="8" t="s">
        <v>384</v>
      </c>
      <c r="F9" s="8" t="s">
        <v>350</v>
      </c>
      <c r="G9" s="18" t="s">
        <v>29</v>
      </c>
      <c r="H9" s="19" t="s">
        <v>30</v>
      </c>
      <c r="I9" s="19" t="s">
        <v>30</v>
      </c>
      <c r="J9" s="9"/>
      <c r="K9" s="19" t="s">
        <v>31</v>
      </c>
      <c r="L9" s="18" t="s">
        <v>32</v>
      </c>
      <c r="M9" s="19" t="s">
        <v>33</v>
      </c>
      <c r="N9" s="9"/>
      <c r="O9" s="19" t="s">
        <v>34</v>
      </c>
      <c r="P9" s="18" t="s">
        <v>34</v>
      </c>
      <c r="Q9" s="19" t="s">
        <v>35</v>
      </c>
      <c r="R9" s="9"/>
      <c r="S9" s="44" t="str">
        <f>"762,5"</f>
        <v>762,5</v>
      </c>
      <c r="T9" s="9" t="str">
        <f>"487,0850"</f>
        <v>487,0850</v>
      </c>
      <c r="U9" s="8"/>
    </row>
    <row r="10" spans="1:21">
      <c r="B10" s="5" t="s">
        <v>8</v>
      </c>
    </row>
    <row r="11" spans="1:21" ht="16">
      <c r="A11" s="69" t="s">
        <v>36</v>
      </c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21">
      <c r="A12" s="11" t="s">
        <v>75</v>
      </c>
      <c r="B12" s="10" t="s">
        <v>37</v>
      </c>
      <c r="C12" s="10" t="s">
        <v>38</v>
      </c>
      <c r="D12" s="10" t="s">
        <v>39</v>
      </c>
      <c r="E12" s="10" t="s">
        <v>384</v>
      </c>
      <c r="F12" s="10" t="s">
        <v>350</v>
      </c>
      <c r="G12" s="20" t="s">
        <v>40</v>
      </c>
      <c r="H12" s="20" t="s">
        <v>41</v>
      </c>
      <c r="I12" s="20" t="s">
        <v>42</v>
      </c>
      <c r="J12" s="11"/>
      <c r="K12" s="20" t="s">
        <v>43</v>
      </c>
      <c r="L12" s="20" t="s">
        <v>44</v>
      </c>
      <c r="M12" s="21" t="s">
        <v>45</v>
      </c>
      <c r="N12" s="11"/>
      <c r="O12" s="21" t="s">
        <v>29</v>
      </c>
      <c r="P12" s="20" t="s">
        <v>29</v>
      </c>
      <c r="Q12" s="20" t="s">
        <v>30</v>
      </c>
      <c r="R12" s="11"/>
      <c r="S12" s="45" t="str">
        <f>"637,5"</f>
        <v>637,5</v>
      </c>
      <c r="T12" s="11" t="str">
        <f>"389,5763"</f>
        <v>389,5763</v>
      </c>
      <c r="U12" s="10"/>
    </row>
    <row r="13" spans="1:21">
      <c r="A13" s="13" t="s">
        <v>76</v>
      </c>
      <c r="B13" s="12" t="s">
        <v>46</v>
      </c>
      <c r="C13" s="12" t="s">
        <v>357</v>
      </c>
      <c r="D13" s="12" t="s">
        <v>47</v>
      </c>
      <c r="E13" s="12" t="s">
        <v>385</v>
      </c>
      <c r="F13" s="12" t="s">
        <v>350</v>
      </c>
      <c r="G13" s="22" t="s">
        <v>48</v>
      </c>
      <c r="H13" s="22" t="s">
        <v>49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47">
        <v>0</v>
      </c>
      <c r="T13" s="13" t="str">
        <f>"0,0000"</f>
        <v>0,0000</v>
      </c>
      <c r="U13" s="12" t="s">
        <v>50</v>
      </c>
    </row>
    <row r="14" spans="1:21">
      <c r="B14" s="5" t="s">
        <v>8</v>
      </c>
    </row>
    <row r="15" spans="1:21" ht="16">
      <c r="A15" s="69" t="s">
        <v>51</v>
      </c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21">
      <c r="A16" s="9" t="s">
        <v>75</v>
      </c>
      <c r="B16" s="8" t="s">
        <v>52</v>
      </c>
      <c r="C16" s="8" t="s">
        <v>53</v>
      </c>
      <c r="D16" s="8" t="s">
        <v>54</v>
      </c>
      <c r="E16" s="8" t="s">
        <v>384</v>
      </c>
      <c r="F16" s="8" t="s">
        <v>350</v>
      </c>
      <c r="G16" s="18" t="s">
        <v>29</v>
      </c>
      <c r="H16" s="18" t="s">
        <v>55</v>
      </c>
      <c r="I16" s="18" t="s">
        <v>56</v>
      </c>
      <c r="J16" s="9"/>
      <c r="K16" s="18" t="s">
        <v>57</v>
      </c>
      <c r="L16" s="18" t="s">
        <v>58</v>
      </c>
      <c r="M16" s="19" t="s">
        <v>44</v>
      </c>
      <c r="N16" s="9"/>
      <c r="O16" s="18" t="s">
        <v>29</v>
      </c>
      <c r="P16" s="18" t="s">
        <v>59</v>
      </c>
      <c r="Q16" s="18" t="s">
        <v>35</v>
      </c>
      <c r="R16" s="9"/>
      <c r="S16" s="44" t="str">
        <f>"740,0"</f>
        <v>740,0</v>
      </c>
      <c r="T16" s="9" t="str">
        <f>"426,9800"</f>
        <v>426,9800</v>
      </c>
      <c r="U16" s="8" t="s">
        <v>356</v>
      </c>
    </row>
    <row r="17" spans="2:6">
      <c r="B17" s="5" t="s">
        <v>8</v>
      </c>
    </row>
    <row r="18" spans="2:6">
      <c r="B18" s="5" t="s">
        <v>8</v>
      </c>
    </row>
    <row r="19" spans="2:6">
      <c r="B19" s="5" t="s">
        <v>8</v>
      </c>
    </row>
    <row r="20" spans="2:6" ht="18">
      <c r="B20" s="7" t="s">
        <v>7</v>
      </c>
      <c r="C20" s="7"/>
      <c r="F20" s="3"/>
    </row>
    <row r="21" spans="2:6" ht="16">
      <c r="B21" s="14" t="s">
        <v>60</v>
      </c>
      <c r="C21" s="14"/>
      <c r="F21" s="3"/>
    </row>
    <row r="22" spans="2:6" ht="14">
      <c r="B22" s="15"/>
      <c r="C22" s="16" t="s">
        <v>61</v>
      </c>
      <c r="F22" s="3"/>
    </row>
    <row r="23" spans="2:6" ht="14">
      <c r="B23" s="17" t="s">
        <v>62</v>
      </c>
      <c r="C23" s="17" t="s">
        <v>63</v>
      </c>
      <c r="D23" s="17" t="s">
        <v>345</v>
      </c>
      <c r="E23" s="17" t="s">
        <v>64</v>
      </c>
      <c r="F23" s="17" t="s">
        <v>65</v>
      </c>
    </row>
    <row r="24" spans="2:6">
      <c r="B24" s="5" t="s">
        <v>26</v>
      </c>
      <c r="C24" s="5" t="s">
        <v>61</v>
      </c>
      <c r="D24" s="6" t="s">
        <v>66</v>
      </c>
      <c r="E24" s="6" t="s">
        <v>67</v>
      </c>
      <c r="F24" s="6" t="s">
        <v>68</v>
      </c>
    </row>
    <row r="25" spans="2:6">
      <c r="B25" s="5" t="s">
        <v>52</v>
      </c>
      <c r="C25" s="5" t="s">
        <v>61</v>
      </c>
      <c r="D25" s="6" t="s">
        <v>69</v>
      </c>
      <c r="E25" s="6" t="s">
        <v>70</v>
      </c>
      <c r="F25" s="6" t="s">
        <v>71</v>
      </c>
    </row>
    <row r="26" spans="2:6">
      <c r="B26" s="5" t="s">
        <v>37</v>
      </c>
      <c r="C26" s="5" t="s">
        <v>61</v>
      </c>
      <c r="D26" s="6" t="s">
        <v>72</v>
      </c>
      <c r="E26" s="6" t="s">
        <v>73</v>
      </c>
      <c r="F26" s="6" t="s">
        <v>74</v>
      </c>
    </row>
    <row r="27" spans="2:6">
      <c r="B27" s="5" t="s">
        <v>8</v>
      </c>
    </row>
  </sheetData>
  <mergeCells count="17">
    <mergeCell ref="A8:R8"/>
    <mergeCell ref="A11:R11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5.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6.16406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19.5" style="5" customWidth="1"/>
    <col min="18" max="16384" width="9.1640625" style="3"/>
  </cols>
  <sheetData>
    <row r="1" spans="1:17" s="2" customFormat="1" ht="29" customHeight="1">
      <c r="A1" s="48" t="s">
        <v>325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10</v>
      </c>
      <c r="H3" s="60"/>
      <c r="I3" s="60"/>
      <c r="J3" s="60"/>
      <c r="K3" s="60" t="s">
        <v>11</v>
      </c>
      <c r="L3" s="60"/>
      <c r="M3" s="60"/>
      <c r="N3" s="60"/>
      <c r="O3" s="60" t="s">
        <v>1</v>
      </c>
      <c r="P3" s="60" t="s">
        <v>3</v>
      </c>
      <c r="Q3" s="65" t="s">
        <v>2</v>
      </c>
    </row>
    <row r="4" spans="1:17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59"/>
      <c r="Q4" s="66"/>
    </row>
    <row r="5" spans="1:17" ht="16">
      <c r="A5" s="67" t="s">
        <v>12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7">
      <c r="A6" s="9" t="s">
        <v>75</v>
      </c>
      <c r="B6" s="8" t="s">
        <v>268</v>
      </c>
      <c r="C6" s="8" t="s">
        <v>269</v>
      </c>
      <c r="D6" s="8" t="s">
        <v>270</v>
      </c>
      <c r="E6" s="8" t="s">
        <v>384</v>
      </c>
      <c r="F6" s="8" t="s">
        <v>351</v>
      </c>
      <c r="G6" s="18" t="s">
        <v>81</v>
      </c>
      <c r="H6" s="18" t="s">
        <v>87</v>
      </c>
      <c r="I6" s="19" t="s">
        <v>21</v>
      </c>
      <c r="J6" s="9"/>
      <c r="K6" s="19" t="s">
        <v>22</v>
      </c>
      <c r="L6" s="18" t="s">
        <v>40</v>
      </c>
      <c r="M6" s="19" t="s">
        <v>41</v>
      </c>
      <c r="N6" s="9"/>
      <c r="O6" s="9" t="str">
        <f>"295,0"</f>
        <v>295,0</v>
      </c>
      <c r="P6" s="9" t="str">
        <f>"214,4945"</f>
        <v>214,4945</v>
      </c>
      <c r="Q6" s="8" t="s">
        <v>271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9.83203125" style="5" customWidth="1"/>
    <col min="3" max="3" width="27.5" style="5" bestFit="1" customWidth="1"/>
    <col min="4" max="4" width="14.83203125" style="5" bestFit="1" customWidth="1"/>
    <col min="5" max="5" width="9.83203125" style="5" customWidth="1"/>
    <col min="6" max="6" width="24.83203125" style="5" customWidth="1"/>
    <col min="7" max="14" width="5.5" style="6" customWidth="1"/>
    <col min="15" max="15" width="7.6640625" style="6" bestFit="1" customWidth="1"/>
    <col min="16" max="16" width="8.5" style="6" bestFit="1" customWidth="1"/>
    <col min="17" max="17" width="21.1640625" style="5" customWidth="1"/>
    <col min="18" max="16384" width="9.1640625" style="3"/>
  </cols>
  <sheetData>
    <row r="1" spans="1:17" s="2" customFormat="1" ht="29" customHeight="1">
      <c r="A1" s="48" t="s">
        <v>326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10</v>
      </c>
      <c r="H3" s="60"/>
      <c r="I3" s="60"/>
      <c r="J3" s="60"/>
      <c r="K3" s="60" t="s">
        <v>11</v>
      </c>
      <c r="L3" s="60"/>
      <c r="M3" s="60"/>
      <c r="N3" s="60"/>
      <c r="O3" s="60" t="s">
        <v>1</v>
      </c>
      <c r="P3" s="60" t="s">
        <v>3</v>
      </c>
      <c r="Q3" s="65" t="s">
        <v>2</v>
      </c>
    </row>
    <row r="4" spans="1:17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59"/>
      <c r="Q4" s="66"/>
    </row>
    <row r="5" spans="1:17" ht="16">
      <c r="A5" s="67" t="s">
        <v>88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7">
      <c r="A6" s="9" t="s">
        <v>75</v>
      </c>
      <c r="B6" s="8" t="s">
        <v>264</v>
      </c>
      <c r="C6" s="8" t="s">
        <v>265</v>
      </c>
      <c r="D6" s="8" t="s">
        <v>266</v>
      </c>
      <c r="E6" s="8" t="s">
        <v>388</v>
      </c>
      <c r="F6" s="8" t="s">
        <v>352</v>
      </c>
      <c r="G6" s="18" t="s">
        <v>93</v>
      </c>
      <c r="H6" s="18" t="s">
        <v>82</v>
      </c>
      <c r="I6" s="18" t="s">
        <v>83</v>
      </c>
      <c r="J6" s="9"/>
      <c r="K6" s="18" t="s">
        <v>121</v>
      </c>
      <c r="L6" s="18" t="s">
        <v>57</v>
      </c>
      <c r="M6" s="19" t="s">
        <v>267</v>
      </c>
      <c r="N6" s="9"/>
      <c r="O6" s="9" t="str">
        <f>"200,0"</f>
        <v>200,0</v>
      </c>
      <c r="P6" s="9" t="str">
        <f>"320,2110"</f>
        <v>320,2110</v>
      </c>
      <c r="Q6" s="8" t="s">
        <v>117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57"/>
  <sheetViews>
    <sheetView topLeftCell="A13" workbookViewId="0">
      <selection activeCell="E47" sqref="E47"/>
    </sheetView>
  </sheetViews>
  <sheetFormatPr baseColWidth="10" defaultColWidth="9.1640625" defaultRowHeight="13"/>
  <cols>
    <col min="1" max="1" width="7.1640625" style="5" bestFit="1" customWidth="1"/>
    <col min="2" max="2" width="21.5" style="5" customWidth="1"/>
    <col min="3" max="3" width="29" style="5" bestFit="1" customWidth="1"/>
    <col min="4" max="4" width="20.83203125" style="5" bestFit="1" customWidth="1"/>
    <col min="5" max="5" width="10.1640625" style="5" bestFit="1" customWidth="1"/>
    <col min="6" max="6" width="29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5.83203125" style="5" bestFit="1" customWidth="1"/>
    <col min="14" max="16384" width="9.1640625" style="3"/>
  </cols>
  <sheetData>
    <row r="1" spans="1:13" s="2" customFormat="1" ht="29" customHeight="1">
      <c r="A1" s="48" t="s">
        <v>327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10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169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9" t="s">
        <v>75</v>
      </c>
      <c r="B6" s="8" t="s">
        <v>170</v>
      </c>
      <c r="C6" s="8" t="s">
        <v>171</v>
      </c>
      <c r="D6" s="8" t="s">
        <v>172</v>
      </c>
      <c r="E6" s="8" t="s">
        <v>384</v>
      </c>
      <c r="F6" s="8" t="s">
        <v>350</v>
      </c>
      <c r="G6" s="18" t="s">
        <v>101</v>
      </c>
      <c r="H6" s="18" t="s">
        <v>92</v>
      </c>
      <c r="I6" s="19" t="s">
        <v>173</v>
      </c>
      <c r="J6" s="9"/>
      <c r="K6" s="9" t="str">
        <f>"50,0"</f>
        <v>50,0</v>
      </c>
      <c r="L6" s="9" t="str">
        <f>"63,2700"</f>
        <v>63,2700</v>
      </c>
      <c r="M6" s="8" t="s">
        <v>174</v>
      </c>
    </row>
    <row r="7" spans="1:13">
      <c r="B7" s="5" t="s">
        <v>8</v>
      </c>
    </row>
    <row r="8" spans="1:13" ht="16">
      <c r="A8" s="69" t="s">
        <v>77</v>
      </c>
      <c r="B8" s="69"/>
      <c r="C8" s="70"/>
      <c r="D8" s="70"/>
      <c r="E8" s="70"/>
      <c r="F8" s="70"/>
      <c r="G8" s="70"/>
      <c r="H8" s="70"/>
      <c r="I8" s="70"/>
      <c r="J8" s="70"/>
    </row>
    <row r="9" spans="1:13">
      <c r="A9" s="11" t="s">
        <v>75</v>
      </c>
      <c r="B9" s="10" t="s">
        <v>175</v>
      </c>
      <c r="C9" s="10" t="s">
        <v>176</v>
      </c>
      <c r="D9" s="10" t="s">
        <v>177</v>
      </c>
      <c r="E9" s="10" t="s">
        <v>384</v>
      </c>
      <c r="F9" s="10" t="s">
        <v>350</v>
      </c>
      <c r="G9" s="20" t="s">
        <v>178</v>
      </c>
      <c r="H9" s="21" t="s">
        <v>179</v>
      </c>
      <c r="I9" s="21" t="s">
        <v>179</v>
      </c>
      <c r="J9" s="11"/>
      <c r="K9" s="11" t="str">
        <f>"77,5"</f>
        <v>77,5</v>
      </c>
      <c r="L9" s="11" t="str">
        <f>"92,3490"</f>
        <v>92,3490</v>
      </c>
      <c r="M9" s="10" t="s">
        <v>198</v>
      </c>
    </row>
    <row r="10" spans="1:13">
      <c r="A10" s="24" t="s">
        <v>143</v>
      </c>
      <c r="B10" s="23" t="s">
        <v>180</v>
      </c>
      <c r="C10" s="23" t="s">
        <v>181</v>
      </c>
      <c r="D10" s="23" t="s">
        <v>182</v>
      </c>
      <c r="E10" s="23" t="s">
        <v>384</v>
      </c>
      <c r="F10" s="23" t="s">
        <v>349</v>
      </c>
      <c r="G10" s="26" t="s">
        <v>93</v>
      </c>
      <c r="H10" s="26" t="s">
        <v>82</v>
      </c>
      <c r="I10" s="25" t="s">
        <v>83</v>
      </c>
      <c r="J10" s="24"/>
      <c r="K10" s="24" t="str">
        <f>"57,5"</f>
        <v>57,5</v>
      </c>
      <c r="L10" s="24" t="str">
        <f>"71,1505"</f>
        <v>71,1505</v>
      </c>
      <c r="M10" s="23" t="s">
        <v>183</v>
      </c>
    </row>
    <row r="11" spans="1:13">
      <c r="A11" s="13" t="s">
        <v>75</v>
      </c>
      <c r="B11" s="12" t="s">
        <v>175</v>
      </c>
      <c r="C11" s="12" t="s">
        <v>358</v>
      </c>
      <c r="D11" s="12" t="s">
        <v>177</v>
      </c>
      <c r="E11" s="12" t="s">
        <v>389</v>
      </c>
      <c r="F11" s="12" t="s">
        <v>350</v>
      </c>
      <c r="G11" s="27" t="s">
        <v>178</v>
      </c>
      <c r="H11" s="22" t="s">
        <v>179</v>
      </c>
      <c r="I11" s="22" t="s">
        <v>179</v>
      </c>
      <c r="J11" s="13"/>
      <c r="K11" s="13" t="str">
        <f>"77,5"</f>
        <v>77,5</v>
      </c>
      <c r="L11" s="13" t="str">
        <f>"97,8899"</f>
        <v>97,8899</v>
      </c>
      <c r="M11" s="12" t="s">
        <v>198</v>
      </c>
    </row>
    <row r="12" spans="1:13">
      <c r="B12" s="5" t="s">
        <v>8</v>
      </c>
    </row>
    <row r="13" spans="1:13" ht="16">
      <c r="A13" s="69" t="s">
        <v>106</v>
      </c>
      <c r="B13" s="69"/>
      <c r="C13" s="70"/>
      <c r="D13" s="70"/>
      <c r="E13" s="70"/>
      <c r="F13" s="70"/>
      <c r="G13" s="70"/>
      <c r="H13" s="70"/>
      <c r="I13" s="70"/>
      <c r="J13" s="70"/>
    </row>
    <row r="14" spans="1:13">
      <c r="A14" s="11" t="s">
        <v>75</v>
      </c>
      <c r="B14" s="10" t="s">
        <v>184</v>
      </c>
      <c r="C14" s="10" t="s">
        <v>359</v>
      </c>
      <c r="D14" s="10" t="s">
        <v>185</v>
      </c>
      <c r="E14" s="10" t="s">
        <v>386</v>
      </c>
      <c r="F14" s="10" t="s">
        <v>350</v>
      </c>
      <c r="G14" s="20" t="s">
        <v>120</v>
      </c>
      <c r="H14" s="20" t="s">
        <v>158</v>
      </c>
      <c r="I14" s="21" t="s">
        <v>159</v>
      </c>
      <c r="J14" s="11"/>
      <c r="K14" s="11" t="str">
        <f>"67,5"</f>
        <v>67,5</v>
      </c>
      <c r="L14" s="11" t="str">
        <f>"71,5567"</f>
        <v>71,5567</v>
      </c>
      <c r="M14" s="10" t="s">
        <v>367</v>
      </c>
    </row>
    <row r="15" spans="1:13">
      <c r="A15" s="13" t="s">
        <v>75</v>
      </c>
      <c r="B15" s="12" t="s">
        <v>186</v>
      </c>
      <c r="C15" s="12" t="s">
        <v>187</v>
      </c>
      <c r="D15" s="12" t="s">
        <v>188</v>
      </c>
      <c r="E15" s="12" t="s">
        <v>384</v>
      </c>
      <c r="F15" s="12" t="s">
        <v>350</v>
      </c>
      <c r="G15" s="27" t="s">
        <v>159</v>
      </c>
      <c r="H15" s="27" t="s">
        <v>189</v>
      </c>
      <c r="I15" s="22" t="s">
        <v>178</v>
      </c>
      <c r="J15" s="13"/>
      <c r="K15" s="13" t="str">
        <f>"75,0"</f>
        <v>75,0</v>
      </c>
      <c r="L15" s="13" t="str">
        <f>"76,9575"</f>
        <v>76,9575</v>
      </c>
      <c r="M15" s="12" t="s">
        <v>190</v>
      </c>
    </row>
    <row r="16" spans="1:13">
      <c r="B16" s="5" t="s">
        <v>8</v>
      </c>
    </row>
    <row r="17" spans="1:13" ht="16">
      <c r="A17" s="69" t="s">
        <v>77</v>
      </c>
      <c r="B17" s="69"/>
      <c r="C17" s="70"/>
      <c r="D17" s="70"/>
      <c r="E17" s="70"/>
      <c r="F17" s="70"/>
      <c r="G17" s="70"/>
      <c r="H17" s="70"/>
      <c r="I17" s="70"/>
      <c r="J17" s="70"/>
    </row>
    <row r="18" spans="1:13">
      <c r="A18" s="9" t="s">
        <v>75</v>
      </c>
      <c r="B18" s="8" t="s">
        <v>191</v>
      </c>
      <c r="C18" s="8" t="s">
        <v>360</v>
      </c>
      <c r="D18" s="8" t="s">
        <v>182</v>
      </c>
      <c r="E18" s="8" t="s">
        <v>386</v>
      </c>
      <c r="F18" s="8" t="s">
        <v>349</v>
      </c>
      <c r="G18" s="18" t="s">
        <v>192</v>
      </c>
      <c r="H18" s="18" t="s">
        <v>150</v>
      </c>
      <c r="I18" s="18" t="s">
        <v>193</v>
      </c>
      <c r="J18" s="9"/>
      <c r="K18" s="9" t="str">
        <f>"42,5"</f>
        <v>42,5</v>
      </c>
      <c r="L18" s="9" t="str">
        <f>"41,2887"</f>
        <v>41,2887</v>
      </c>
      <c r="M18" s="8" t="s">
        <v>183</v>
      </c>
    </row>
    <row r="19" spans="1:13">
      <c r="B19" s="5" t="s">
        <v>8</v>
      </c>
    </row>
    <row r="20" spans="1:13" ht="16">
      <c r="A20" s="69" t="s">
        <v>106</v>
      </c>
      <c r="B20" s="69"/>
      <c r="C20" s="70"/>
      <c r="D20" s="70"/>
      <c r="E20" s="70"/>
      <c r="F20" s="70"/>
      <c r="G20" s="70"/>
      <c r="H20" s="70"/>
      <c r="I20" s="70"/>
      <c r="J20" s="70"/>
    </row>
    <row r="21" spans="1:13">
      <c r="A21" s="9" t="s">
        <v>75</v>
      </c>
      <c r="B21" s="8" t="s">
        <v>194</v>
      </c>
      <c r="C21" s="8" t="s">
        <v>361</v>
      </c>
      <c r="D21" s="8" t="s">
        <v>195</v>
      </c>
      <c r="E21" s="8" t="s">
        <v>386</v>
      </c>
      <c r="F21" s="8" t="s">
        <v>350</v>
      </c>
      <c r="G21" s="18" t="s">
        <v>83</v>
      </c>
      <c r="H21" s="19" t="s">
        <v>159</v>
      </c>
      <c r="I21" s="18" t="s">
        <v>159</v>
      </c>
      <c r="J21" s="9"/>
      <c r="K21" s="9" t="str">
        <f>"70,0"</f>
        <v>70,0</v>
      </c>
      <c r="L21" s="9" t="str">
        <f>"54,0330"</f>
        <v>54,0330</v>
      </c>
      <c r="M21" s="8"/>
    </row>
    <row r="22" spans="1:13">
      <c r="B22" s="5" t="s">
        <v>8</v>
      </c>
    </row>
    <row r="23" spans="1:13" ht="16">
      <c r="A23" s="69" t="s">
        <v>111</v>
      </c>
      <c r="B23" s="69"/>
      <c r="C23" s="70"/>
      <c r="D23" s="70"/>
      <c r="E23" s="70"/>
      <c r="F23" s="70"/>
      <c r="G23" s="70"/>
      <c r="H23" s="70"/>
      <c r="I23" s="70"/>
      <c r="J23" s="70"/>
    </row>
    <row r="24" spans="1:13">
      <c r="A24" s="11" t="s">
        <v>75</v>
      </c>
      <c r="B24" s="10" t="s">
        <v>196</v>
      </c>
      <c r="C24" s="10" t="s">
        <v>362</v>
      </c>
      <c r="D24" s="10" t="s">
        <v>197</v>
      </c>
      <c r="E24" s="10" t="s">
        <v>386</v>
      </c>
      <c r="F24" s="10" t="s">
        <v>350</v>
      </c>
      <c r="G24" s="20" t="s">
        <v>110</v>
      </c>
      <c r="H24" s="21" t="s">
        <v>114</v>
      </c>
      <c r="I24" s="21" t="s">
        <v>114</v>
      </c>
      <c r="J24" s="11"/>
      <c r="K24" s="11" t="str">
        <f>"110,0"</f>
        <v>110,0</v>
      </c>
      <c r="L24" s="11" t="str">
        <f>"74,3490"</f>
        <v>74,3490</v>
      </c>
      <c r="M24" s="10" t="s">
        <v>198</v>
      </c>
    </row>
    <row r="25" spans="1:13">
      <c r="A25" s="13" t="s">
        <v>75</v>
      </c>
      <c r="B25" s="12" t="s">
        <v>199</v>
      </c>
      <c r="C25" s="12" t="s">
        <v>200</v>
      </c>
      <c r="D25" s="12" t="s">
        <v>201</v>
      </c>
      <c r="E25" s="12" t="s">
        <v>384</v>
      </c>
      <c r="F25" s="12" t="s">
        <v>350</v>
      </c>
      <c r="G25" s="22" t="s">
        <v>48</v>
      </c>
      <c r="H25" s="27" t="s">
        <v>48</v>
      </c>
      <c r="I25" s="22" t="s">
        <v>43</v>
      </c>
      <c r="J25" s="13"/>
      <c r="K25" s="13" t="str">
        <f>"160,0"</f>
        <v>160,0</v>
      </c>
      <c r="L25" s="13" t="str">
        <f>"109,2320"</f>
        <v>109,2320</v>
      </c>
      <c r="M25" s="12"/>
    </row>
    <row r="26" spans="1:13">
      <c r="B26" s="5" t="s">
        <v>8</v>
      </c>
    </row>
    <row r="27" spans="1:13" ht="16">
      <c r="A27" s="69" t="s">
        <v>25</v>
      </c>
      <c r="B27" s="69"/>
      <c r="C27" s="70"/>
      <c r="D27" s="70"/>
      <c r="E27" s="70"/>
      <c r="F27" s="70"/>
      <c r="G27" s="70"/>
      <c r="H27" s="70"/>
      <c r="I27" s="70"/>
      <c r="J27" s="70"/>
    </row>
    <row r="28" spans="1:13">
      <c r="A28" s="11" t="s">
        <v>75</v>
      </c>
      <c r="B28" s="10" t="s">
        <v>202</v>
      </c>
      <c r="C28" s="10" t="s">
        <v>203</v>
      </c>
      <c r="D28" s="10" t="s">
        <v>204</v>
      </c>
      <c r="E28" s="10" t="s">
        <v>384</v>
      </c>
      <c r="F28" s="10" t="s">
        <v>350</v>
      </c>
      <c r="G28" s="21" t="s">
        <v>45</v>
      </c>
      <c r="H28" s="21" t="s">
        <v>45</v>
      </c>
      <c r="I28" s="20" t="s">
        <v>45</v>
      </c>
      <c r="J28" s="11"/>
      <c r="K28" s="11" t="str">
        <f>"175,0"</f>
        <v>175,0</v>
      </c>
      <c r="L28" s="11" t="str">
        <f>"112,3675"</f>
        <v>112,3675</v>
      </c>
      <c r="M28" s="10" t="s">
        <v>133</v>
      </c>
    </row>
    <row r="29" spans="1:13">
      <c r="A29" s="24" t="s">
        <v>143</v>
      </c>
      <c r="B29" s="23" t="s">
        <v>205</v>
      </c>
      <c r="C29" s="23" t="s">
        <v>206</v>
      </c>
      <c r="D29" s="23" t="s">
        <v>207</v>
      </c>
      <c r="E29" s="23" t="s">
        <v>384</v>
      </c>
      <c r="F29" s="23" t="s">
        <v>349</v>
      </c>
      <c r="G29" s="26" t="s">
        <v>121</v>
      </c>
      <c r="H29" s="25" t="s">
        <v>16</v>
      </c>
      <c r="I29" s="26" t="s">
        <v>131</v>
      </c>
      <c r="J29" s="24"/>
      <c r="K29" s="24" t="str">
        <f>"137,5"</f>
        <v>137,5</v>
      </c>
      <c r="L29" s="24" t="str">
        <f>"89,0862"</f>
        <v>89,0862</v>
      </c>
      <c r="M29" s="23" t="s">
        <v>183</v>
      </c>
    </row>
    <row r="30" spans="1:13">
      <c r="A30" s="24" t="s">
        <v>246</v>
      </c>
      <c r="B30" s="23" t="s">
        <v>208</v>
      </c>
      <c r="C30" s="23" t="s">
        <v>209</v>
      </c>
      <c r="D30" s="23" t="s">
        <v>210</v>
      </c>
      <c r="E30" s="23" t="s">
        <v>384</v>
      </c>
      <c r="F30" s="23" t="s">
        <v>350</v>
      </c>
      <c r="G30" s="26" t="s">
        <v>121</v>
      </c>
      <c r="H30" s="26" t="s">
        <v>16</v>
      </c>
      <c r="I30" s="25" t="s">
        <v>57</v>
      </c>
      <c r="J30" s="24"/>
      <c r="K30" s="24" t="str">
        <f>"135,0"</f>
        <v>135,0</v>
      </c>
      <c r="L30" s="24" t="str">
        <f>"87,0885"</f>
        <v>87,0885</v>
      </c>
      <c r="M30" s="23" t="s">
        <v>174</v>
      </c>
    </row>
    <row r="31" spans="1:13">
      <c r="A31" s="13" t="s">
        <v>75</v>
      </c>
      <c r="B31" s="12" t="s">
        <v>211</v>
      </c>
      <c r="C31" s="12" t="s">
        <v>363</v>
      </c>
      <c r="D31" s="12" t="s">
        <v>212</v>
      </c>
      <c r="E31" s="12" t="s">
        <v>385</v>
      </c>
      <c r="F31" s="12" t="s">
        <v>350</v>
      </c>
      <c r="G31" s="27" t="s">
        <v>114</v>
      </c>
      <c r="H31" s="22" t="s">
        <v>95</v>
      </c>
      <c r="I31" s="27" t="s">
        <v>125</v>
      </c>
      <c r="J31" s="13"/>
      <c r="K31" s="13" t="str">
        <f>"125,0"</f>
        <v>125,0</v>
      </c>
      <c r="L31" s="13" t="str">
        <f>"80,8020"</f>
        <v>80,8020</v>
      </c>
      <c r="M31" s="12" t="s">
        <v>190</v>
      </c>
    </row>
    <row r="32" spans="1:13">
      <c r="B32" s="5" t="s">
        <v>8</v>
      </c>
    </row>
    <row r="33" spans="1:13" ht="16">
      <c r="A33" s="69" t="s">
        <v>36</v>
      </c>
      <c r="B33" s="69"/>
      <c r="C33" s="70"/>
      <c r="D33" s="70"/>
      <c r="E33" s="70"/>
      <c r="F33" s="70"/>
      <c r="G33" s="70"/>
      <c r="H33" s="70"/>
      <c r="I33" s="70"/>
      <c r="J33" s="70"/>
    </row>
    <row r="34" spans="1:13">
      <c r="A34" s="11" t="s">
        <v>75</v>
      </c>
      <c r="B34" s="10" t="s">
        <v>213</v>
      </c>
      <c r="C34" s="10" t="s">
        <v>364</v>
      </c>
      <c r="D34" s="10" t="s">
        <v>214</v>
      </c>
      <c r="E34" s="10" t="s">
        <v>386</v>
      </c>
      <c r="F34" s="10" t="s">
        <v>350</v>
      </c>
      <c r="G34" s="20" t="s">
        <v>114</v>
      </c>
      <c r="H34" s="20" t="s">
        <v>95</v>
      </c>
      <c r="I34" s="21" t="s">
        <v>125</v>
      </c>
      <c r="J34" s="11"/>
      <c r="K34" s="11" t="str">
        <f>"120,0"</f>
        <v>120,0</v>
      </c>
      <c r="L34" s="11" t="str">
        <f>"74,2920"</f>
        <v>74,2920</v>
      </c>
      <c r="M34" s="10" t="s">
        <v>174</v>
      </c>
    </row>
    <row r="35" spans="1:13">
      <c r="A35" s="24" t="s">
        <v>75</v>
      </c>
      <c r="B35" s="23" t="s">
        <v>215</v>
      </c>
      <c r="C35" s="23" t="s">
        <v>216</v>
      </c>
      <c r="D35" s="23" t="s">
        <v>217</v>
      </c>
      <c r="E35" s="23" t="s">
        <v>384</v>
      </c>
      <c r="F35" s="23" t="s">
        <v>349</v>
      </c>
      <c r="G35" s="26" t="s">
        <v>44</v>
      </c>
      <c r="H35" s="26" t="s">
        <v>45</v>
      </c>
      <c r="I35" s="26" t="s">
        <v>22</v>
      </c>
      <c r="J35" s="24"/>
      <c r="K35" s="24" t="str">
        <f>"180,0"</f>
        <v>180,0</v>
      </c>
      <c r="L35" s="24" t="str">
        <f>"109,8180"</f>
        <v>109,8180</v>
      </c>
      <c r="M35" s="23" t="s">
        <v>218</v>
      </c>
    </row>
    <row r="36" spans="1:13">
      <c r="A36" s="24" t="s">
        <v>143</v>
      </c>
      <c r="B36" s="23" t="s">
        <v>219</v>
      </c>
      <c r="C36" s="23" t="s">
        <v>220</v>
      </c>
      <c r="D36" s="23" t="s">
        <v>221</v>
      </c>
      <c r="E36" s="23" t="s">
        <v>384</v>
      </c>
      <c r="F36" s="23" t="s">
        <v>350</v>
      </c>
      <c r="G36" s="26" t="s">
        <v>44</v>
      </c>
      <c r="H36" s="26" t="s">
        <v>45</v>
      </c>
      <c r="I36" s="26" t="s">
        <v>22</v>
      </c>
      <c r="J36" s="24"/>
      <c r="K36" s="24" t="str">
        <f>"180,0"</f>
        <v>180,0</v>
      </c>
      <c r="L36" s="24" t="str">
        <f>"109,6380"</f>
        <v>109,6380</v>
      </c>
      <c r="M36" s="23" t="s">
        <v>174</v>
      </c>
    </row>
    <row r="37" spans="1:13">
      <c r="A37" s="24" t="s">
        <v>246</v>
      </c>
      <c r="B37" s="23" t="s">
        <v>222</v>
      </c>
      <c r="C37" s="23" t="s">
        <v>223</v>
      </c>
      <c r="D37" s="23" t="s">
        <v>224</v>
      </c>
      <c r="E37" s="23" t="s">
        <v>384</v>
      </c>
      <c r="F37" s="23" t="s">
        <v>350</v>
      </c>
      <c r="G37" s="26" t="s">
        <v>18</v>
      </c>
      <c r="H37" s="26" t="s">
        <v>58</v>
      </c>
      <c r="I37" s="25" t="s">
        <v>48</v>
      </c>
      <c r="J37" s="24"/>
      <c r="K37" s="24" t="str">
        <f>"155,0"</f>
        <v>155,0</v>
      </c>
      <c r="L37" s="24" t="str">
        <f>"97,6190"</f>
        <v>97,6190</v>
      </c>
      <c r="M37" s="23" t="s">
        <v>174</v>
      </c>
    </row>
    <row r="38" spans="1:13">
      <c r="A38" s="24" t="s">
        <v>75</v>
      </c>
      <c r="B38" s="23" t="s">
        <v>225</v>
      </c>
      <c r="C38" s="23" t="s">
        <v>365</v>
      </c>
      <c r="D38" s="23" t="s">
        <v>226</v>
      </c>
      <c r="E38" s="23" t="s">
        <v>385</v>
      </c>
      <c r="F38" s="23" t="s">
        <v>350</v>
      </c>
      <c r="G38" s="26" t="s">
        <v>81</v>
      </c>
      <c r="H38" s="26" t="s">
        <v>110</v>
      </c>
      <c r="I38" s="25" t="s">
        <v>94</v>
      </c>
      <c r="J38" s="24"/>
      <c r="K38" s="24" t="str">
        <f>"110,0"</f>
        <v>110,0</v>
      </c>
      <c r="L38" s="24" t="str">
        <f>"67,5290"</f>
        <v>67,5290</v>
      </c>
      <c r="M38" s="23" t="s">
        <v>190</v>
      </c>
    </row>
    <row r="39" spans="1:13">
      <c r="A39" s="13" t="s">
        <v>75</v>
      </c>
      <c r="B39" s="12" t="s">
        <v>227</v>
      </c>
      <c r="C39" s="12" t="s">
        <v>366</v>
      </c>
      <c r="D39" s="12" t="s">
        <v>229</v>
      </c>
      <c r="E39" s="12" t="s">
        <v>388</v>
      </c>
      <c r="F39" s="12" t="s">
        <v>349</v>
      </c>
      <c r="G39" s="27" t="s">
        <v>95</v>
      </c>
      <c r="H39" s="27" t="s">
        <v>125</v>
      </c>
      <c r="I39" s="27" t="s">
        <v>121</v>
      </c>
      <c r="J39" s="13"/>
      <c r="K39" s="13" t="str">
        <f>"130,0"</f>
        <v>130,0</v>
      </c>
      <c r="L39" s="13" t="str">
        <f>"114,0266"</f>
        <v>114,0266</v>
      </c>
      <c r="M39" s="12" t="s">
        <v>183</v>
      </c>
    </row>
    <row r="40" spans="1:13">
      <c r="B40" s="5" t="s">
        <v>8</v>
      </c>
    </row>
    <row r="41" spans="1:13" ht="16">
      <c r="A41" s="69" t="s">
        <v>230</v>
      </c>
      <c r="B41" s="69"/>
      <c r="C41" s="70"/>
      <c r="D41" s="70"/>
      <c r="E41" s="70"/>
      <c r="F41" s="70"/>
      <c r="G41" s="70"/>
      <c r="H41" s="70"/>
      <c r="I41" s="70"/>
      <c r="J41" s="70"/>
    </row>
    <row r="42" spans="1:13">
      <c r="A42" s="11" t="s">
        <v>75</v>
      </c>
      <c r="B42" s="10" t="s">
        <v>231</v>
      </c>
      <c r="C42" s="10" t="s">
        <v>337</v>
      </c>
      <c r="D42" s="10" t="s">
        <v>232</v>
      </c>
      <c r="E42" s="10" t="s">
        <v>390</v>
      </c>
      <c r="F42" s="10" t="s">
        <v>350</v>
      </c>
      <c r="G42" s="21" t="s">
        <v>58</v>
      </c>
      <c r="H42" s="20" t="s">
        <v>48</v>
      </c>
      <c r="I42" s="21" t="s">
        <v>233</v>
      </c>
      <c r="J42" s="11"/>
      <c r="K42" s="11" t="str">
        <f>"160,0"</f>
        <v>160,0</v>
      </c>
      <c r="L42" s="11" t="str">
        <f>"94,6560"</f>
        <v>94,6560</v>
      </c>
      <c r="M42" s="10" t="s">
        <v>234</v>
      </c>
    </row>
    <row r="43" spans="1:13">
      <c r="A43" s="13" t="s">
        <v>75</v>
      </c>
      <c r="B43" s="12" t="s">
        <v>235</v>
      </c>
      <c r="C43" s="12" t="s">
        <v>236</v>
      </c>
      <c r="D43" s="12" t="s">
        <v>237</v>
      </c>
      <c r="E43" s="12" t="s">
        <v>384</v>
      </c>
      <c r="F43" s="12" t="s">
        <v>350</v>
      </c>
      <c r="G43" s="27" t="s">
        <v>44</v>
      </c>
      <c r="H43" s="22" t="s">
        <v>45</v>
      </c>
      <c r="I43" s="27" t="s">
        <v>22</v>
      </c>
      <c r="J43" s="13"/>
      <c r="K43" s="13" t="str">
        <f>"180,0"</f>
        <v>180,0</v>
      </c>
      <c r="L43" s="13" t="str">
        <f>"107,2080"</f>
        <v>107,2080</v>
      </c>
      <c r="M43" s="12"/>
    </row>
    <row r="44" spans="1:13">
      <c r="B44" s="5" t="s">
        <v>8</v>
      </c>
    </row>
    <row r="45" spans="1:13" ht="16">
      <c r="A45" s="69" t="s">
        <v>51</v>
      </c>
      <c r="B45" s="69"/>
      <c r="C45" s="70"/>
      <c r="D45" s="70"/>
      <c r="E45" s="70"/>
      <c r="F45" s="70"/>
      <c r="G45" s="70"/>
      <c r="H45" s="70"/>
      <c r="I45" s="70"/>
      <c r="J45" s="70"/>
    </row>
    <row r="46" spans="1:13">
      <c r="A46" s="9" t="s">
        <v>75</v>
      </c>
      <c r="B46" s="8" t="s">
        <v>238</v>
      </c>
      <c r="C46" s="8" t="s">
        <v>239</v>
      </c>
      <c r="D46" s="8" t="s">
        <v>240</v>
      </c>
      <c r="E46" s="8" t="s">
        <v>384</v>
      </c>
      <c r="F46" s="8" t="s">
        <v>352</v>
      </c>
      <c r="G46" s="18" t="s">
        <v>241</v>
      </c>
      <c r="H46" s="18" t="s">
        <v>30</v>
      </c>
      <c r="I46" s="18" t="s">
        <v>242</v>
      </c>
      <c r="J46" s="9"/>
      <c r="K46" s="9" t="str">
        <f>"265,0"</f>
        <v>265,0</v>
      </c>
      <c r="L46" s="9" t="str">
        <f>"151,1295"</f>
        <v>151,1295</v>
      </c>
      <c r="M46" s="8"/>
    </row>
    <row r="47" spans="1:13">
      <c r="B47" s="5" t="s">
        <v>8</v>
      </c>
    </row>
    <row r="48" spans="1:13">
      <c r="B48" s="5" t="s">
        <v>8</v>
      </c>
    </row>
    <row r="49" spans="2:6">
      <c r="B49" s="5" t="s">
        <v>8</v>
      </c>
    </row>
    <row r="50" spans="2:6" ht="18">
      <c r="B50" s="7" t="s">
        <v>7</v>
      </c>
      <c r="C50" s="7"/>
      <c r="F50" s="3"/>
    </row>
    <row r="51" spans="2:6" ht="16">
      <c r="B51" s="14" t="s">
        <v>60</v>
      </c>
      <c r="C51" s="14"/>
      <c r="F51" s="3"/>
    </row>
    <row r="52" spans="2:6" ht="14">
      <c r="B52" s="15"/>
      <c r="C52" s="16" t="s">
        <v>61</v>
      </c>
      <c r="F52" s="3"/>
    </row>
    <row r="53" spans="2:6" ht="14">
      <c r="B53" s="17" t="s">
        <v>62</v>
      </c>
      <c r="C53" s="17" t="s">
        <v>63</v>
      </c>
      <c r="D53" s="17" t="s">
        <v>320</v>
      </c>
      <c r="E53" s="17" t="s">
        <v>167</v>
      </c>
      <c r="F53" s="17" t="s">
        <v>65</v>
      </c>
    </row>
    <row r="54" spans="2:6">
      <c r="B54" s="5" t="s">
        <v>238</v>
      </c>
      <c r="C54" s="5" t="s">
        <v>61</v>
      </c>
      <c r="D54" s="6" t="s">
        <v>69</v>
      </c>
      <c r="E54" s="6" t="s">
        <v>242</v>
      </c>
      <c r="F54" s="6" t="s">
        <v>243</v>
      </c>
    </row>
    <row r="55" spans="2:6">
      <c r="B55" s="5" t="s">
        <v>202</v>
      </c>
      <c r="C55" s="5" t="s">
        <v>61</v>
      </c>
      <c r="D55" s="6" t="s">
        <v>66</v>
      </c>
      <c r="E55" s="6" t="s">
        <v>45</v>
      </c>
      <c r="F55" s="6" t="s">
        <v>244</v>
      </c>
    </row>
    <row r="56" spans="2:6">
      <c r="B56" s="5" t="s">
        <v>215</v>
      </c>
      <c r="C56" s="5" t="s">
        <v>61</v>
      </c>
      <c r="D56" s="6" t="s">
        <v>72</v>
      </c>
      <c r="E56" s="6" t="s">
        <v>22</v>
      </c>
      <c r="F56" s="6" t="s">
        <v>245</v>
      </c>
    </row>
    <row r="57" spans="2:6">
      <c r="B57" s="5" t="s">
        <v>8</v>
      </c>
    </row>
  </sheetData>
  <mergeCells count="21">
    <mergeCell ref="A33:J33"/>
    <mergeCell ref="A41:J41"/>
    <mergeCell ref="A45:J45"/>
    <mergeCell ref="B3:B4"/>
    <mergeCell ref="A8:J8"/>
    <mergeCell ref="A13:J13"/>
    <mergeCell ref="A17:J17"/>
    <mergeCell ref="A20:J20"/>
    <mergeCell ref="A23:J23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21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7.6640625" style="5" bestFit="1" customWidth="1"/>
    <col min="4" max="4" width="20.83203125" style="5" bestFit="1" customWidth="1"/>
    <col min="5" max="5" width="10.1640625" style="5" bestFit="1" customWidth="1"/>
    <col min="6" max="6" width="30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8" t="s">
        <v>328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10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88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9" t="s">
        <v>75</v>
      </c>
      <c r="B6" s="8" t="s">
        <v>144</v>
      </c>
      <c r="C6" s="8" t="s">
        <v>145</v>
      </c>
      <c r="D6" s="8" t="s">
        <v>146</v>
      </c>
      <c r="E6" s="8" t="s">
        <v>384</v>
      </c>
      <c r="F6" s="8" t="s">
        <v>350</v>
      </c>
      <c r="G6" s="18" t="s">
        <v>82</v>
      </c>
      <c r="H6" s="18" t="s">
        <v>83</v>
      </c>
      <c r="I6" s="18" t="s">
        <v>84</v>
      </c>
      <c r="J6" s="9"/>
      <c r="K6" s="9" t="str">
        <f>"62,5"</f>
        <v>62,5</v>
      </c>
      <c r="L6" s="9" t="str">
        <f>"69,8625"</f>
        <v>69,8625</v>
      </c>
      <c r="M6" s="8" t="s">
        <v>368</v>
      </c>
    </row>
    <row r="7" spans="1:13">
      <c r="B7" s="5" t="s">
        <v>8</v>
      </c>
    </row>
    <row r="8" spans="1:13" ht="16">
      <c r="A8" s="69" t="s">
        <v>106</v>
      </c>
      <c r="B8" s="69"/>
      <c r="C8" s="70"/>
      <c r="D8" s="70"/>
      <c r="E8" s="70"/>
      <c r="F8" s="70"/>
      <c r="G8" s="70"/>
      <c r="H8" s="70"/>
      <c r="I8" s="70"/>
      <c r="J8" s="70"/>
    </row>
    <row r="9" spans="1:13">
      <c r="A9" s="9" t="s">
        <v>75</v>
      </c>
      <c r="B9" s="8" t="s">
        <v>147</v>
      </c>
      <c r="C9" s="8" t="s">
        <v>148</v>
      </c>
      <c r="D9" s="8" t="s">
        <v>149</v>
      </c>
      <c r="E9" s="8" t="s">
        <v>384</v>
      </c>
      <c r="F9" s="8" t="s">
        <v>350</v>
      </c>
      <c r="G9" s="18" t="s">
        <v>150</v>
      </c>
      <c r="H9" s="18" t="s">
        <v>100</v>
      </c>
      <c r="I9" s="19" t="s">
        <v>101</v>
      </c>
      <c r="J9" s="9"/>
      <c r="K9" s="9" t="str">
        <f>"45,0"</f>
        <v>45,0</v>
      </c>
      <c r="L9" s="9" t="str">
        <f>"47,1555"</f>
        <v>47,1555</v>
      </c>
      <c r="M9" s="8"/>
    </row>
    <row r="10" spans="1:13">
      <c r="B10" s="5" t="s">
        <v>8</v>
      </c>
    </row>
    <row r="11" spans="1:13" ht="16">
      <c r="A11" s="69" t="s">
        <v>25</v>
      </c>
      <c r="B11" s="69"/>
      <c r="C11" s="70"/>
      <c r="D11" s="70"/>
      <c r="E11" s="70"/>
      <c r="F11" s="70"/>
      <c r="G11" s="70"/>
      <c r="H11" s="70"/>
      <c r="I11" s="70"/>
      <c r="J11" s="70"/>
    </row>
    <row r="12" spans="1:13">
      <c r="A12" s="11" t="s">
        <v>75</v>
      </c>
      <c r="B12" s="10" t="s">
        <v>26</v>
      </c>
      <c r="C12" s="10" t="s">
        <v>27</v>
      </c>
      <c r="D12" s="10" t="s">
        <v>28</v>
      </c>
      <c r="E12" s="10" t="s">
        <v>384</v>
      </c>
      <c r="F12" s="10" t="s">
        <v>350</v>
      </c>
      <c r="G12" s="21" t="s">
        <v>31</v>
      </c>
      <c r="H12" s="20" t="s">
        <v>32</v>
      </c>
      <c r="I12" s="21" t="s">
        <v>33</v>
      </c>
      <c r="J12" s="11"/>
      <c r="K12" s="11" t="str">
        <f>"222,5"</f>
        <v>222,5</v>
      </c>
      <c r="L12" s="11" t="str">
        <f>"142,1330"</f>
        <v>142,1330</v>
      </c>
      <c r="M12" s="10"/>
    </row>
    <row r="13" spans="1:13">
      <c r="A13" s="13" t="s">
        <v>143</v>
      </c>
      <c r="B13" s="12" t="s">
        <v>151</v>
      </c>
      <c r="C13" s="12" t="s">
        <v>152</v>
      </c>
      <c r="D13" s="12" t="s">
        <v>153</v>
      </c>
      <c r="E13" s="12" t="s">
        <v>384</v>
      </c>
      <c r="F13" s="12" t="s">
        <v>350</v>
      </c>
      <c r="G13" s="27" t="s">
        <v>22</v>
      </c>
      <c r="H13" s="27" t="s">
        <v>154</v>
      </c>
      <c r="I13" s="22" t="s">
        <v>155</v>
      </c>
      <c r="J13" s="13"/>
      <c r="K13" s="13" t="str">
        <f>"187,5"</f>
        <v>187,5</v>
      </c>
      <c r="L13" s="13" t="str">
        <f>"120,7500"</f>
        <v>120,7500</v>
      </c>
      <c r="M13" s="12"/>
    </row>
    <row r="14" spans="1:13">
      <c r="B14" s="5" t="s">
        <v>8</v>
      </c>
    </row>
    <row r="15" spans="1:13" ht="16">
      <c r="A15" s="69" t="s">
        <v>36</v>
      </c>
      <c r="B15" s="69"/>
      <c r="C15" s="70"/>
      <c r="D15" s="70"/>
      <c r="E15" s="70"/>
      <c r="F15" s="70"/>
      <c r="G15" s="70"/>
      <c r="H15" s="70"/>
      <c r="I15" s="70"/>
      <c r="J15" s="70"/>
    </row>
    <row r="16" spans="1:13">
      <c r="A16" s="11" t="s">
        <v>75</v>
      </c>
      <c r="B16" s="10" t="s">
        <v>156</v>
      </c>
      <c r="C16" s="10" t="s">
        <v>370</v>
      </c>
      <c r="D16" s="10" t="s">
        <v>157</v>
      </c>
      <c r="E16" s="10" t="s">
        <v>386</v>
      </c>
      <c r="F16" s="10" t="s">
        <v>350</v>
      </c>
      <c r="G16" s="21" t="s">
        <v>158</v>
      </c>
      <c r="H16" s="20" t="s">
        <v>158</v>
      </c>
      <c r="I16" s="20" t="s">
        <v>159</v>
      </c>
      <c r="J16" s="11"/>
      <c r="K16" s="11" t="str">
        <f>"70,0"</f>
        <v>70,0</v>
      </c>
      <c r="L16" s="11" t="str">
        <f>"42,9380"</f>
        <v>42,9380</v>
      </c>
      <c r="M16" s="10" t="s">
        <v>198</v>
      </c>
    </row>
    <row r="17" spans="1:13">
      <c r="A17" s="13" t="s">
        <v>75</v>
      </c>
      <c r="B17" s="12" t="s">
        <v>160</v>
      </c>
      <c r="C17" s="12" t="s">
        <v>161</v>
      </c>
      <c r="D17" s="12" t="s">
        <v>39</v>
      </c>
      <c r="E17" s="12" t="s">
        <v>384</v>
      </c>
      <c r="F17" s="12" t="s">
        <v>350</v>
      </c>
      <c r="G17" s="27" t="s">
        <v>49</v>
      </c>
      <c r="H17" s="22" t="s">
        <v>31</v>
      </c>
      <c r="I17" s="13"/>
      <c r="J17" s="13"/>
      <c r="K17" s="13" t="str">
        <f>"205,0"</f>
        <v>205,0</v>
      </c>
      <c r="L17" s="13" t="str">
        <f>"125,2755"</f>
        <v>125,2755</v>
      </c>
      <c r="M17" s="12"/>
    </row>
    <row r="18" spans="1:13">
      <c r="B18" s="5" t="s">
        <v>8</v>
      </c>
    </row>
    <row r="19" spans="1:13" ht="16">
      <c r="A19" s="69" t="s">
        <v>162</v>
      </c>
      <c r="B19" s="69"/>
      <c r="C19" s="70"/>
      <c r="D19" s="70"/>
      <c r="E19" s="70"/>
      <c r="F19" s="70"/>
      <c r="G19" s="70"/>
      <c r="H19" s="70"/>
      <c r="I19" s="70"/>
      <c r="J19" s="70"/>
    </row>
    <row r="20" spans="1:13">
      <c r="A20" s="9" t="s">
        <v>75</v>
      </c>
      <c r="B20" s="8" t="s">
        <v>163</v>
      </c>
      <c r="C20" s="8" t="s">
        <v>371</v>
      </c>
      <c r="D20" s="8" t="s">
        <v>164</v>
      </c>
      <c r="E20" s="8" t="s">
        <v>388</v>
      </c>
      <c r="F20" s="8" t="s">
        <v>369</v>
      </c>
      <c r="G20" s="18" t="s">
        <v>18</v>
      </c>
      <c r="H20" s="19" t="s">
        <v>165</v>
      </c>
      <c r="I20" s="18" t="s">
        <v>165</v>
      </c>
      <c r="J20" s="9"/>
      <c r="K20" s="9" t="str">
        <f>"157,5"</f>
        <v>157,5</v>
      </c>
      <c r="L20" s="9" t="str">
        <f>"130,4180"</f>
        <v>130,4180</v>
      </c>
      <c r="M20" s="8" t="s">
        <v>166</v>
      </c>
    </row>
    <row r="21" spans="1:13">
      <c r="B21" s="5" t="s">
        <v>8</v>
      </c>
    </row>
  </sheetData>
  <mergeCells count="16">
    <mergeCell ref="A8:J8"/>
    <mergeCell ref="A11:J11"/>
    <mergeCell ref="A15:J15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B75D6-63F5-8F42-BDE8-B8FA572CDA34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5" style="32" bestFit="1" customWidth="1"/>
    <col min="2" max="2" width="20.1640625" style="32" customWidth="1"/>
    <col min="3" max="3" width="28.5" style="32" bestFit="1" customWidth="1"/>
    <col min="4" max="4" width="21.5" style="32" bestFit="1" customWidth="1"/>
    <col min="5" max="5" width="10.5" style="32" bestFit="1" customWidth="1"/>
    <col min="6" max="6" width="27" style="32" bestFit="1" customWidth="1"/>
    <col min="7" max="9" width="5.5" style="31" customWidth="1"/>
    <col min="10" max="10" width="4.83203125" style="31" customWidth="1"/>
    <col min="11" max="11" width="10.5" style="31" bestFit="1" customWidth="1"/>
    <col min="12" max="12" width="8.5" style="31" bestFit="1" customWidth="1"/>
    <col min="13" max="13" width="21.5" style="32" customWidth="1"/>
    <col min="14" max="16384" width="9.1640625" style="33"/>
  </cols>
  <sheetData>
    <row r="1" spans="1:13" s="28" customFormat="1" ht="29" customHeight="1">
      <c r="A1" s="75" t="s">
        <v>329</v>
      </c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s="28" customFormat="1" ht="62" customHeight="1" thickBot="1">
      <c r="A2" s="79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s="29" customFormat="1" ht="12.75" customHeight="1">
      <c r="A3" s="83" t="s">
        <v>381</v>
      </c>
      <c r="B3" s="85" t="s">
        <v>0</v>
      </c>
      <c r="C3" s="86" t="s">
        <v>382</v>
      </c>
      <c r="D3" s="86" t="s">
        <v>6</v>
      </c>
      <c r="E3" s="71" t="s">
        <v>383</v>
      </c>
      <c r="F3" s="71" t="s">
        <v>5</v>
      </c>
      <c r="G3" s="71" t="s">
        <v>10</v>
      </c>
      <c r="H3" s="71"/>
      <c r="I3" s="71"/>
      <c r="J3" s="71"/>
      <c r="K3" s="71" t="s">
        <v>168</v>
      </c>
      <c r="L3" s="71" t="s">
        <v>3</v>
      </c>
      <c r="M3" s="73" t="s">
        <v>2</v>
      </c>
    </row>
    <row r="4" spans="1:13" s="29" customFormat="1" ht="21" customHeight="1" thickBot="1">
      <c r="A4" s="84"/>
      <c r="B4" s="62"/>
      <c r="C4" s="72"/>
      <c r="D4" s="72"/>
      <c r="E4" s="72"/>
      <c r="F4" s="72"/>
      <c r="G4" s="30">
        <v>1</v>
      </c>
      <c r="H4" s="30">
        <v>2</v>
      </c>
      <c r="I4" s="30">
        <v>3</v>
      </c>
      <c r="J4" s="30" t="s">
        <v>4</v>
      </c>
      <c r="K4" s="72"/>
      <c r="L4" s="72"/>
      <c r="M4" s="74"/>
    </row>
    <row r="5" spans="1:13" ht="16">
      <c r="A5" s="68" t="s">
        <v>111</v>
      </c>
      <c r="B5" s="68"/>
      <c r="C5" s="68"/>
      <c r="D5" s="68"/>
      <c r="E5" s="68"/>
      <c r="F5" s="68"/>
      <c r="G5" s="68"/>
      <c r="H5" s="68"/>
      <c r="I5" s="68"/>
      <c r="J5" s="68"/>
    </row>
    <row r="6" spans="1:13">
      <c r="A6" s="34" t="s">
        <v>75</v>
      </c>
      <c r="B6" s="35" t="s">
        <v>199</v>
      </c>
      <c r="C6" s="35" t="s">
        <v>200</v>
      </c>
      <c r="D6" s="35" t="s">
        <v>201</v>
      </c>
      <c r="E6" s="35" t="s">
        <v>384</v>
      </c>
      <c r="F6" s="35" t="s">
        <v>350</v>
      </c>
      <c r="G6" s="36" t="s">
        <v>272</v>
      </c>
      <c r="H6" s="20" t="s">
        <v>272</v>
      </c>
      <c r="I6" s="34"/>
      <c r="J6" s="34"/>
      <c r="K6" s="34" t="str">
        <f>"230,0"</f>
        <v>230,0</v>
      </c>
      <c r="L6" s="34" t="str">
        <f>"151,2940"</f>
        <v>151,2940</v>
      </c>
      <c r="M6" s="35"/>
    </row>
    <row r="7" spans="1:13">
      <c r="A7" s="37" t="s">
        <v>143</v>
      </c>
      <c r="B7" s="38" t="s">
        <v>273</v>
      </c>
      <c r="C7" s="38" t="s">
        <v>274</v>
      </c>
      <c r="D7" s="38" t="s">
        <v>275</v>
      </c>
      <c r="E7" s="38" t="s">
        <v>384</v>
      </c>
      <c r="F7" s="38" t="s">
        <v>349</v>
      </c>
      <c r="G7" s="27" t="s">
        <v>49</v>
      </c>
      <c r="H7" s="39" t="s">
        <v>31</v>
      </c>
      <c r="I7" s="39" t="s">
        <v>261</v>
      </c>
      <c r="J7" s="37"/>
      <c r="K7" s="37" t="str">
        <f>"205,0"</f>
        <v>205,0</v>
      </c>
      <c r="L7" s="37" t="str">
        <f>"132,2455"</f>
        <v>132,2455</v>
      </c>
      <c r="M7" s="38" t="s">
        <v>276</v>
      </c>
    </row>
    <row r="8" spans="1:13">
      <c r="B8" s="32" t="s">
        <v>8</v>
      </c>
    </row>
    <row r="9" spans="1:13" ht="16">
      <c r="A9" s="70" t="s">
        <v>36</v>
      </c>
      <c r="B9" s="70"/>
      <c r="C9" s="70"/>
      <c r="D9" s="70"/>
      <c r="E9" s="70"/>
      <c r="F9" s="70"/>
      <c r="G9" s="70"/>
      <c r="H9" s="70"/>
      <c r="I9" s="70"/>
      <c r="J9" s="70"/>
    </row>
    <row r="10" spans="1:13">
      <c r="A10" s="40" t="s">
        <v>75</v>
      </c>
      <c r="B10" s="41" t="s">
        <v>277</v>
      </c>
      <c r="C10" s="41" t="s">
        <v>338</v>
      </c>
      <c r="D10" s="41" t="s">
        <v>278</v>
      </c>
      <c r="E10" s="41" t="s">
        <v>389</v>
      </c>
      <c r="F10" s="41" t="s">
        <v>372</v>
      </c>
      <c r="G10" s="18" t="s">
        <v>261</v>
      </c>
      <c r="H10" s="42" t="s">
        <v>279</v>
      </c>
      <c r="I10" s="18" t="s">
        <v>279</v>
      </c>
      <c r="J10" s="40"/>
      <c r="K10" s="40" t="str">
        <f>"232,5"</f>
        <v>232,5</v>
      </c>
      <c r="L10" s="40" t="str">
        <f>"166,1245"</f>
        <v>166,1245</v>
      </c>
      <c r="M10" s="41" t="s">
        <v>174</v>
      </c>
    </row>
    <row r="11" spans="1:13">
      <c r="B11" s="32" t="s">
        <v>8</v>
      </c>
    </row>
  </sheetData>
  <mergeCells count="13">
    <mergeCell ref="L3:L4"/>
    <mergeCell ref="M3:M4"/>
    <mergeCell ref="A5:J5"/>
    <mergeCell ref="A9:J9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6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48" t="s">
        <v>321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10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77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9" t="s">
        <v>75</v>
      </c>
      <c r="B6" s="8" t="s">
        <v>180</v>
      </c>
      <c r="C6" s="8" t="s">
        <v>181</v>
      </c>
      <c r="D6" s="8" t="s">
        <v>182</v>
      </c>
      <c r="E6" s="8" t="s">
        <v>384</v>
      </c>
      <c r="F6" s="8" t="s">
        <v>349</v>
      </c>
      <c r="G6" s="18" t="s">
        <v>101</v>
      </c>
      <c r="H6" s="18" t="s">
        <v>92</v>
      </c>
      <c r="I6" s="18" t="s">
        <v>173</v>
      </c>
      <c r="J6" s="9"/>
      <c r="K6" s="9" t="str">
        <f>"52,5"</f>
        <v>52,5</v>
      </c>
      <c r="L6" s="9" t="str">
        <f>"64,9635"</f>
        <v>64,9635</v>
      </c>
      <c r="M6" s="8" t="s">
        <v>183</v>
      </c>
    </row>
    <row r="7" spans="1:13">
      <c r="B7" s="5" t="s">
        <v>8</v>
      </c>
    </row>
    <row r="8" spans="1:13" ht="16">
      <c r="A8" s="69" t="s">
        <v>25</v>
      </c>
      <c r="B8" s="69"/>
      <c r="C8" s="70"/>
      <c r="D8" s="70"/>
      <c r="E8" s="70"/>
      <c r="F8" s="70"/>
      <c r="G8" s="70"/>
      <c r="H8" s="70"/>
      <c r="I8" s="70"/>
      <c r="J8" s="70"/>
    </row>
    <row r="9" spans="1:13">
      <c r="A9" s="9" t="s">
        <v>75</v>
      </c>
      <c r="B9" s="8" t="s">
        <v>205</v>
      </c>
      <c r="C9" s="8" t="s">
        <v>206</v>
      </c>
      <c r="D9" s="8" t="s">
        <v>207</v>
      </c>
      <c r="E9" s="8" t="s">
        <v>384</v>
      </c>
      <c r="F9" s="8" t="s">
        <v>349</v>
      </c>
      <c r="G9" s="18" t="s">
        <v>95</v>
      </c>
      <c r="H9" s="18" t="s">
        <v>121</v>
      </c>
      <c r="I9" s="19" t="s">
        <v>16</v>
      </c>
      <c r="J9" s="9"/>
      <c r="K9" s="9" t="str">
        <f>"130,0"</f>
        <v>130,0</v>
      </c>
      <c r="L9" s="9" t="str">
        <f>"84,2270"</f>
        <v>84,2270</v>
      </c>
      <c r="M9" s="8" t="s">
        <v>183</v>
      </c>
    </row>
    <row r="10" spans="1:13">
      <c r="B10" s="5" t="s">
        <v>8</v>
      </c>
    </row>
    <row r="11" spans="1:13" ht="16">
      <c r="A11" s="69" t="s">
        <v>36</v>
      </c>
      <c r="B11" s="69"/>
      <c r="C11" s="70"/>
      <c r="D11" s="70"/>
      <c r="E11" s="70"/>
      <c r="F11" s="70"/>
      <c r="G11" s="70"/>
      <c r="H11" s="70"/>
      <c r="I11" s="70"/>
      <c r="J11" s="70"/>
    </row>
    <row r="12" spans="1:13">
      <c r="A12" s="9" t="s">
        <v>75</v>
      </c>
      <c r="B12" s="8" t="s">
        <v>227</v>
      </c>
      <c r="C12" s="8" t="s">
        <v>228</v>
      </c>
      <c r="D12" s="8" t="s">
        <v>229</v>
      </c>
      <c r="E12" s="8" t="s">
        <v>387</v>
      </c>
      <c r="F12" s="8" t="s">
        <v>349</v>
      </c>
      <c r="G12" s="19" t="s">
        <v>114</v>
      </c>
      <c r="H12" s="18" t="s">
        <v>95</v>
      </c>
      <c r="I12" s="18" t="s">
        <v>125</v>
      </c>
      <c r="J12" s="9"/>
      <c r="K12" s="9" t="str">
        <f>"125,0"</f>
        <v>125,0</v>
      </c>
      <c r="L12" s="9" t="str">
        <f>"109,6410"</f>
        <v>109,6410</v>
      </c>
      <c r="M12" s="8" t="s">
        <v>183</v>
      </c>
    </row>
    <row r="13" spans="1:13">
      <c r="B13" s="5" t="s">
        <v>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0.1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48" t="s">
        <v>322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" customHeight="1" thickBo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381</v>
      </c>
      <c r="B3" s="61" t="s">
        <v>0</v>
      </c>
      <c r="C3" s="58" t="s">
        <v>382</v>
      </c>
      <c r="D3" s="58" t="s">
        <v>6</v>
      </c>
      <c r="E3" s="60" t="s">
        <v>383</v>
      </c>
      <c r="F3" s="60" t="s">
        <v>5</v>
      </c>
      <c r="G3" s="60" t="s">
        <v>10</v>
      </c>
      <c r="H3" s="60"/>
      <c r="I3" s="60"/>
      <c r="J3" s="60"/>
      <c r="K3" s="60" t="s">
        <v>168</v>
      </c>
      <c r="L3" s="60" t="s">
        <v>3</v>
      </c>
      <c r="M3" s="65" t="s">
        <v>2</v>
      </c>
    </row>
    <row r="4" spans="1:13" s="1" customFormat="1" ht="21" customHeight="1" thickBot="1">
      <c r="A4" s="57"/>
      <c r="B4" s="62"/>
      <c r="C4" s="59"/>
      <c r="D4" s="59"/>
      <c r="E4" s="59"/>
      <c r="F4" s="59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25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9" t="s">
        <v>75</v>
      </c>
      <c r="B6" s="8" t="s">
        <v>151</v>
      </c>
      <c r="C6" s="8" t="s">
        <v>152</v>
      </c>
      <c r="D6" s="8" t="s">
        <v>153</v>
      </c>
      <c r="E6" s="8" t="s">
        <v>384</v>
      </c>
      <c r="F6" s="8" t="s">
        <v>350</v>
      </c>
      <c r="G6" s="18" t="s">
        <v>319</v>
      </c>
      <c r="H6" s="18" t="s">
        <v>45</v>
      </c>
      <c r="I6" s="18" t="s">
        <v>116</v>
      </c>
      <c r="J6" s="9"/>
      <c r="K6" s="9" t="str">
        <f>"182,5"</f>
        <v>182,5</v>
      </c>
      <c r="L6" s="9" t="str">
        <f>"117,5300"</f>
        <v>117,5300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IPL ПЛ без экипировки ДК</vt:lpstr>
      <vt:lpstr>IPL ПЛ без экипировки</vt:lpstr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СПР Жим софт однопетельная ДК</vt:lpstr>
      <vt:lpstr>WRPF Военный жим ДК</vt:lpstr>
      <vt:lpstr>WRPF Военный жим</vt:lpstr>
      <vt:lpstr>IPL Тяга без экипировки ДК</vt:lpstr>
      <vt:lpstr>IPL Тяга без экипировки</vt:lpstr>
      <vt:lpstr>СПР Пауэрспорт</vt:lpstr>
      <vt:lpstr>СПР Подъем на бицепс ДК</vt:lpstr>
      <vt:lpstr>СПР Подъем на бицепс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2022-03-16T17:35:28Z</dcterms:modified>
</cp:coreProperties>
</file>